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DADM\ALOG\DCAD\Processos Licitatórios\Editais\2026\Pregão\2 - Numerados\13 - Assistente de Eventos - RC 7150\Fase externa\Dou e edital\"/>
    </mc:Choice>
  </mc:AlternateContent>
  <xr:revisionPtr revIDLastSave="0" documentId="8_{DD4593F0-FEC0-458C-A405-110B821903A3}" xr6:coauthVersionLast="47" xr6:coauthVersionMax="47" xr10:uidLastSave="{00000000-0000-0000-0000-000000000000}"/>
  <bookViews>
    <workbookView xWindow="384" yWindow="324" windowWidth="23160" windowHeight="16956" tabRatio="681" activeTab="1" xr2:uid="{00000000-000D-0000-FFFF-FFFF00000000}"/>
  </bookViews>
  <sheets>
    <sheet name="Quadro resumo" sheetId="7" r:id="rId1"/>
    <sheet name="Assistente de Eventos" sheetId="27" r:id="rId2"/>
    <sheet name="Insumos" sheetId="23" r:id="rId3"/>
  </sheets>
  <definedNames>
    <definedName name="_xlnm.Print_Area" localSheetId="1">'Assistente de Eventos'!$A$1:$I$150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 i="27" l="1"/>
  <c r="H110" i="27"/>
  <c r="G20" i="23"/>
  <c r="H20" i="23" s="1"/>
  <c r="H21" i="23" s="1"/>
  <c r="H35" i="27" l="1"/>
  <c r="H31" i="27" s="1"/>
  <c r="F7" i="23"/>
  <c r="G7" i="23" s="1"/>
  <c r="F8" i="23"/>
  <c r="G8" i="23" s="1"/>
  <c r="F9" i="23"/>
  <c r="G9" i="23" s="1"/>
  <c r="F10" i="23"/>
  <c r="G10" i="23" s="1"/>
  <c r="F11" i="23"/>
  <c r="G11" i="23" s="1"/>
  <c r="F12" i="23"/>
  <c r="G12" i="23" s="1"/>
  <c r="F6" i="23"/>
  <c r="G6" i="23" s="1"/>
  <c r="F5" i="23"/>
  <c r="G5" i="23" s="1"/>
  <c r="H61" i="27"/>
  <c r="H27" i="27"/>
  <c r="G81" i="27"/>
  <c r="G13" i="23" l="1"/>
  <c r="G146" i="27"/>
  <c r="G145" i="27"/>
  <c r="G144" i="27"/>
  <c r="G119" i="27"/>
  <c r="H66" i="27"/>
  <c r="G50" i="27"/>
  <c r="G57" i="27" s="1"/>
  <c r="G43" i="27"/>
  <c r="G42" i="27"/>
  <c r="H26" i="27"/>
  <c r="H30" i="27" s="1"/>
  <c r="H33" i="27" s="1"/>
  <c r="H29" i="27" l="1"/>
  <c r="H28" i="27"/>
  <c r="G44" i="27"/>
  <c r="H43" i="27" l="1"/>
  <c r="H129" i="27"/>
  <c r="H42" i="27"/>
  <c r="H44" i="27" l="1"/>
  <c r="H143" i="27" l="1"/>
  <c r="H48" i="27"/>
  <c r="H54" i="27"/>
  <c r="H50" i="27"/>
  <c r="H55" i="27"/>
  <c r="H52" i="27"/>
  <c r="H70" i="27"/>
  <c r="H49" i="27"/>
  <c r="H56" i="27"/>
  <c r="F78" i="27" s="1"/>
  <c r="H81" i="27" s="1"/>
  <c r="H53" i="27"/>
  <c r="F79" i="27" l="1"/>
  <c r="H80" i="27" s="1"/>
  <c r="H57" i="27"/>
  <c r="H82" i="27" s="1"/>
  <c r="H83" i="27" l="1"/>
  <c r="H71" i="27"/>
  <c r="A6" i="23" l="1"/>
  <c r="A7" i="23" s="1"/>
  <c r="A8" i="23" s="1"/>
  <c r="A9" i="23" s="1"/>
  <c r="A10" i="23" s="1"/>
  <c r="A11" i="23" s="1"/>
  <c r="A12" i="23" s="1"/>
  <c r="H108" i="27" l="1"/>
  <c r="H112" i="27" l="1"/>
  <c r="H133" i="27" s="1"/>
  <c r="C10" i="7" l="1"/>
  <c r="H72" i="27" l="1"/>
  <c r="H73" i="27" s="1"/>
  <c r="H130" i="27" l="1"/>
  <c r="H131" i="27" l="1"/>
  <c r="F91" i="27"/>
  <c r="H90" i="27" s="1"/>
  <c r="H96" i="27"/>
  <c r="H97" i="27" s="1"/>
  <c r="H102" i="27" s="1"/>
  <c r="H89" i="27" l="1"/>
  <c r="H92" i="27" s="1"/>
  <c r="H101" i="27" s="1"/>
  <c r="H103" i="27" s="1"/>
  <c r="H132" i="27" s="1"/>
  <c r="H134" i="27" s="1"/>
  <c r="H142" i="27" l="1"/>
  <c r="H144" i="27" s="1"/>
  <c r="H145" i="27" s="1"/>
  <c r="H117" i="27"/>
  <c r="H118" i="27" s="1"/>
  <c r="H119" i="27" s="1"/>
  <c r="H121" i="27" l="1"/>
  <c r="H122" i="27"/>
  <c r="H120" i="27"/>
  <c r="H146" i="27"/>
  <c r="H147" i="27" s="1"/>
  <c r="H123" i="27" l="1"/>
  <c r="H135" i="27" s="1"/>
  <c r="H136" i="27" s="1"/>
  <c r="H141" i="27" l="1"/>
  <c r="H148" i="27" s="1"/>
  <c r="E9" i="7"/>
  <c r="F9" i="7" l="1"/>
  <c r="G9" i="7" s="1"/>
  <c r="G10" i="7" s="1"/>
  <c r="G11" i="7" s="1"/>
  <c r="F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Wellington Couto De Almeida</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H25" authorId="1" shapeId="0" xr:uid="{228B2ABD-718F-4E3D-9B20-C39BDF1EBBBF}">
      <text>
        <r>
          <rPr>
            <sz val="9"/>
            <color indexed="81"/>
            <rFont val="Segoe UI"/>
            <charset val="1"/>
          </rPr>
          <t>Na execução do contrato esse valor será zerado quando do pagamento das férias do titular.</t>
        </r>
      </text>
    </comment>
    <comment ref="D27" authorId="0" shapeId="0" xr:uid="{00000000-0006-0000-0100-000002000000}">
      <text>
        <r>
          <rPr>
            <sz val="9"/>
            <color indexed="81"/>
            <rFont val="Segoe UI"/>
            <family val="2"/>
          </rPr>
          <t>Grau mínimo 10%, grau médio 20% e grau máximo 40%.</t>
        </r>
      </text>
    </comment>
    <comment ref="D30" authorId="0" shapeId="0" xr:uid="{00000000-0006-0000-0100-000003000000}">
      <text>
        <r>
          <rPr>
            <sz val="9"/>
            <color indexed="81"/>
            <rFont val="Segoe UI"/>
            <family val="2"/>
          </rPr>
          <t>Considerando 220h mensais</t>
        </r>
        <r>
          <rPr>
            <b/>
            <sz val="9"/>
            <color indexed="81"/>
            <rFont val="Segoe UI"/>
            <family val="2"/>
          </rPr>
          <t>.</t>
        </r>
      </text>
    </comment>
    <comment ref="D31" authorId="0" shapeId="0" xr:uid="{7A2E045E-D967-47D7-AF14-A500ACA0CCA5}">
      <text>
        <r>
          <rPr>
            <sz val="9"/>
            <color indexed="81"/>
            <rFont val="Segoe UI"/>
            <family val="2"/>
          </rPr>
          <t>Considerando 220h mensais</t>
        </r>
        <r>
          <rPr>
            <b/>
            <sz val="9"/>
            <color indexed="81"/>
            <rFont val="Segoe UI"/>
            <family val="2"/>
          </rPr>
          <t>.</t>
        </r>
      </text>
    </comment>
    <comment ref="B40"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42" authorId="2" shapeId="0" xr:uid="{00000000-0006-0000-0100-000005000000}">
      <text>
        <r>
          <rPr>
            <sz val="9"/>
            <color indexed="81"/>
            <rFont val="Segoe UI"/>
            <family val="2"/>
          </rPr>
          <t>Tot.1 ÷ 12 meses</t>
        </r>
      </text>
    </comment>
    <comment ref="G43" authorId="2" shapeId="0" xr:uid="{00000000-0006-0000-0100-000006000000}">
      <text>
        <r>
          <rPr>
            <sz val="9"/>
            <color indexed="81"/>
            <rFont val="Segoe UI"/>
            <family val="2"/>
          </rPr>
          <t>(Tot.1 ÷ 12 meses) + [(Tot.1 ÷ 3) ÷ 12 meses]</t>
        </r>
      </text>
    </comment>
    <comment ref="B46"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8" authorId="0" shapeId="0" xr:uid="{00000000-0006-0000-0100-000008000000}">
      <text>
        <r>
          <rPr>
            <sz val="9"/>
            <color indexed="81"/>
            <rFont val="Segoe UI"/>
            <family val="2"/>
          </rPr>
          <t>Percentual fixo:
Lei 8.212/91, Art. 22, I</t>
        </r>
      </text>
    </comment>
    <comment ref="G49" authorId="0" shapeId="0" xr:uid="{00000000-0006-0000-0100-000009000000}">
      <text>
        <r>
          <rPr>
            <sz val="9"/>
            <color indexed="81"/>
            <rFont val="Segoe UI"/>
            <family val="2"/>
          </rPr>
          <t>Percentual fixo:
- C.F./88, Art. 212, §5º
- Decreto 6.003/2006, Art. 1º, §1º</t>
        </r>
      </text>
    </comment>
    <comment ref="E50" authorId="0" shapeId="0" xr:uid="{00000000-0006-0000-0100-00000A000000}">
      <text>
        <r>
          <rPr>
            <sz val="9"/>
            <color indexed="81"/>
            <rFont val="Segoe UI"/>
            <family val="2"/>
          </rPr>
          <t>Riscos Ambientais do Trabalho:
1%, 2% ou 3%
Lei 8.212/91, Art. 22, II</t>
        </r>
      </text>
    </comment>
    <comment ref="F50" authorId="0" shapeId="0" xr:uid="{00000000-0006-0000-0100-00000B000000}">
      <text>
        <r>
          <rPr>
            <sz val="9"/>
            <color indexed="81"/>
            <rFont val="Segoe UI"/>
            <family val="2"/>
          </rPr>
          <t>Fator Acidentário de Prevenção:
0,50 a 2
Decreto 6.957/09, Art. 1º, §1º</t>
        </r>
      </text>
    </comment>
    <comment ref="G52" authorId="0" shapeId="0" xr:uid="{00000000-0006-0000-0100-00000C000000}">
      <text>
        <r>
          <rPr>
            <sz val="9"/>
            <color indexed="81"/>
            <rFont val="Segoe UI"/>
            <family val="2"/>
          </rPr>
          <t>Percentual fixo:
- Lei 8.036/90, Art. 30</t>
        </r>
      </text>
    </comment>
    <comment ref="G53" authorId="0" shapeId="0" xr:uid="{00000000-0006-0000-0100-00000D000000}">
      <text>
        <r>
          <rPr>
            <sz val="9"/>
            <color indexed="81"/>
            <rFont val="Segoe UI"/>
            <family val="2"/>
          </rPr>
          <t>Percentual fixo:
- Decreto-Lei 6.246/44, Art. 1º
- Decreto-Lei 8.621/46, Art. 4º</t>
        </r>
      </text>
    </comment>
    <comment ref="G54" authorId="0" shapeId="0" xr:uid="{00000000-0006-0000-0100-00000E000000}">
      <text>
        <r>
          <rPr>
            <sz val="9"/>
            <color indexed="81"/>
            <rFont val="Segoe UI"/>
            <family val="2"/>
          </rPr>
          <t>Percentual fixo:
- Lei 8.029/90, alterada pela Lei 8.154/90</t>
        </r>
      </text>
    </comment>
    <comment ref="G55" authorId="0" shapeId="0" xr:uid="{00000000-0006-0000-0100-00000F000000}">
      <text>
        <r>
          <rPr>
            <sz val="9"/>
            <color indexed="81"/>
            <rFont val="Segoe UI"/>
            <family val="2"/>
          </rPr>
          <t>Percentual fixo:
- Decreto-Lei 1.146/70, Art. 1º, inciso I</t>
        </r>
      </text>
    </comment>
    <comment ref="G56" authorId="0" shapeId="0" xr:uid="{00000000-0006-0000-0100-000010000000}">
      <text>
        <r>
          <rPr>
            <sz val="9"/>
            <color indexed="81"/>
            <rFont val="Segoe UI"/>
            <family val="2"/>
          </rPr>
          <t>Percentual fixo:
- Lei 8.036/90, Art. 15</t>
        </r>
      </text>
    </comment>
    <comment ref="B59"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60" authorId="2" shapeId="0" xr:uid="{00000000-0006-0000-0100-000012000000}">
      <text>
        <r>
          <rPr>
            <sz val="9"/>
            <color indexed="81"/>
            <rFont val="Segoe UI"/>
            <family val="2"/>
          </rPr>
          <t>*Considerada média de 22 dias úteis mensais</t>
        </r>
      </text>
    </comment>
    <comment ref="F78" authorId="3" shapeId="0" xr:uid="{8E0F56D8-83EA-4C2F-9184-BA7B9EB4905D}">
      <text>
        <r>
          <rPr>
            <b/>
            <sz val="9"/>
            <color indexed="81"/>
            <rFont val="Segoe UI"/>
            <charset val="1"/>
          </rPr>
          <t>Wellington Couto De Almeida:</t>
        </r>
        <r>
          <rPr>
            <sz val="9"/>
            <color indexed="81"/>
            <rFont val="Segoe UI"/>
            <charset val="1"/>
          </rPr>
          <t xml:space="preserve">
Valor fixo. 40% do FGTS. Usado como base de cálculo para API e APT.</t>
        </r>
      </text>
    </comment>
    <comment ref="C79" authorId="2" shapeId="0" xr:uid="{0A123C7F-A5CC-4D2C-86FF-0D0311EDD3E3}">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9" authorId="3" shapeId="0" xr:uid="{21926E19-F4C1-4EF5-B676-A3FA7D3A1879}">
      <text>
        <r>
          <rPr>
            <b/>
            <sz val="9"/>
            <color indexed="81"/>
            <rFont val="Segoe UI"/>
            <family val="2"/>
          </rPr>
          <t>Wellington Couto De Almeida:</t>
        </r>
        <r>
          <rPr>
            <sz val="9"/>
            <color indexed="81"/>
            <rFont val="Segoe UI"/>
            <family val="2"/>
          </rPr>
          <t xml:space="preserve">
Base de cálculo para API.</t>
        </r>
      </text>
    </comment>
    <comment ref="G81" authorId="1" shapeId="0" xr:uid="{F88EAAA9-4D16-4622-B9D5-E36670899261}">
      <text>
        <r>
          <rPr>
            <sz val="9"/>
            <color indexed="81"/>
            <rFont val="Segoe UI"/>
            <charset val="1"/>
          </rPr>
          <t xml:space="preserve">A fórmula não deve ser alterada, de modo que o somatório do percentual do API e do APT totalize 100%.
</t>
        </r>
      </text>
    </comment>
    <comment ref="C82" authorId="2" shapeId="0" xr:uid="{441BF731-FB0A-4819-9811-DE99E12AE2B2}">
      <text>
        <r>
          <rPr>
            <sz val="9"/>
            <color indexed="81"/>
            <rFont val="Segoe UI"/>
            <family val="2"/>
          </rPr>
          <t>(Remuneração +13º salário + Férias e Adicional de férias + FGTS + Benefícios) ÷ 12 meses</t>
        </r>
      </text>
    </comment>
    <comment ref="F82" authorId="2" shapeId="0" xr:uid="{CD1A186A-6E2F-487D-A38C-3884272C6B1E}">
      <text>
        <r>
          <rPr>
            <sz val="9"/>
            <color indexed="81"/>
            <rFont val="Segoe UI"/>
            <family val="2"/>
          </rPr>
          <t>Valor fixo</t>
        </r>
      </text>
    </comment>
    <comment ref="G82" authorId="2" shapeId="0" xr:uid="{AF272BA7-18C6-4D49-9FE8-2423BF31FBE6}">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6"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8"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9" authorId="2"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90" authorId="0" shapeId="0" xr:uid="{00000000-0006-0000-0100-00001D000000}">
      <text>
        <r>
          <rPr>
            <sz val="9"/>
            <color indexed="81"/>
            <rFont val="Segoe UI"/>
            <family val="2"/>
          </rPr>
          <t>Necessidade da empresa, de acordo com as probabilidades consignadas em sua proposta, de um repositor durante o ano (em dias).</t>
        </r>
      </text>
    </comment>
    <comment ref="C91" authorId="2" shapeId="0" xr:uid="{00000000-0006-0000-0100-00001E000000}">
      <text>
        <r>
          <rPr>
            <sz val="9"/>
            <color indexed="81"/>
            <rFont val="Segoe UI"/>
            <family val="2"/>
          </rPr>
          <t>(Módulo 1 + Módulo 2 + Módulo 3) ÷ 30 dias</t>
        </r>
      </text>
    </comment>
    <comment ref="G95" authorId="0" shapeId="0" xr:uid="{00000000-0006-0000-0100-00001F000000}">
      <text>
        <r>
          <rPr>
            <sz val="9"/>
            <color indexed="81"/>
            <rFont val="Segoe UI"/>
            <family val="2"/>
          </rPr>
          <t xml:space="preserve">Dias necessários para substituição.
</t>
        </r>
      </text>
    </comment>
    <comment ref="B106" authorId="0" shapeId="0" xr:uid="{00000000-0006-0000-0100-000020000000}">
      <text>
        <r>
          <rPr>
            <sz val="9"/>
            <color indexed="81"/>
            <rFont val="Segoe UI"/>
            <family val="2"/>
          </rPr>
          <t>Nota: Valores mensais por posto</t>
        </r>
      </text>
    </comment>
  </commentList>
</comments>
</file>

<file path=xl/sharedStrings.xml><?xml version="1.0" encoding="utf-8"?>
<sst xmlns="http://schemas.openxmlformats.org/spreadsheetml/2006/main" count="325" uniqueCount="224">
  <si>
    <t>Adicional Noturno</t>
  </si>
  <si>
    <t>%</t>
  </si>
  <si>
    <t>Outros (especificar)</t>
  </si>
  <si>
    <t>Lucro</t>
  </si>
  <si>
    <t>A</t>
  </si>
  <si>
    <t>B</t>
  </si>
  <si>
    <t>C</t>
  </si>
  <si>
    <t>D</t>
  </si>
  <si>
    <t>E</t>
  </si>
  <si>
    <t>F</t>
  </si>
  <si>
    <t>G</t>
  </si>
  <si>
    <t>H</t>
  </si>
  <si>
    <t>Materiais</t>
  </si>
  <si>
    <t>4.1</t>
  </si>
  <si>
    <t>4.2</t>
  </si>
  <si>
    <t>Custos Indiretos</t>
  </si>
  <si>
    <t>Salário Base</t>
  </si>
  <si>
    <t>PIS</t>
  </si>
  <si>
    <t>COFINS</t>
  </si>
  <si>
    <t>ISS</t>
  </si>
  <si>
    <t>C.1</t>
  </si>
  <si>
    <t>C.2</t>
  </si>
  <si>
    <t>C.3</t>
  </si>
  <si>
    <t xml:space="preserve">Adicional Periculosidade </t>
  </si>
  <si>
    <t>Adicional Insalubridade</t>
  </si>
  <si>
    <t>Adicional de Hora Noturna Reduzida</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</si>
  <si>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</si>
  <si>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</si>
  <si>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</si>
  <si>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</si>
  <si>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</si>
  <si>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</si>
  <si>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</si>
  <si>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</si>
  <si>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</si>
  <si>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</si>
  <si>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</si>
  <si>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</si>
  <si>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</si>
  <si>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</si>
  <si>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</si>
  <si>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</si>
  <si>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</si>
  <si>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</si>
  <si>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</si>
  <si>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</si>
  <si>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</si>
  <si>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</si>
  <si>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</si>
  <si>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</si>
  <si>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</si>
  <si>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</si>
  <si>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</si>
  <si>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</si>
  <si>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</si>
  <si>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</si>
  <si>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</si>
  <si>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</si>
  <si>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</si>
  <si>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</si>
  <si>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</si>
  <si>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</si>
  <si>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</si>
  <si>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</si>
  <si>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</si>
  <si>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</si>
  <si>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</si>
  <si>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</si>
  <si>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</si>
  <si>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</si>
  <si>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</si>
  <si>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</si>
  <si>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</si>
  <si>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</si>
  <si>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</si>
  <si>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</si>
  <si>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</si>
  <si>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</si>
  <si>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</si>
  <si>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</si>
  <si>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</si>
  <si>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UNIFORMES</t>
  </si>
  <si>
    <t>Item</t>
  </si>
  <si>
    <t>Custo Unitário</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</si>
  <si>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</si>
  <si>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</si>
  <si>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</si>
  <si>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</si>
  <si>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</si>
  <si>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</si>
  <si>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</si>
  <si>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</si>
  <si>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</si>
  <si>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</si>
  <si>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Valor Unitário</t>
  </si>
  <si>
    <t>API com Probabilidade</t>
  </si>
  <si>
    <t>Aviso Prévio Indenizado - API</t>
  </si>
  <si>
    <t>APT com Probabilidade</t>
  </si>
  <si>
    <t xml:space="preserve">FAP </t>
  </si>
  <si>
    <t>SAT - GIIL/RAT</t>
  </si>
  <si>
    <t xml:space="preserve">RAT </t>
  </si>
  <si>
    <t>Dias</t>
  </si>
  <si>
    <t>Valor Total por Empregado</t>
  </si>
  <si>
    <t>Tributos</t>
  </si>
  <si>
    <t>Total Custo Variável (Pagamento pelo Fato Gerador)</t>
  </si>
  <si>
    <r>
      <t>13º (Décimo-terceiro) salário</t>
    </r>
    <r>
      <rPr>
        <sz val="9"/>
        <color indexed="10"/>
        <rFont val="Tahoma"/>
        <family val="2"/>
      </rPr>
      <t xml:space="preserve"> </t>
    </r>
  </si>
  <si>
    <t>Custo diário do substituto</t>
  </si>
  <si>
    <t>Nº de Mudas por posto</t>
  </si>
  <si>
    <t>Custo anual por posto</t>
  </si>
  <si>
    <t>Custo mensal por posto</t>
  </si>
  <si>
    <t>BASE DE CÁLCULO DOS TRIBUTOS</t>
  </si>
  <si>
    <t>Mão de Obra vinculada à execução contratual (valor por posto)</t>
  </si>
  <si>
    <t>Memória de cálculo da hora extra</t>
  </si>
  <si>
    <t>VALOR TOTAL</t>
  </si>
  <si>
    <t>Valor da hora extra</t>
  </si>
  <si>
    <r>
      <t>Quantidade (</t>
    </r>
    <r>
      <rPr>
        <b/>
        <sz val="9"/>
        <color rgb="FFFF0000"/>
        <rFont val="Tahoma"/>
        <family val="2"/>
      </rPr>
      <t>Posto</t>
    </r>
    <r>
      <rPr>
        <b/>
        <sz val="9"/>
        <color theme="1"/>
        <rFont val="Tahoma"/>
        <family val="2"/>
      </rPr>
      <t xml:space="preserve">) </t>
    </r>
  </si>
  <si>
    <t>Anexo II</t>
  </si>
  <si>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</si>
  <si>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</si>
  <si>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</si>
  <si>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</si>
  <si>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</si>
  <si>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</si>
  <si>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</si>
  <si>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</si>
  <si>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</si>
  <si>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</si>
  <si>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</si>
  <si>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</si>
  <si>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</si>
  <si>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</si>
  <si>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</si>
  <si>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</si>
  <si>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</si>
  <si>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</si>
  <si>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</si>
  <si>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</si>
  <si>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</si>
  <si>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</si>
  <si>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</si>
  <si>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</si>
  <si>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</si>
  <si>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</si>
  <si>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</si>
  <si>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</si>
  <si>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</si>
  <si>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</si>
  <si>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</si>
  <si>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</si>
  <si>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</si>
  <si>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</si>
  <si>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</si>
  <si>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</si>
  <si>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</si>
  <si>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</si>
  <si>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</si>
  <si>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</si>
  <si>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</si>
  <si>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</si>
  <si>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</si>
  <si>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</si>
  <si>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</si>
  <si>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</si>
  <si>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</si>
  <si>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</si>
  <si>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</si>
  <si>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</si>
  <si>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</si>
  <si>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</si>
  <si>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</si>
  <si>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</si>
  <si>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</si>
  <si>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</si>
  <si>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</si>
  <si>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</si>
  <si>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</si>
  <si>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</si>
  <si>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</si>
  <si>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</si>
  <si>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</si>
  <si>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</si>
  <si>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</si>
  <si>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</si>
  <si>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</si>
  <si>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</si>
  <si>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</si>
  <si>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</si>
  <si>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</si>
  <si>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</si>
  <si>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</si>
  <si>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t>Substituto nas férias</t>
  </si>
  <si>
    <t>Multa do FGTS</t>
  </si>
  <si>
    <r>
      <t xml:space="preserve">(3.A + 3.B) x </t>
    </r>
    <r>
      <rPr>
        <sz val="8"/>
        <color rgb="FFFF0000"/>
        <rFont val="Tahoma"/>
        <family val="2"/>
      </rPr>
      <t>XX</t>
    </r>
    <r>
      <rPr>
        <sz val="8"/>
        <rFont val="Tahoma"/>
        <family val="2"/>
      </rPr>
      <t>%</t>
    </r>
  </si>
  <si>
    <r>
      <t xml:space="preserve">3.A x </t>
    </r>
    <r>
      <rPr>
        <sz val="8"/>
        <color rgb="FFFF0000"/>
        <rFont val="Tahoma"/>
        <family val="2"/>
      </rPr>
      <t>XX</t>
    </r>
    <r>
      <rPr>
        <sz val="8"/>
        <rFont val="Tahoma"/>
        <family val="2"/>
      </rPr>
      <t>%</t>
    </r>
  </si>
  <si>
    <t>Assistente de Eventos</t>
  </si>
  <si>
    <r>
      <t>OBJETO:</t>
    </r>
    <r>
      <rPr>
        <sz val="9"/>
        <rFont val="Tahoma"/>
        <family val="2"/>
      </rPr>
      <t xml:space="preserve"> Serviços continuados de Assistente de Eventos com dedicação exclusiva de mão de obra para a Finep do Rio de Janeiro</t>
    </r>
  </si>
  <si>
    <t>Auxílio Saúde</t>
  </si>
  <si>
    <t>Calça Social</t>
  </si>
  <si>
    <t>Camisa Social</t>
  </si>
  <si>
    <t>Par de meia</t>
  </si>
  <si>
    <t>Agasalho</t>
  </si>
  <si>
    <t>Tênis</t>
  </si>
  <si>
    <t>Calça Jeans</t>
  </si>
  <si>
    <t>Camisa Polo</t>
  </si>
  <si>
    <t>Cinto Social</t>
  </si>
  <si>
    <t>Quantidade por muda</t>
  </si>
  <si>
    <t>Adicional por tempo de serviço</t>
  </si>
  <si>
    <t>Cláusula 9ª da CCT. Incluir o valor de 5% do salário quando de eventual renovação contratual e após 3 anos de contrato de trabalho.</t>
  </si>
  <si>
    <t>Adicional de Hora Extra: 50%</t>
  </si>
  <si>
    <t>Adicional de Hora Extra: 100%</t>
  </si>
  <si>
    <r>
      <t xml:space="preserve">{[(1.A + 1.B + 1.C) ÷ 220h] x </t>
    </r>
    <r>
      <rPr>
        <sz val="8"/>
        <color rgb="FFFF0000"/>
        <rFont val="Tahoma"/>
        <family val="2"/>
      </rPr>
      <t>XX</t>
    </r>
    <r>
      <rPr>
        <sz val="8"/>
        <rFont val="Tahoma"/>
        <family val="2"/>
      </rPr>
      <t xml:space="preserve"> h} x 100%</t>
    </r>
  </si>
  <si>
    <r>
      <t xml:space="preserve">{[(1.A + 1.B + 1.C) ÷ 220h] x </t>
    </r>
    <r>
      <rPr>
        <sz val="8"/>
        <color rgb="FFFF0000"/>
        <rFont val="Tahoma"/>
        <family val="2"/>
      </rPr>
      <t>XX</t>
    </r>
    <r>
      <rPr>
        <sz val="8"/>
        <rFont val="Tahoma"/>
        <family val="2"/>
      </rPr>
      <t xml:space="preserve"> h} x 50%</t>
    </r>
  </si>
  <si>
    <t>Quant. h/mês (finais de semana)</t>
  </si>
  <si>
    <t>Quant. h/mês (dias úteis)</t>
  </si>
  <si>
    <t>Equipamentos (REP)</t>
  </si>
  <si>
    <t>EQUIPAMENTOS</t>
  </si>
  <si>
    <t>Investimento</t>
  </si>
  <si>
    <t>Prazo de depreciação do equipamento (meses)</t>
  </si>
  <si>
    <t>Quant. de equipamentos</t>
  </si>
  <si>
    <t>Quant. de postos</t>
  </si>
  <si>
    <t>Quant. por posto</t>
  </si>
  <si>
    <t>Registro Eletrônico de Ponto</t>
  </si>
  <si>
    <t>CUSTO TOTAL MENSAL</t>
  </si>
  <si>
    <t>Ref.: Pregão eletrônico nº 90013/2029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</si>
</sst>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R$&quot;\ #,##0.00;\-&quot;R$&quot;\ #,##0.00"/>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 numFmtId="168" formatCode="_-* #,##0.0_-;\-* #,##0.0_-;_-* &quot;-&quot;??_-;_-@_-"/>
  </numFmts>
  <fonts count="32"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sz val="9"/>
      <color indexed="81"/>
      <name val="Segoe UI"/>
      <charset val="1"/>
    </font>
    <font>
      <b/>
      <sz val="9"/>
      <color indexed="81"/>
      <name val="Segoe UI"/>
      <charset val="1"/>
    </font>
    <font>
      <sz val="9"/>
      <name val="Arial"/>
      <family val="2"/>
    </font>
    <font>
      <sz val="8"/>
      <color indexed="8"/>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96">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14" fillId="0" borderId="1" xfId="0" applyNumberFormat="1" applyFont="1" applyBorder="1" applyAlignment="1">
      <alignment vertical="center" wrapText="1"/>
    </xf>
    <xf numFmtId="8" fontId="14" fillId="5" borderId="1" xfId="0" applyNumberFormat="1" applyFont="1" applyFill="1" applyBorder="1" applyAlignment="1">
      <alignment horizontal="right" vertical="center" wrapText="1"/>
    </xf>
    <xf numFmtId="8" fontId="15" fillId="0" borderId="1" xfId="0" applyNumberFormat="1" applyFont="1" applyBorder="1" applyAlignment="1">
      <alignment vertical="center"/>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165" fontId="15" fillId="2" borderId="1" xfId="0" applyNumberFormat="1" applyFont="1" applyFill="1" applyBorder="1" applyAlignment="1">
      <alignment vertical="center"/>
    </xf>
    <xf numFmtId="43" fontId="7" fillId="7" borderId="1" xfId="3" applyFont="1" applyFill="1" applyBorder="1" applyAlignment="1">
      <alignment vertical="center"/>
    </xf>
    <xf numFmtId="9" fontId="7" fillId="7" borderId="1" xfId="2" applyFont="1" applyFill="1" applyBorder="1" applyAlignment="1">
      <alignment horizontal="center"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5" fillId="5" borderId="0" xfId="0" applyNumberFormat="1" applyFont="1" applyFill="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166" fontId="14" fillId="0" borderId="1" xfId="3" applyNumberFormat="1"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6" fillId="8" borderId="1" xfId="0" applyFont="1" applyFill="1" applyBorder="1" applyAlignment="1">
      <alignment horizontal="center" vertical="center"/>
    </xf>
    <xf numFmtId="0" fontId="7" fillId="8" borderId="3" xfId="0" applyFont="1" applyFill="1" applyBorder="1" applyAlignment="1">
      <alignment vertical="center"/>
    </xf>
    <xf numFmtId="10" fontId="7" fillId="8" borderId="1" xfId="2" applyNumberFormat="1" applyFont="1" applyFill="1" applyBorder="1" applyAlignment="1">
      <alignment horizontal="center" vertical="center"/>
    </xf>
    <xf numFmtId="43" fontId="7" fillId="8" borderId="1" xfId="3" applyFont="1" applyFill="1" applyBorder="1" applyAlignment="1">
      <alignment vertical="center"/>
    </xf>
    <xf numFmtId="43" fontId="11" fillId="5" borderId="0" xfId="3" applyFont="1" applyFill="1" applyBorder="1" applyAlignment="1">
      <alignment vertical="center"/>
    </xf>
    <xf numFmtId="0" fontId="6" fillId="8" borderId="13" xfId="0" applyFont="1" applyFill="1" applyBorder="1" applyAlignment="1">
      <alignment horizontal="center" vertical="center"/>
    </xf>
    <xf numFmtId="10" fontId="7" fillId="8" borderId="1" xfId="2" applyNumberFormat="1" applyFont="1" applyFill="1" applyBorder="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3" fontId="14" fillId="0" borderId="1" xfId="0" applyNumberFormat="1" applyFont="1" applyBorder="1" applyAlignment="1">
      <alignment horizontal="center"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10" fontId="7" fillId="3" borderId="1" xfId="0" applyNumberFormat="1" applyFont="1" applyFill="1" applyBorder="1" applyAlignment="1">
      <alignment horizontal="center" vertical="center"/>
    </xf>
    <xf numFmtId="43" fontId="11" fillId="0" borderId="0" xfId="3" applyFont="1" applyFill="1" applyBorder="1" applyAlignment="1">
      <alignment vertical="center"/>
    </xf>
    <xf numFmtId="0" fontId="5" fillId="3" borderId="1" xfId="0" applyFont="1" applyFill="1" applyBorder="1" applyAlignment="1">
      <alignment vertical="center"/>
    </xf>
    <xf numFmtId="0" fontId="5" fillId="3" borderId="0" xfId="0" applyFont="1" applyFill="1" applyAlignment="1">
      <alignment vertical="center"/>
    </xf>
    <xf numFmtId="7" fontId="7" fillId="0" borderId="1" xfId="3" applyNumberFormat="1" applyFont="1" applyFill="1" applyBorder="1" applyAlignment="1">
      <alignment horizontal="center" vertical="center"/>
    </xf>
    <xf numFmtId="167" fontId="7" fillId="3" borderId="1" xfId="3" applyNumberFormat="1" applyFont="1" applyFill="1" applyBorder="1" applyAlignment="1">
      <alignment vertical="center"/>
    </xf>
    <xf numFmtId="43" fontId="7" fillId="3" borderId="1" xfId="3" applyFont="1" applyFill="1" applyBorder="1" applyAlignment="1">
      <alignment vertical="center"/>
    </xf>
    <xf numFmtId="0" fontId="3" fillId="3" borderId="1" xfId="0" applyFont="1" applyFill="1" applyBorder="1" applyAlignment="1">
      <alignment vertical="center"/>
    </xf>
    <xf numFmtId="0" fontId="3" fillId="3" borderId="10" xfId="0" applyFont="1" applyFill="1" applyBorder="1" applyAlignment="1">
      <alignment vertical="center"/>
    </xf>
    <xf numFmtId="0" fontId="16" fillId="0" borderId="16" xfId="0" applyFont="1" applyBorder="1" applyAlignment="1">
      <alignment vertical="center"/>
    </xf>
    <xf numFmtId="43" fontId="6" fillId="0" borderId="0" xfId="3" applyFont="1" applyFill="1" applyBorder="1" applyAlignment="1">
      <alignment horizontal="center" vertical="center"/>
    </xf>
    <xf numFmtId="0" fontId="7" fillId="0" borderId="1" xfId="0" applyFont="1" applyBorder="1" applyAlignment="1">
      <alignment vertical="center" wrapText="1"/>
    </xf>
    <xf numFmtId="43" fontId="7" fillId="5" borderId="1" xfId="3" applyFont="1" applyFill="1" applyBorder="1" applyAlignment="1">
      <alignment horizontal="right" vertical="center"/>
    </xf>
    <xf numFmtId="164" fontId="30" fillId="7" borderId="1" xfId="1" applyFont="1" applyFill="1" applyBorder="1" applyAlignment="1">
      <alignment horizontal="center" vertical="center" wrapText="1"/>
    </xf>
    <xf numFmtId="164" fontId="7" fillId="0" borderId="1" xfId="1" applyFont="1" applyBorder="1" applyAlignment="1">
      <alignment horizontal="center" vertical="center" wrapText="1"/>
    </xf>
    <xf numFmtId="43" fontId="7" fillId="0" borderId="1" xfId="3" applyFont="1" applyFill="1" applyBorder="1" applyAlignment="1">
      <alignment horizontal="right" vertical="center"/>
    </xf>
    <xf numFmtId="0" fontId="31" fillId="2" borderId="1" xfId="0" applyFont="1" applyFill="1" applyBorder="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2" fontId="7" fillId="5" borderId="1" xfId="0" applyNumberFormat="1" applyFont="1" applyFill="1" applyBorder="1" applyAlignment="1">
      <alignment horizontal="center" vertical="center"/>
    </xf>
    <xf numFmtId="168" fontId="6" fillId="0" borderId="0" xfId="3" applyNumberFormat="1" applyFont="1" applyFill="1" applyBorder="1" applyAlignment="1">
      <alignment vertical="center"/>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14" fillId="4"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15" fillId="2" borderId="1" xfId="0" applyFont="1" applyFill="1" applyBorder="1" applyAlignment="1">
      <alignment horizontal="center" vertical="center"/>
    </xf>
    <xf numFmtId="0" fontId="14" fillId="4" borderId="1" xfId="0" applyFont="1" applyFill="1" applyBorder="1" applyAlignment="1">
      <alignment horizontal="left" vertical="center"/>
    </xf>
    <xf numFmtId="0" fontId="14" fillId="7" borderId="1" xfId="0" applyFont="1" applyFill="1" applyBorder="1" applyAlignment="1">
      <alignment horizontal="left" vertical="center"/>
    </xf>
    <xf numFmtId="167" fontId="14" fillId="7" borderId="1" xfId="0" applyNumberFormat="1" applyFont="1" applyFill="1" applyBorder="1" applyAlignment="1">
      <alignment horizontal="left" vertical="center"/>
    </xf>
    <xf numFmtId="0" fontId="16" fillId="8" borderId="9" xfId="0" applyFont="1" applyFill="1" applyBorder="1" applyAlignment="1">
      <alignment horizontal="left" vertical="center"/>
    </xf>
    <xf numFmtId="0" fontId="16" fillId="8" borderId="3" xfId="0" applyFont="1" applyFill="1" applyBorder="1" applyAlignment="1">
      <alignment horizontal="left" vertical="center"/>
    </xf>
    <xf numFmtId="0" fontId="16" fillId="8" borderId="10" xfId="0" applyFont="1" applyFill="1" applyBorder="1" applyAlignment="1">
      <alignment horizontal="left"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5"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2"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26" fillId="0" borderId="3" xfId="0" applyFont="1" applyBorder="1" applyAlignment="1">
      <alignment horizontal="left"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16" fillId="0" borderId="9" xfId="0" applyFont="1" applyBorder="1" applyAlignment="1">
      <alignment horizontal="left" vertical="center" wrapText="1"/>
    </xf>
    <xf numFmtId="0" fontId="16" fillId="0" borderId="3" xfId="0" applyFont="1" applyBorder="1" applyAlignment="1">
      <alignment horizontal="left" vertical="center" wrapText="1"/>
    </xf>
    <xf numFmtId="0" fontId="16" fillId="0" borderId="10" xfId="0"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9" fillId="5" borderId="0" xfId="0" applyFont="1" applyFill="1" applyAlignment="1">
      <alignment horizontal="left" vertical="center"/>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L27"/>
  <sheetViews>
    <sheetView showGridLines="0" zoomScaleNormal="100" workbookViewId="0">
      <selection activeCell="B4" sqref="B4:G4"/>
    </sheetView>
  </sheetViews>
  <sheetFormatPr defaultColWidth="9.109375" defaultRowHeight="22.5" customHeight="1" x14ac:dyDescent="0.25"/>
  <cols>
    <col min="1" max="1" width="3.33203125" style="52" customWidth="1"/>
    <col min="2" max="2" width="20.88671875" style="52" customWidth="1"/>
    <col min="3" max="4" width="13.33203125" style="52" customWidth="1"/>
    <col min="5" max="5" width="14.33203125" style="52" customWidth="1"/>
    <col min="6" max="6" width="13.6640625" style="52" customWidth="1"/>
    <col min="7" max="7" width="28.33203125" style="52" customWidth="1"/>
    <col min="8" max="8" width="14.6640625" style="52" bestFit="1" customWidth="1"/>
    <col min="9" max="11" width="9.109375" style="52"/>
    <col min="12" max="12" width="12.6640625" style="52" bestFit="1" customWidth="1"/>
    <col min="13" max="16384" width="9.109375" style="52"/>
  </cols>
  <sheetData>
    <row r="1" spans="2:12" ht="22.5" customHeight="1" x14ac:dyDescent="0.25">
      <c r="B1" s="207" t="s">
        <v>116</v>
      </c>
      <c r="C1" s="207"/>
      <c r="D1" s="207"/>
      <c r="E1" s="207"/>
      <c r="F1" s="207"/>
      <c r="G1" s="207"/>
    </row>
    <row r="3" spans="2:12" ht="22.5" customHeight="1" x14ac:dyDescent="0.25">
      <c r="B3" s="56" t="s">
        <v>223</v>
      </c>
    </row>
    <row r="4" spans="2:12" ht="34.5" customHeight="1" x14ac:dyDescent="0.25">
      <c r="B4" s="208" t="s">
        <v>195</v>
      </c>
      <c r="C4" s="208"/>
      <c r="D4" s="208"/>
      <c r="E4" s="208"/>
      <c r="F4" s="208"/>
      <c r="G4" s="208"/>
      <c r="H4" s="53"/>
    </row>
    <row r="5" spans="2:12" ht="22.5" customHeight="1" thickBot="1" x14ac:dyDescent="0.3"/>
    <row r="6" spans="2:12" ht="22.5" customHeight="1" thickBot="1" x14ac:dyDescent="0.3">
      <c r="B6" s="201" t="s">
        <v>88</v>
      </c>
      <c r="C6" s="202"/>
      <c r="D6" s="202"/>
      <c r="E6" s="202"/>
      <c r="F6" s="202"/>
      <c r="G6" s="203"/>
    </row>
    <row r="7" spans="2:12" ht="22.5" customHeight="1" x14ac:dyDescent="0.25">
      <c r="B7" s="11"/>
      <c r="C7" s="11"/>
      <c r="D7" s="11"/>
      <c r="E7" s="11"/>
      <c r="F7" s="11"/>
      <c r="G7" s="11"/>
    </row>
    <row r="8" spans="2:12" ht="22.5" customHeight="1" x14ac:dyDescent="0.25">
      <c r="B8" s="40" t="s">
        <v>84</v>
      </c>
      <c r="C8" s="40" t="s">
        <v>115</v>
      </c>
      <c r="D8" s="40" t="s">
        <v>85</v>
      </c>
      <c r="E8" s="40" t="s">
        <v>94</v>
      </c>
      <c r="F8" s="40" t="s">
        <v>86</v>
      </c>
      <c r="G8" s="40" t="s">
        <v>87</v>
      </c>
    </row>
    <row r="9" spans="2:12" ht="22.5" customHeight="1" x14ac:dyDescent="0.25">
      <c r="B9" s="188" t="s">
        <v>194</v>
      </c>
      <c r="C9" s="51">
        <v>2</v>
      </c>
      <c r="D9" s="3">
        <v>30</v>
      </c>
      <c r="E9" s="4">
        <f>'Assistente de Eventos'!H136</f>
        <v>10871.235000000002</v>
      </c>
      <c r="F9" s="5">
        <f>TRUNC(E9*C9,2)</f>
        <v>21742.47</v>
      </c>
      <c r="G9" s="5">
        <f>TRUNC(F9*D9,2)</f>
        <v>652274.1</v>
      </c>
    </row>
    <row r="10" spans="2:12" ht="22.5" customHeight="1" x14ac:dyDescent="0.25">
      <c r="B10" s="14" t="s">
        <v>58</v>
      </c>
      <c r="C10" s="51">
        <f>SUM(C9:C9)</f>
        <v>2</v>
      </c>
      <c r="D10" s="205"/>
      <c r="E10" s="206"/>
      <c r="F10" s="7">
        <f>SUM(F9:F9)</f>
        <v>21742.47</v>
      </c>
      <c r="G10" s="6">
        <f>SUM(G9:G9)</f>
        <v>652274.1</v>
      </c>
    </row>
    <row r="11" spans="2:12" ht="22.5" customHeight="1" x14ac:dyDescent="0.25">
      <c r="B11" s="204" t="s">
        <v>113</v>
      </c>
      <c r="C11" s="204"/>
      <c r="D11" s="204"/>
      <c r="E11" s="204"/>
      <c r="F11" s="204"/>
      <c r="G11" s="54">
        <f>G10</f>
        <v>652274.1</v>
      </c>
      <c r="L11" s="53"/>
    </row>
    <row r="12" spans="2:12" ht="14.1" customHeight="1" x14ac:dyDescent="0.25">
      <c r="F12" s="1"/>
    </row>
    <row r="13" spans="2:12" ht="101.1" customHeight="1" x14ac:dyDescent="0.25">
      <c r="B13" s="200" t="s">
        <v>186</v>
      </c>
      <c r="C13" s="200"/>
      <c r="D13" s="200"/>
      <c r="E13" s="200"/>
      <c r="F13" s="200"/>
      <c r="G13" s="200"/>
    </row>
    <row r="14" spans="2:12" ht="14.1" customHeight="1" x14ac:dyDescent="0.25">
      <c r="F14" s="1"/>
    </row>
    <row r="15" spans="2:12" ht="63.6" customHeight="1" x14ac:dyDescent="0.25">
      <c r="B15" s="200" t="s">
        <v>187</v>
      </c>
      <c r="C15" s="200"/>
      <c r="D15" s="200"/>
      <c r="E15" s="200"/>
      <c r="F15" s="200"/>
      <c r="G15" s="200"/>
    </row>
    <row r="16" spans="2:12" ht="14.1" customHeight="1" x14ac:dyDescent="0.25">
      <c r="F16" s="1"/>
    </row>
    <row r="17" spans="2:7" ht="29.4" customHeight="1" x14ac:dyDescent="0.25">
      <c r="B17" s="200" t="s">
        <v>188</v>
      </c>
      <c r="C17" s="200"/>
      <c r="D17" s="200"/>
      <c r="E17" s="200"/>
      <c r="F17" s="200"/>
      <c r="G17" s="200"/>
    </row>
    <row r="18" spans="2:7" ht="14.1" customHeight="1" x14ac:dyDescent="0.25">
      <c r="F18" s="1"/>
    </row>
    <row r="19" spans="2:7" ht="22.5" customHeight="1" x14ac:dyDescent="0.25">
      <c r="B19" s="200" t="s">
        <v>189</v>
      </c>
      <c r="C19" s="200"/>
      <c r="D19" s="200"/>
      <c r="E19" s="200"/>
      <c r="F19" s="200"/>
      <c r="G19" s="200"/>
    </row>
    <row r="20" spans="2:7" ht="22.5" customHeight="1" x14ac:dyDescent="0.25">
      <c r="F20" s="1"/>
    </row>
    <row r="21" spans="2:7" ht="22.5" customHeight="1" x14ac:dyDescent="0.25">
      <c r="D21" s="123" t="s">
        <v>172</v>
      </c>
      <c r="F21" s="1"/>
    </row>
    <row r="22" spans="2:7" ht="22.5" customHeight="1" x14ac:dyDescent="0.25">
      <c r="E22" s="124"/>
    </row>
    <row r="23" spans="2:7" ht="22.5" customHeight="1" x14ac:dyDescent="0.25">
      <c r="D23" s="124" t="s">
        <v>173</v>
      </c>
    </row>
    <row r="24" spans="2:7" ht="22.5" customHeight="1" x14ac:dyDescent="0.25">
      <c r="D24" s="124" t="s">
        <v>174</v>
      </c>
    </row>
    <row r="25" spans="2:7" ht="22.5" customHeight="1" x14ac:dyDescent="0.25">
      <c r="D25" s="124" t="s">
        <v>175</v>
      </c>
    </row>
    <row r="26" spans="2:7" ht="22.5" customHeight="1" x14ac:dyDescent="0.25">
      <c r="D26" s="124" t="s">
        <v>176</v>
      </c>
    </row>
    <row r="27" spans="2:7" ht="22.5" customHeight="1" x14ac:dyDescent="0.25">
      <c r="D27" s="124" t="s">
        <v>177</v>
      </c>
    </row>
  </sheetData>
  <mergeCells count="9">
    <mergeCell ref="B19:G19"/>
    <mergeCell ref="B6:G6"/>
    <mergeCell ref="B11:F11"/>
    <mergeCell ref="D10:E10"/>
    <mergeCell ref="B1:G1"/>
    <mergeCell ref="B4:G4"/>
    <mergeCell ref="B13:G13"/>
    <mergeCell ref="B15:G15"/>
    <mergeCell ref="B17:G17"/>
  </mergeCells>
  <printOptions horizontalCentered="1"/>
  <pageMargins left="0.51181102362204722" right="0.51181102362204722" top="0.98425196850393704" bottom="0.78740157480314965" header="0.31496062992125984" footer="0.31496062992125984"/>
  <pageSetup paperSize="9" scale="9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I149"/>
  <sheetViews>
    <sheetView showGridLines="0" tabSelected="1" zoomScale="130" zoomScaleNormal="130" workbookViewId="0">
      <selection activeCell="B138" sqref="B138:H149"/>
    </sheetView>
  </sheetViews>
  <sheetFormatPr defaultColWidth="9.109375" defaultRowHeight="13.2" x14ac:dyDescent="0.25"/>
  <cols>
    <col min="1" max="1" width="3.5546875" style="57" customWidth="1"/>
    <col min="2" max="2" width="8.33203125" style="57" customWidth="1"/>
    <col min="3" max="3" width="39.109375" style="57" customWidth="1"/>
    <col min="4" max="4" width="29.109375" style="57" customWidth="1"/>
    <col min="5" max="5" width="8.109375" style="57" customWidth="1"/>
    <col min="6" max="6" width="9.109375" style="57" bestFit="1" customWidth="1"/>
    <col min="7" max="7" width="9.109375" style="57" customWidth="1"/>
    <col min="8" max="9" width="15.33203125" style="57" customWidth="1"/>
    <col min="10" max="16384" width="9.109375" style="57"/>
  </cols>
  <sheetData>
    <row r="1" spans="2:9" x14ac:dyDescent="0.25">
      <c r="C1" s="106"/>
      <c r="D1" s="12"/>
      <c r="E1" s="12"/>
      <c r="F1" s="12"/>
      <c r="G1" s="12"/>
      <c r="H1" s="12"/>
      <c r="I1" s="12"/>
    </row>
    <row r="2" spans="2:9" x14ac:dyDescent="0.25">
      <c r="B2" s="209" t="s">
        <v>49</v>
      </c>
      <c r="C2" s="209"/>
      <c r="D2" s="209"/>
      <c r="E2" s="209"/>
      <c r="F2" s="209"/>
      <c r="G2" s="209"/>
      <c r="H2" s="209"/>
      <c r="I2" s="93"/>
    </row>
    <row r="3" spans="2:9" x14ac:dyDescent="0.25">
      <c r="B3" s="210" t="s">
        <v>178</v>
      </c>
      <c r="C3" s="210"/>
      <c r="D3" s="210"/>
      <c r="E3" s="210"/>
      <c r="F3" s="210"/>
      <c r="G3" s="210"/>
      <c r="H3" s="210"/>
      <c r="I3" s="95"/>
    </row>
    <row r="4" spans="2:9" x14ac:dyDescent="0.25">
      <c r="B4" s="59"/>
      <c r="C4" s="59"/>
      <c r="D4" s="59"/>
      <c r="E4" s="59"/>
      <c r="F4" s="59"/>
      <c r="G4" s="59"/>
      <c r="H4" s="59"/>
      <c r="I4" s="59"/>
    </row>
    <row r="5" spans="2:9" x14ac:dyDescent="0.25">
      <c r="B5" s="59"/>
      <c r="C5" s="59"/>
      <c r="D5" s="59"/>
      <c r="E5" s="59"/>
      <c r="F5" s="59"/>
      <c r="G5" s="59"/>
      <c r="H5" s="59"/>
      <c r="I5" s="59"/>
    </row>
    <row r="6" spans="2:9" x14ac:dyDescent="0.25">
      <c r="B6" s="135" t="s">
        <v>119</v>
      </c>
      <c r="C6" s="135"/>
      <c r="D6" s="213" t="s">
        <v>194</v>
      </c>
      <c r="E6" s="214"/>
      <c r="F6" s="215"/>
      <c r="I6" s="13"/>
    </row>
    <row r="7" spans="2:9" x14ac:dyDescent="0.25">
      <c r="B7" s="59"/>
      <c r="C7" s="59"/>
      <c r="D7" s="59"/>
      <c r="E7" s="59"/>
      <c r="F7" s="59"/>
      <c r="G7" s="59"/>
      <c r="H7" s="59"/>
      <c r="I7" s="12"/>
    </row>
    <row r="8" spans="2:9" x14ac:dyDescent="0.25">
      <c r="B8" s="219" t="s">
        <v>50</v>
      </c>
      <c r="C8" s="219"/>
      <c r="D8" s="219"/>
      <c r="E8" s="219"/>
      <c r="F8" s="219"/>
      <c r="G8" s="136"/>
      <c r="H8" s="136"/>
      <c r="I8" s="58"/>
    </row>
    <row r="9" spans="2:9" x14ac:dyDescent="0.25">
      <c r="B9" s="211">
        <v>1</v>
      </c>
      <c r="C9" s="220" t="s">
        <v>51</v>
      </c>
      <c r="D9" s="220"/>
      <c r="E9" s="220"/>
      <c r="F9" s="220"/>
      <c r="G9" s="136"/>
      <c r="H9" s="136"/>
      <c r="I9" s="58"/>
    </row>
    <row r="10" spans="2:9" x14ac:dyDescent="0.25">
      <c r="B10" s="211"/>
      <c r="C10" s="221"/>
      <c r="D10" s="221"/>
      <c r="E10" s="221"/>
      <c r="F10" s="221"/>
      <c r="G10" s="136"/>
      <c r="H10" s="136"/>
      <c r="I10" s="58"/>
    </row>
    <row r="11" spans="2:9" x14ac:dyDescent="0.25">
      <c r="B11" s="211">
        <v>2</v>
      </c>
      <c r="C11" s="220" t="s">
        <v>52</v>
      </c>
      <c r="D11" s="220"/>
      <c r="E11" s="220"/>
      <c r="F11" s="220"/>
      <c r="G11" s="136"/>
      <c r="H11" s="136"/>
      <c r="I11" s="58"/>
    </row>
    <row r="12" spans="2:9" x14ac:dyDescent="0.25">
      <c r="B12" s="211"/>
      <c r="C12" s="221"/>
      <c r="D12" s="221"/>
      <c r="E12" s="221"/>
      <c r="F12" s="221"/>
      <c r="G12" s="136"/>
      <c r="H12" s="136"/>
      <c r="I12" s="58"/>
    </row>
    <row r="13" spans="2:9" x14ac:dyDescent="0.25">
      <c r="B13" s="211">
        <v>3</v>
      </c>
      <c r="C13" s="220" t="s">
        <v>53</v>
      </c>
      <c r="D13" s="220"/>
      <c r="E13" s="220"/>
      <c r="F13" s="220"/>
      <c r="G13" s="136"/>
      <c r="H13" s="136"/>
      <c r="I13" s="58"/>
    </row>
    <row r="14" spans="2:9" x14ac:dyDescent="0.25">
      <c r="B14" s="211"/>
      <c r="C14" s="222"/>
      <c r="D14" s="222"/>
      <c r="E14" s="222"/>
      <c r="F14" s="222"/>
      <c r="G14" s="136"/>
      <c r="H14" s="136"/>
      <c r="I14" s="58"/>
    </row>
    <row r="15" spans="2:9" x14ac:dyDescent="0.25">
      <c r="B15" s="211">
        <v>4</v>
      </c>
      <c r="C15" s="220" t="s">
        <v>54</v>
      </c>
      <c r="D15" s="220"/>
      <c r="E15" s="220"/>
      <c r="F15" s="220"/>
      <c r="G15" s="136"/>
      <c r="H15" s="136"/>
      <c r="I15" s="58"/>
    </row>
    <row r="16" spans="2:9" x14ac:dyDescent="0.25">
      <c r="B16" s="211"/>
      <c r="C16" s="221"/>
      <c r="D16" s="221"/>
      <c r="E16" s="221"/>
      <c r="F16" s="221"/>
      <c r="G16" s="136"/>
      <c r="H16" s="136"/>
      <c r="I16" s="58"/>
    </row>
    <row r="17" spans="2:9" x14ac:dyDescent="0.25">
      <c r="B17" s="211">
        <v>5</v>
      </c>
      <c r="C17" s="220" t="s">
        <v>55</v>
      </c>
      <c r="D17" s="220"/>
      <c r="E17" s="220"/>
      <c r="F17" s="220"/>
      <c r="G17" s="136"/>
      <c r="H17" s="136"/>
      <c r="I17" s="58"/>
    </row>
    <row r="18" spans="2:9" x14ac:dyDescent="0.25">
      <c r="B18" s="211"/>
      <c r="C18" s="221"/>
      <c r="D18" s="221"/>
      <c r="E18" s="221"/>
      <c r="F18" s="221"/>
      <c r="G18" s="136"/>
      <c r="H18" s="136"/>
      <c r="I18" s="58"/>
    </row>
    <row r="19" spans="2:9" x14ac:dyDescent="0.25">
      <c r="B19" s="211">
        <v>6</v>
      </c>
      <c r="C19" s="220" t="s">
        <v>56</v>
      </c>
      <c r="D19" s="220"/>
      <c r="E19" s="220"/>
      <c r="F19" s="220"/>
      <c r="G19" s="136"/>
      <c r="H19" s="136"/>
      <c r="I19" s="58"/>
    </row>
    <row r="20" spans="2:9" x14ac:dyDescent="0.25">
      <c r="B20" s="211"/>
      <c r="C20" s="221"/>
      <c r="D20" s="221"/>
      <c r="E20" s="221"/>
      <c r="F20" s="221"/>
      <c r="G20" s="136"/>
      <c r="H20" s="136"/>
      <c r="I20" s="58"/>
    </row>
    <row r="21" spans="2:9" x14ac:dyDescent="0.25">
      <c r="B21" s="60"/>
      <c r="C21" s="60"/>
      <c r="D21" s="60"/>
      <c r="E21" s="60"/>
      <c r="F21" s="60"/>
      <c r="G21" s="61"/>
      <c r="H21" s="61"/>
      <c r="I21" s="58"/>
    </row>
    <row r="22" spans="2:9" x14ac:dyDescent="0.25">
      <c r="B22" s="62"/>
      <c r="C22" s="62"/>
      <c r="D22" s="62"/>
      <c r="E22" s="62"/>
      <c r="F22" s="62"/>
      <c r="G22" s="62"/>
      <c r="H22" s="141" t="s">
        <v>183</v>
      </c>
    </row>
    <row r="23" spans="2:9" x14ac:dyDescent="0.25">
      <c r="B23" s="226" t="s">
        <v>63</v>
      </c>
      <c r="C23" s="227"/>
      <c r="D23" s="227"/>
      <c r="E23" s="227"/>
      <c r="F23" s="227"/>
      <c r="G23" s="139"/>
      <c r="H23" s="140"/>
      <c r="I23" s="94"/>
    </row>
    <row r="24" spans="2:9" x14ac:dyDescent="0.25">
      <c r="B24" s="89">
        <v>1</v>
      </c>
      <c r="C24" s="205" t="s">
        <v>57</v>
      </c>
      <c r="D24" s="212"/>
      <c r="E24" s="212"/>
      <c r="F24" s="206"/>
      <c r="G24" s="138" t="s">
        <v>1</v>
      </c>
      <c r="H24" s="138" t="s">
        <v>48</v>
      </c>
      <c r="I24" s="94"/>
    </row>
    <row r="25" spans="2:9" ht="12.75" customHeight="1" x14ac:dyDescent="0.25">
      <c r="B25" s="14" t="s">
        <v>4</v>
      </c>
      <c r="C25" s="87" t="s">
        <v>16</v>
      </c>
      <c r="D25" s="216"/>
      <c r="E25" s="217"/>
      <c r="F25" s="218"/>
      <c r="G25" s="15"/>
      <c r="H25" s="31">
        <v>2053</v>
      </c>
      <c r="I25" s="100"/>
    </row>
    <row r="26" spans="2:9" x14ac:dyDescent="0.25">
      <c r="B26" s="14" t="s">
        <v>5</v>
      </c>
      <c r="C26" s="87" t="s">
        <v>23</v>
      </c>
      <c r="D26" s="216" t="s">
        <v>120</v>
      </c>
      <c r="E26" s="217"/>
      <c r="F26" s="218"/>
      <c r="G26" s="32"/>
      <c r="H26" s="16">
        <f>TRUNC(H$25*$G26,2)</f>
        <v>0</v>
      </c>
      <c r="I26" s="96"/>
    </row>
    <row r="27" spans="2:9" x14ac:dyDescent="0.25">
      <c r="B27" s="14" t="s">
        <v>6</v>
      </c>
      <c r="C27" s="88" t="s">
        <v>24</v>
      </c>
      <c r="D27" s="165" t="s">
        <v>161</v>
      </c>
      <c r="E27" s="176" t="s">
        <v>185</v>
      </c>
      <c r="F27" s="175">
        <v>1621</v>
      </c>
      <c r="G27" s="32"/>
      <c r="H27" s="16">
        <f>TRUNC(F$27*$G27,2)</f>
        <v>0</v>
      </c>
      <c r="I27" s="96"/>
    </row>
    <row r="28" spans="2:9" x14ac:dyDescent="0.25">
      <c r="B28" s="14" t="s">
        <v>7</v>
      </c>
      <c r="C28" s="88" t="s">
        <v>0</v>
      </c>
      <c r="D28" s="216" t="s">
        <v>168</v>
      </c>
      <c r="E28" s="217"/>
      <c r="F28" s="218"/>
      <c r="G28" s="33"/>
      <c r="H28" s="66">
        <f>TRUNC(((H$25+H26)*$G28)/220*8*15,2)</f>
        <v>0</v>
      </c>
      <c r="I28" s="97"/>
    </row>
    <row r="29" spans="2:9" x14ac:dyDescent="0.25">
      <c r="B29" s="116" t="s">
        <v>8</v>
      </c>
      <c r="C29" s="117" t="s">
        <v>25</v>
      </c>
      <c r="D29" s="223" t="s">
        <v>168</v>
      </c>
      <c r="E29" s="224"/>
      <c r="F29" s="225"/>
      <c r="G29" s="118"/>
      <c r="H29" s="119">
        <f>TRUNC(((H25+H26)*$G29)/220*1*15,2)</f>
        <v>0</v>
      </c>
      <c r="I29" s="120"/>
    </row>
    <row r="30" spans="2:9" x14ac:dyDescent="0.25">
      <c r="B30" s="121" t="s">
        <v>9</v>
      </c>
      <c r="C30" s="117" t="s">
        <v>208</v>
      </c>
      <c r="D30" s="223" t="s">
        <v>211</v>
      </c>
      <c r="E30" s="224"/>
      <c r="F30" s="225"/>
      <c r="G30" s="122">
        <v>0.5</v>
      </c>
      <c r="H30" s="119">
        <f>TRUNC($G$35*H35*(1+$G$30),2)</f>
        <v>447.84</v>
      </c>
      <c r="I30" s="120"/>
    </row>
    <row r="31" spans="2:9" x14ac:dyDescent="0.25">
      <c r="B31" s="121" t="s">
        <v>10</v>
      </c>
      <c r="C31" s="117" t="s">
        <v>209</v>
      </c>
      <c r="D31" s="223" t="s">
        <v>210</v>
      </c>
      <c r="E31" s="224"/>
      <c r="F31" s="225"/>
      <c r="G31" s="122">
        <v>1</v>
      </c>
      <c r="H31" s="119">
        <f>TRUNC($F$35*H35*(1+$G$31),2)</f>
        <v>164.2</v>
      </c>
      <c r="I31" s="120"/>
    </row>
    <row r="32" spans="2:9" x14ac:dyDescent="0.25">
      <c r="B32" s="14" t="s">
        <v>11</v>
      </c>
      <c r="C32" s="88" t="s">
        <v>2</v>
      </c>
      <c r="D32" s="216"/>
      <c r="E32" s="217"/>
      <c r="F32" s="218"/>
      <c r="G32" s="33"/>
      <c r="H32" s="48"/>
      <c r="I32" s="98"/>
    </row>
    <row r="33" spans="2:9" x14ac:dyDescent="0.25">
      <c r="B33" s="14" t="s">
        <v>121</v>
      </c>
      <c r="C33" s="205" t="s">
        <v>58</v>
      </c>
      <c r="D33" s="212"/>
      <c r="E33" s="212"/>
      <c r="F33" s="206"/>
      <c r="G33" s="27"/>
      <c r="H33" s="17">
        <f>SUM(H25:H32)</f>
        <v>2665.04</v>
      </c>
      <c r="I33" s="199"/>
    </row>
    <row r="34" spans="2:9" ht="30.6" x14ac:dyDescent="0.25">
      <c r="B34" s="93"/>
      <c r="C34" s="228" t="s">
        <v>112</v>
      </c>
      <c r="D34" s="229"/>
      <c r="E34" s="230"/>
      <c r="F34" s="193" t="s">
        <v>212</v>
      </c>
      <c r="G34" s="193" t="s">
        <v>213</v>
      </c>
      <c r="H34" s="50" t="s">
        <v>114</v>
      </c>
      <c r="I34" s="2"/>
    </row>
    <row r="35" spans="2:9" x14ac:dyDescent="0.25">
      <c r="B35" s="93"/>
      <c r="C35" s="231"/>
      <c r="D35" s="232"/>
      <c r="E35" s="233"/>
      <c r="F35" s="198">
        <f>17.6/2</f>
        <v>8.8000000000000007</v>
      </c>
      <c r="G35" s="49">
        <v>32</v>
      </c>
      <c r="H35" s="34">
        <f>IF($G$35="",0,TRUNC((H25+H26+H27)/220,2))</f>
        <v>9.33</v>
      </c>
      <c r="I35" s="99"/>
    </row>
    <row r="36" spans="2:9" x14ac:dyDescent="0.25">
      <c r="B36" s="93"/>
      <c r="C36" s="93"/>
      <c r="D36" s="93"/>
      <c r="E36" s="93"/>
      <c r="F36" s="93"/>
      <c r="G36" s="93"/>
      <c r="H36" s="67"/>
      <c r="I36" s="18"/>
    </row>
    <row r="37" spans="2:9" x14ac:dyDescent="0.25">
      <c r="B37" s="93"/>
      <c r="C37" s="93"/>
      <c r="D37" s="93"/>
      <c r="E37" s="93"/>
      <c r="F37" s="93"/>
      <c r="G37" s="93"/>
      <c r="H37" s="67"/>
      <c r="I37" s="18"/>
    </row>
    <row r="38" spans="2:9" ht="12.75" customHeight="1" x14ac:dyDescent="0.25">
      <c r="B38" s="226" t="s">
        <v>64</v>
      </c>
      <c r="C38" s="227"/>
      <c r="D38" s="227"/>
      <c r="E38" s="227"/>
      <c r="F38" s="227"/>
      <c r="G38" s="139"/>
      <c r="H38" s="140"/>
      <c r="I38" s="94"/>
    </row>
    <row r="39" spans="2:9" x14ac:dyDescent="0.25">
      <c r="B39" s="235"/>
      <c r="C39" s="236"/>
      <c r="D39" s="236"/>
      <c r="E39" s="236"/>
      <c r="F39" s="236"/>
      <c r="G39" s="56"/>
      <c r="H39" s="56"/>
      <c r="I39" s="94"/>
    </row>
    <row r="40" spans="2:9" x14ac:dyDescent="0.25">
      <c r="B40" s="234" t="s">
        <v>35</v>
      </c>
      <c r="C40" s="234"/>
      <c r="D40" s="234"/>
      <c r="E40" s="234"/>
      <c r="F40" s="234"/>
      <c r="G40" s="56"/>
      <c r="H40" s="56"/>
      <c r="I40" s="94"/>
    </row>
    <row r="41" spans="2:9" x14ac:dyDescent="0.25">
      <c r="B41" s="138" t="s">
        <v>37</v>
      </c>
      <c r="C41" s="242" t="s">
        <v>26</v>
      </c>
      <c r="D41" s="243"/>
      <c r="E41" s="243"/>
      <c r="F41" s="244"/>
      <c r="G41" s="89" t="s">
        <v>1</v>
      </c>
      <c r="H41" s="89" t="s">
        <v>48</v>
      </c>
      <c r="I41" s="94"/>
    </row>
    <row r="42" spans="2:9" x14ac:dyDescent="0.25">
      <c r="B42" s="14" t="s">
        <v>4</v>
      </c>
      <c r="C42" s="87" t="s">
        <v>105</v>
      </c>
      <c r="D42" s="216" t="s">
        <v>122</v>
      </c>
      <c r="E42" s="217"/>
      <c r="F42" s="218"/>
      <c r="G42" s="144">
        <f>1/12</f>
        <v>8.3333333333333329E-2</v>
      </c>
      <c r="H42" s="145">
        <f>TRUNC((H$33*$G42),2)</f>
        <v>222.08</v>
      </c>
      <c r="I42" s="100"/>
    </row>
    <row r="43" spans="2:9" x14ac:dyDescent="0.25">
      <c r="B43" s="14" t="s">
        <v>5</v>
      </c>
      <c r="C43" s="87" t="s">
        <v>62</v>
      </c>
      <c r="D43" s="216" t="s">
        <v>124</v>
      </c>
      <c r="E43" s="217"/>
      <c r="F43" s="218"/>
      <c r="G43" s="19">
        <f>(1/12)+(1/3/12)</f>
        <v>0.1111111111111111</v>
      </c>
      <c r="H43" s="20">
        <f>TRUNC((H$33*$G43),2)</f>
        <v>296.11</v>
      </c>
      <c r="I43" s="100"/>
    </row>
    <row r="44" spans="2:9" x14ac:dyDescent="0.25">
      <c r="B44" s="14" t="s">
        <v>123</v>
      </c>
      <c r="C44" s="205" t="s">
        <v>58</v>
      </c>
      <c r="D44" s="212"/>
      <c r="E44" s="212"/>
      <c r="F44" s="206"/>
      <c r="G44" s="21">
        <f>TRUNC(SUM(G42:G43),4)</f>
        <v>0.19439999999999999</v>
      </c>
      <c r="H44" s="17">
        <f>SUM(H42:H43)</f>
        <v>518.19000000000005</v>
      </c>
      <c r="I44" s="18"/>
    </row>
    <row r="45" spans="2:9" x14ac:dyDescent="0.25">
      <c r="B45" s="245"/>
      <c r="C45" s="246"/>
      <c r="D45" s="246"/>
      <c r="E45" s="246"/>
      <c r="F45" s="246"/>
      <c r="G45" s="246"/>
      <c r="H45" s="247"/>
      <c r="I45" s="93"/>
    </row>
    <row r="46" spans="2:9" ht="30" customHeight="1" x14ac:dyDescent="0.25">
      <c r="B46" s="251" t="s">
        <v>65</v>
      </c>
      <c r="C46" s="252"/>
      <c r="D46" s="252"/>
      <c r="E46" s="252"/>
      <c r="F46" s="253"/>
      <c r="G46" s="142"/>
      <c r="H46" s="143"/>
      <c r="I46" s="101"/>
    </row>
    <row r="47" spans="2:9" x14ac:dyDescent="0.25">
      <c r="B47" s="89" t="s">
        <v>38</v>
      </c>
      <c r="C47" s="205" t="s">
        <v>66</v>
      </c>
      <c r="D47" s="212"/>
      <c r="E47" s="212"/>
      <c r="F47" s="206"/>
      <c r="G47" s="89" t="s">
        <v>1</v>
      </c>
      <c r="H47" s="89" t="s">
        <v>48</v>
      </c>
      <c r="I47" s="94"/>
    </row>
    <row r="48" spans="2:9" x14ac:dyDescent="0.25">
      <c r="B48" s="14" t="s">
        <v>4</v>
      </c>
      <c r="C48" s="87" t="s">
        <v>29</v>
      </c>
      <c r="D48" s="216" t="s">
        <v>125</v>
      </c>
      <c r="E48" s="217"/>
      <c r="F48" s="218"/>
      <c r="G48" s="19">
        <v>0.2</v>
      </c>
      <c r="H48" s="20">
        <f>TRUNC((H$33+H$44)*$G48,2)</f>
        <v>636.64</v>
      </c>
      <c r="I48" s="100"/>
    </row>
    <row r="49" spans="2:9" x14ac:dyDescent="0.25">
      <c r="B49" s="14" t="s">
        <v>5</v>
      </c>
      <c r="C49" s="75" t="s">
        <v>30</v>
      </c>
      <c r="D49" s="216" t="s">
        <v>126</v>
      </c>
      <c r="E49" s="217"/>
      <c r="F49" s="218"/>
      <c r="G49" s="19">
        <v>2.5000000000000001E-2</v>
      </c>
      <c r="H49" s="20">
        <f>TRUNC((H$33+H$44)*$G49,2)</f>
        <v>79.58</v>
      </c>
      <c r="I49" s="100"/>
    </row>
    <row r="50" spans="2:9" x14ac:dyDescent="0.25">
      <c r="B50" s="237" t="s">
        <v>6</v>
      </c>
      <c r="C50" s="239" t="s">
        <v>99</v>
      </c>
      <c r="D50" s="241" t="s">
        <v>132</v>
      </c>
      <c r="E50" s="8" t="s">
        <v>100</v>
      </c>
      <c r="F50" s="8" t="s">
        <v>98</v>
      </c>
      <c r="G50" s="248">
        <f>E51*F51</f>
        <v>0.06</v>
      </c>
      <c r="H50" s="250">
        <f>TRUNC((H$33+H$44)*$G50,2)</f>
        <v>190.99</v>
      </c>
      <c r="I50" s="102"/>
    </row>
    <row r="51" spans="2:9" x14ac:dyDescent="0.25">
      <c r="B51" s="238"/>
      <c r="C51" s="240"/>
      <c r="D51" s="241"/>
      <c r="E51" s="35">
        <v>0.03</v>
      </c>
      <c r="F51" s="36">
        <v>2</v>
      </c>
      <c r="G51" s="249"/>
      <c r="H51" s="250"/>
      <c r="I51" s="102"/>
    </row>
    <row r="52" spans="2:9" x14ac:dyDescent="0.25">
      <c r="B52" s="14" t="s">
        <v>7</v>
      </c>
      <c r="C52" s="87" t="s">
        <v>28</v>
      </c>
      <c r="D52" s="216" t="s">
        <v>127</v>
      </c>
      <c r="E52" s="217"/>
      <c r="F52" s="218"/>
      <c r="G52" s="19">
        <v>1.4999999999999999E-2</v>
      </c>
      <c r="H52" s="20">
        <f>TRUNC((H$33+H$44)*$G52,2)</f>
        <v>47.74</v>
      </c>
      <c r="I52" s="100"/>
    </row>
    <row r="53" spans="2:9" x14ac:dyDescent="0.25">
      <c r="B53" s="14" t="s">
        <v>8</v>
      </c>
      <c r="C53" s="87" t="s">
        <v>31</v>
      </c>
      <c r="D53" s="216" t="s">
        <v>128</v>
      </c>
      <c r="E53" s="217"/>
      <c r="F53" s="218"/>
      <c r="G53" s="19">
        <v>0.01</v>
      </c>
      <c r="H53" s="20">
        <f>TRUNC((H$33+H$44)*$G53,2)</f>
        <v>31.83</v>
      </c>
      <c r="I53" s="100"/>
    </row>
    <row r="54" spans="2:9" x14ac:dyDescent="0.25">
      <c r="B54" s="14" t="s">
        <v>9</v>
      </c>
      <c r="C54" s="87" t="s">
        <v>32</v>
      </c>
      <c r="D54" s="216" t="s">
        <v>129</v>
      </c>
      <c r="E54" s="217"/>
      <c r="F54" s="218"/>
      <c r="G54" s="19">
        <v>6.0000000000000001E-3</v>
      </c>
      <c r="H54" s="20">
        <f>TRUNC((H$33+H$44)*$G54,2)</f>
        <v>19.09</v>
      </c>
      <c r="I54" s="100"/>
    </row>
    <row r="55" spans="2:9" x14ac:dyDescent="0.25">
      <c r="B55" s="14" t="s">
        <v>10</v>
      </c>
      <c r="C55" s="87" t="s">
        <v>33</v>
      </c>
      <c r="D55" s="216" t="s">
        <v>130</v>
      </c>
      <c r="E55" s="217"/>
      <c r="F55" s="218"/>
      <c r="G55" s="19">
        <v>2E-3</v>
      </c>
      <c r="H55" s="20">
        <f>TRUNC((H$33+H$44)*$G55,2)</f>
        <v>6.36</v>
      </c>
      <c r="I55" s="100"/>
    </row>
    <row r="56" spans="2:9" x14ac:dyDescent="0.25">
      <c r="B56" s="14" t="s">
        <v>11</v>
      </c>
      <c r="C56" s="87" t="s">
        <v>34</v>
      </c>
      <c r="D56" s="216" t="s">
        <v>131</v>
      </c>
      <c r="E56" s="217"/>
      <c r="F56" s="218"/>
      <c r="G56" s="19">
        <v>0.08</v>
      </c>
      <c r="H56" s="20">
        <f>TRUNC((H$33+H$44)*$G56,2)</f>
        <v>254.65</v>
      </c>
      <c r="I56" s="100"/>
    </row>
    <row r="57" spans="2:9" x14ac:dyDescent="0.25">
      <c r="B57" s="14" t="s">
        <v>133</v>
      </c>
      <c r="C57" s="205" t="s">
        <v>58</v>
      </c>
      <c r="D57" s="212"/>
      <c r="E57" s="212"/>
      <c r="F57" s="206"/>
      <c r="G57" s="22">
        <f>SUM(G48:G56)</f>
        <v>0.39800000000000008</v>
      </c>
      <c r="H57" s="17">
        <f>SUM(H48:H56)</f>
        <v>1266.8800000000001</v>
      </c>
      <c r="I57" s="18"/>
    </row>
    <row r="58" spans="2:9" x14ac:dyDescent="0.25">
      <c r="B58" s="254"/>
      <c r="C58" s="255"/>
      <c r="D58" s="255"/>
      <c r="E58" s="255"/>
      <c r="F58" s="255"/>
      <c r="G58" s="255"/>
      <c r="H58" s="256"/>
      <c r="I58" s="111"/>
    </row>
    <row r="59" spans="2:9" ht="12.75" customHeight="1" x14ac:dyDescent="0.25">
      <c r="B59" s="251" t="s">
        <v>36</v>
      </c>
      <c r="C59" s="252"/>
      <c r="D59" s="252"/>
      <c r="E59" s="252"/>
      <c r="F59" s="253"/>
      <c r="G59" s="142"/>
      <c r="H59" s="143"/>
      <c r="I59" s="111"/>
    </row>
    <row r="60" spans="2:9" x14ac:dyDescent="0.25">
      <c r="B60" s="89" t="s">
        <v>39</v>
      </c>
      <c r="C60" s="205" t="s">
        <v>40</v>
      </c>
      <c r="D60" s="212"/>
      <c r="E60" s="212"/>
      <c r="F60" s="212"/>
      <c r="G60" s="76"/>
      <c r="H60" s="89" t="s">
        <v>48</v>
      </c>
      <c r="I60" s="94"/>
    </row>
    <row r="61" spans="2:9" ht="12.75" customHeight="1" x14ac:dyDescent="0.25">
      <c r="B61" s="14" t="s">
        <v>4</v>
      </c>
      <c r="C61" s="87" t="s">
        <v>46</v>
      </c>
      <c r="D61" s="165" t="s">
        <v>136</v>
      </c>
      <c r="E61" s="166"/>
      <c r="F61" s="166"/>
      <c r="G61" s="167"/>
      <c r="H61" s="189">
        <f>IF((TRUNC((9.4*2*22)-(H$25*6%),2))&lt;0,"0,00",(TRUNC((9.4*2*22)-(H$25*6%),2)))</f>
        <v>290.42</v>
      </c>
      <c r="I61" s="112"/>
    </row>
    <row r="62" spans="2:9" ht="12.75" customHeight="1" x14ac:dyDescent="0.25">
      <c r="B62" s="14" t="s">
        <v>5</v>
      </c>
      <c r="C62" s="87" t="s">
        <v>47</v>
      </c>
      <c r="D62" s="165" t="s">
        <v>137</v>
      </c>
      <c r="E62" s="166"/>
      <c r="F62" s="166"/>
      <c r="G62" s="167"/>
      <c r="H62" s="192">
        <v>1114.7</v>
      </c>
      <c r="I62" s="112"/>
    </row>
    <row r="63" spans="2:9" ht="12.75" customHeight="1" x14ac:dyDescent="0.25">
      <c r="B63" s="14" t="s">
        <v>6</v>
      </c>
      <c r="C63" s="87" t="s">
        <v>196</v>
      </c>
      <c r="D63" s="165"/>
      <c r="E63" s="166"/>
      <c r="F63" s="166"/>
      <c r="G63" s="167"/>
      <c r="H63" s="189">
        <v>871.9</v>
      </c>
      <c r="I63" s="112"/>
    </row>
    <row r="64" spans="2:9" ht="21.9" customHeight="1" x14ac:dyDescent="0.25">
      <c r="B64" s="14" t="s">
        <v>7</v>
      </c>
      <c r="C64" s="87" t="s">
        <v>206</v>
      </c>
      <c r="D64" s="269" t="s">
        <v>207</v>
      </c>
      <c r="E64" s="270"/>
      <c r="F64" s="270"/>
      <c r="G64" s="271"/>
      <c r="H64" s="189">
        <v>0</v>
      </c>
      <c r="I64" s="112"/>
    </row>
    <row r="65" spans="2:9" s="68" customFormat="1" x14ac:dyDescent="0.25">
      <c r="B65" s="14" t="s">
        <v>8</v>
      </c>
      <c r="C65" s="87" t="s">
        <v>2</v>
      </c>
      <c r="D65" s="165"/>
      <c r="E65" s="166"/>
      <c r="F65" s="166"/>
      <c r="G65" s="167"/>
      <c r="H65" s="37">
        <v>0</v>
      </c>
      <c r="I65" s="112"/>
    </row>
    <row r="66" spans="2:9" x14ac:dyDescent="0.25">
      <c r="B66" s="14" t="s">
        <v>134</v>
      </c>
      <c r="C66" s="205" t="s">
        <v>58</v>
      </c>
      <c r="D66" s="212"/>
      <c r="E66" s="212"/>
      <c r="F66" s="212"/>
      <c r="G66" s="76"/>
      <c r="H66" s="17">
        <f>SUM(H61:H65)</f>
        <v>2277.02</v>
      </c>
      <c r="I66" s="18"/>
    </row>
    <row r="67" spans="2:9" x14ac:dyDescent="0.25">
      <c r="B67" s="245"/>
      <c r="C67" s="246"/>
      <c r="D67" s="246"/>
      <c r="E67" s="246"/>
      <c r="F67" s="246"/>
      <c r="G67" s="246"/>
      <c r="H67" s="246"/>
      <c r="I67" s="93"/>
    </row>
    <row r="68" spans="2:9" x14ac:dyDescent="0.25">
      <c r="B68" s="259" t="s">
        <v>68</v>
      </c>
      <c r="C68" s="260"/>
      <c r="D68" s="260"/>
      <c r="E68" s="260"/>
      <c r="F68" s="260"/>
      <c r="G68" s="146"/>
      <c r="H68" s="146"/>
      <c r="I68" s="93"/>
    </row>
    <row r="69" spans="2:9" x14ac:dyDescent="0.25">
      <c r="B69" s="89">
        <v>2</v>
      </c>
      <c r="C69" s="205" t="s">
        <v>67</v>
      </c>
      <c r="D69" s="212"/>
      <c r="E69" s="212"/>
      <c r="F69" s="212"/>
      <c r="G69" s="76"/>
      <c r="H69" s="89" t="s">
        <v>48</v>
      </c>
      <c r="I69" s="94"/>
    </row>
    <row r="70" spans="2:9" x14ac:dyDescent="0.25">
      <c r="B70" s="14" t="s">
        <v>37</v>
      </c>
      <c r="C70" s="77" t="s">
        <v>26</v>
      </c>
      <c r="D70" s="165" t="s">
        <v>123</v>
      </c>
      <c r="E70" s="166"/>
      <c r="F70" s="166"/>
      <c r="G70" s="167"/>
      <c r="H70" s="20">
        <f>H44</f>
        <v>518.19000000000005</v>
      </c>
      <c r="I70" s="100"/>
    </row>
    <row r="71" spans="2:9" x14ac:dyDescent="0.25">
      <c r="B71" s="14" t="s">
        <v>38</v>
      </c>
      <c r="C71" s="77" t="s">
        <v>27</v>
      </c>
      <c r="D71" s="165" t="s">
        <v>133</v>
      </c>
      <c r="E71" s="166"/>
      <c r="F71" s="166"/>
      <c r="G71" s="167"/>
      <c r="H71" s="20">
        <f>H57</f>
        <v>1266.8800000000001</v>
      </c>
      <c r="I71" s="100"/>
    </row>
    <row r="72" spans="2:9" x14ac:dyDescent="0.25">
      <c r="B72" s="14" t="s">
        <v>39</v>
      </c>
      <c r="C72" s="77" t="s">
        <v>40</v>
      </c>
      <c r="D72" s="165" t="s">
        <v>134</v>
      </c>
      <c r="E72" s="166"/>
      <c r="F72" s="166"/>
      <c r="G72" s="167"/>
      <c r="H72" s="20">
        <f>H66</f>
        <v>2277.02</v>
      </c>
      <c r="I72" s="100"/>
    </row>
    <row r="73" spans="2:9" x14ac:dyDescent="0.25">
      <c r="B73" s="14" t="s">
        <v>135</v>
      </c>
      <c r="C73" s="205" t="s">
        <v>58</v>
      </c>
      <c r="D73" s="212"/>
      <c r="E73" s="212"/>
      <c r="F73" s="212"/>
      <c r="G73" s="76"/>
      <c r="H73" s="17">
        <f>SUM(H70:H72)</f>
        <v>4062.09</v>
      </c>
      <c r="I73" s="18"/>
    </row>
    <row r="74" spans="2:9" x14ac:dyDescent="0.25">
      <c r="B74" s="246"/>
      <c r="C74" s="246"/>
      <c r="D74" s="246"/>
      <c r="E74" s="246"/>
      <c r="F74" s="246"/>
      <c r="G74" s="246"/>
      <c r="H74" s="246"/>
      <c r="I74" s="94"/>
    </row>
    <row r="75" spans="2:9" x14ac:dyDescent="0.25">
      <c r="B75" s="93"/>
      <c r="C75" s="93"/>
      <c r="D75" s="93"/>
      <c r="E75" s="93"/>
      <c r="F75" s="93"/>
      <c r="G75" s="93"/>
      <c r="H75" s="93"/>
      <c r="I75" s="94"/>
    </row>
    <row r="76" spans="2:9" x14ac:dyDescent="0.25">
      <c r="B76" s="226" t="s">
        <v>69</v>
      </c>
      <c r="C76" s="227"/>
      <c r="D76" s="227"/>
      <c r="E76" s="227"/>
      <c r="F76" s="258"/>
      <c r="G76" s="139"/>
      <c r="H76" s="140"/>
      <c r="I76" s="94"/>
    </row>
    <row r="77" spans="2:9" x14ac:dyDescent="0.25">
      <c r="B77" s="89">
        <v>3</v>
      </c>
      <c r="C77" s="205" t="s">
        <v>59</v>
      </c>
      <c r="D77" s="212"/>
      <c r="E77" s="212"/>
      <c r="F77" s="257"/>
      <c r="G77" s="89" t="s">
        <v>1</v>
      </c>
      <c r="H77" s="89" t="s">
        <v>48</v>
      </c>
      <c r="I77" s="94"/>
    </row>
    <row r="78" spans="2:9" x14ac:dyDescent="0.25">
      <c r="B78" s="14" t="s">
        <v>4</v>
      </c>
      <c r="C78" s="87" t="s">
        <v>191</v>
      </c>
      <c r="D78" s="216" t="s">
        <v>162</v>
      </c>
      <c r="E78" s="218"/>
      <c r="F78" s="182">
        <f>TRUNC(H$56*0.4,2)</f>
        <v>101.86</v>
      </c>
      <c r="G78" s="183"/>
      <c r="H78" s="184"/>
      <c r="I78" s="18"/>
    </row>
    <row r="79" spans="2:9" x14ac:dyDescent="0.25">
      <c r="B79" s="14" t="s">
        <v>5</v>
      </c>
      <c r="C79" s="87" t="s">
        <v>96</v>
      </c>
      <c r="D79" s="261" t="s">
        <v>169</v>
      </c>
      <c r="E79" s="265"/>
      <c r="F79" s="182">
        <f>TRUNC((H$33+H$44+H$56+H$66-H61)/12,2)</f>
        <v>452.04</v>
      </c>
      <c r="G79" s="185"/>
      <c r="H79" s="183"/>
      <c r="I79" s="100"/>
    </row>
    <row r="80" spans="2:9" x14ac:dyDescent="0.25">
      <c r="B80" s="14" t="s">
        <v>6</v>
      </c>
      <c r="C80" s="78" t="s">
        <v>95</v>
      </c>
      <c r="D80" s="165" t="s">
        <v>192</v>
      </c>
      <c r="E80" s="166"/>
      <c r="F80" s="186"/>
      <c r="G80" s="38">
        <v>0.5</v>
      </c>
      <c r="H80" s="23">
        <f>TRUNC((F$79+F78)*$G80,2)</f>
        <v>276.95</v>
      </c>
      <c r="I80" s="187"/>
    </row>
    <row r="81" spans="2:9" x14ac:dyDescent="0.25">
      <c r="B81" s="14" t="s">
        <v>7</v>
      </c>
      <c r="C81" s="78" t="s">
        <v>97</v>
      </c>
      <c r="D81" s="165" t="s">
        <v>193</v>
      </c>
      <c r="E81" s="166"/>
      <c r="F81" s="167"/>
      <c r="G81" s="177">
        <f>1-G80</f>
        <v>0.5</v>
      </c>
      <c r="H81" s="81">
        <f>(TRUNC(F$78*$G81,2))</f>
        <v>50.93</v>
      </c>
      <c r="I81" s="100"/>
    </row>
    <row r="82" spans="2:9" x14ac:dyDescent="0.25">
      <c r="B82" s="14" t="s">
        <v>8</v>
      </c>
      <c r="C82" s="78" t="s">
        <v>167</v>
      </c>
      <c r="D82" s="261" t="s">
        <v>184</v>
      </c>
      <c r="E82" s="262"/>
      <c r="F82" s="39">
        <v>12</v>
      </c>
      <c r="G82" s="39">
        <v>3</v>
      </c>
      <c r="H82" s="20">
        <f>TRUNC(((H$33+H$44+H$57)/30)*$G82/$F82,2)</f>
        <v>37.08</v>
      </c>
      <c r="I82" s="100"/>
    </row>
    <row r="83" spans="2:9" x14ac:dyDescent="0.25">
      <c r="B83" s="14" t="s">
        <v>139</v>
      </c>
      <c r="C83" s="205" t="s">
        <v>58</v>
      </c>
      <c r="D83" s="212"/>
      <c r="E83" s="212"/>
      <c r="F83" s="212"/>
      <c r="G83" s="76"/>
      <c r="H83" s="17">
        <f>H$80+H$81+H$82</f>
        <v>364.96</v>
      </c>
      <c r="I83" s="18"/>
    </row>
    <row r="84" spans="2:9" x14ac:dyDescent="0.25">
      <c r="B84" s="90"/>
      <c r="C84" s="90"/>
      <c r="D84" s="90"/>
      <c r="E84" s="90"/>
      <c r="F84" s="90"/>
      <c r="G84" s="90"/>
      <c r="H84" s="90"/>
      <c r="I84" s="90"/>
    </row>
    <row r="85" spans="2:9" x14ac:dyDescent="0.25">
      <c r="B85" s="93"/>
      <c r="C85" s="93"/>
      <c r="D85" s="93"/>
      <c r="E85" s="93"/>
      <c r="F85" s="93"/>
      <c r="G85" s="93"/>
      <c r="H85" s="93"/>
      <c r="I85" s="94"/>
    </row>
    <row r="86" spans="2:9" x14ac:dyDescent="0.25">
      <c r="B86" s="226" t="s">
        <v>70</v>
      </c>
      <c r="C86" s="227"/>
      <c r="D86" s="227"/>
      <c r="E86" s="227"/>
      <c r="F86" s="258"/>
      <c r="G86" s="139"/>
      <c r="H86" s="140"/>
      <c r="I86" s="94"/>
    </row>
    <row r="87" spans="2:9" x14ac:dyDescent="0.25">
      <c r="B87" s="263" t="s">
        <v>89</v>
      </c>
      <c r="C87" s="264"/>
      <c r="D87" s="264"/>
      <c r="E87" s="264"/>
      <c r="F87" s="264"/>
      <c r="G87" s="147"/>
      <c r="H87" s="148"/>
      <c r="I87" s="94"/>
    </row>
    <row r="88" spans="2:9" x14ac:dyDescent="0.25">
      <c r="B88" s="89" t="s">
        <v>13</v>
      </c>
      <c r="C88" s="205" t="s">
        <v>90</v>
      </c>
      <c r="D88" s="212"/>
      <c r="E88" s="212"/>
      <c r="F88" s="206"/>
      <c r="G88" s="89" t="s">
        <v>101</v>
      </c>
      <c r="H88" s="89" t="s">
        <v>48</v>
      </c>
      <c r="I88" s="94"/>
    </row>
    <row r="89" spans="2:9" x14ac:dyDescent="0.25">
      <c r="B89" s="14" t="s">
        <v>4</v>
      </c>
      <c r="C89" s="87" t="s">
        <v>190</v>
      </c>
      <c r="D89" s="165" t="s">
        <v>145</v>
      </c>
      <c r="E89" s="166"/>
      <c r="F89" s="167"/>
      <c r="G89" s="39">
        <v>30</v>
      </c>
      <c r="H89" s="20">
        <f>TRUNC((F$91*$G89)/12,2)</f>
        <v>591</v>
      </c>
      <c r="I89" s="100"/>
    </row>
    <row r="90" spans="2:9" ht="22.8" x14ac:dyDescent="0.25">
      <c r="B90" s="14" t="s">
        <v>5</v>
      </c>
      <c r="C90" s="79" t="s">
        <v>151</v>
      </c>
      <c r="D90" s="168" t="s">
        <v>152</v>
      </c>
      <c r="E90" s="169"/>
      <c r="F90" s="170"/>
      <c r="G90" s="55">
        <v>8</v>
      </c>
      <c r="H90" s="20">
        <f>TRUNC((F$91*$G90)/12,2)</f>
        <v>157.6</v>
      </c>
      <c r="I90" s="100"/>
    </row>
    <row r="91" spans="2:9" x14ac:dyDescent="0.25">
      <c r="B91" s="14" t="s">
        <v>6</v>
      </c>
      <c r="C91" s="87" t="s">
        <v>106</v>
      </c>
      <c r="D91" s="165" t="s">
        <v>138</v>
      </c>
      <c r="E91" s="166"/>
      <c r="F91" s="181">
        <f>TRUNC((H$33+H$73+H$83)/30,2)</f>
        <v>236.4</v>
      </c>
      <c r="G91" s="180"/>
      <c r="H91" s="179"/>
      <c r="I91" s="178"/>
    </row>
    <row r="92" spans="2:9" x14ac:dyDescent="0.25">
      <c r="B92" s="14" t="s">
        <v>140</v>
      </c>
      <c r="C92" s="205" t="s">
        <v>58</v>
      </c>
      <c r="D92" s="212"/>
      <c r="E92" s="212"/>
      <c r="F92" s="212"/>
      <c r="G92" s="76"/>
      <c r="H92" s="17">
        <f>TRUNC(H$89+H$90,2)</f>
        <v>748.6</v>
      </c>
      <c r="I92" s="18"/>
    </row>
    <row r="93" spans="2:9" x14ac:dyDescent="0.25">
      <c r="B93" s="69"/>
      <c r="C93" s="70"/>
      <c r="D93" s="70"/>
      <c r="E93" s="70"/>
      <c r="F93" s="70"/>
      <c r="G93" s="70"/>
      <c r="H93" s="71"/>
      <c r="I93" s="24"/>
    </row>
    <row r="94" spans="2:9" x14ac:dyDescent="0.25">
      <c r="B94" s="259" t="s">
        <v>91</v>
      </c>
      <c r="C94" s="260"/>
      <c r="D94" s="260"/>
      <c r="E94" s="260"/>
      <c r="F94" s="260"/>
      <c r="G94" s="149"/>
      <c r="H94" s="150"/>
      <c r="I94" s="94"/>
    </row>
    <row r="95" spans="2:9" x14ac:dyDescent="0.25">
      <c r="B95" s="89" t="s">
        <v>14</v>
      </c>
      <c r="C95" s="205" t="s">
        <v>92</v>
      </c>
      <c r="D95" s="212"/>
      <c r="E95" s="212"/>
      <c r="F95" s="206"/>
      <c r="G95" s="89" t="s">
        <v>101</v>
      </c>
      <c r="H95" s="89" t="s">
        <v>48</v>
      </c>
      <c r="I95" s="94"/>
    </row>
    <row r="96" spans="2:9" ht="22.8" x14ac:dyDescent="0.25">
      <c r="B96" s="14" t="s">
        <v>4</v>
      </c>
      <c r="C96" s="79" t="s">
        <v>93</v>
      </c>
      <c r="D96" s="165" t="s">
        <v>171</v>
      </c>
      <c r="E96" s="166"/>
      <c r="F96" s="166"/>
      <c r="G96" s="39"/>
      <c r="H96" s="20">
        <f>TRUNC(((H$33+H73+H83)/220)*(1+50%)*G96,2)</f>
        <v>0</v>
      </c>
      <c r="I96" s="100"/>
    </row>
    <row r="97" spans="2:9" x14ac:dyDescent="0.25">
      <c r="B97" s="14" t="s">
        <v>141</v>
      </c>
      <c r="C97" s="205" t="s">
        <v>58</v>
      </c>
      <c r="D97" s="212"/>
      <c r="E97" s="212"/>
      <c r="F97" s="212"/>
      <c r="G97" s="125"/>
      <c r="H97" s="17">
        <f>H96</f>
        <v>0</v>
      </c>
      <c r="I97" s="100"/>
    </row>
    <row r="98" spans="2:9" x14ac:dyDescent="0.25">
      <c r="B98" s="92"/>
      <c r="C98" s="91"/>
      <c r="D98" s="91"/>
      <c r="E98" s="91"/>
      <c r="F98" s="91"/>
      <c r="G98" s="93"/>
      <c r="H98" s="164"/>
      <c r="I98" s="115"/>
    </row>
    <row r="99" spans="2:9" x14ac:dyDescent="0.25">
      <c r="B99" s="259" t="s">
        <v>71</v>
      </c>
      <c r="C99" s="260"/>
      <c r="D99" s="260"/>
      <c r="E99" s="260"/>
      <c r="F99" s="260"/>
      <c r="G99" s="149"/>
      <c r="H99" s="150"/>
      <c r="I99" s="94"/>
    </row>
    <row r="100" spans="2:9" x14ac:dyDescent="0.25">
      <c r="B100" s="89">
        <v>4</v>
      </c>
      <c r="C100" s="205" t="s">
        <v>72</v>
      </c>
      <c r="D100" s="212"/>
      <c r="E100" s="212"/>
      <c r="F100" s="212"/>
      <c r="G100" s="206"/>
      <c r="H100" s="89" t="s">
        <v>48</v>
      </c>
      <c r="I100" s="94"/>
    </row>
    <row r="101" spans="2:9" x14ac:dyDescent="0.25">
      <c r="B101" s="14" t="s">
        <v>13</v>
      </c>
      <c r="C101" s="87" t="s">
        <v>41</v>
      </c>
      <c r="D101" s="165" t="s">
        <v>140</v>
      </c>
      <c r="E101" s="166"/>
      <c r="F101" s="166"/>
      <c r="G101" s="167"/>
      <c r="H101" s="20">
        <f>H92</f>
        <v>748.6</v>
      </c>
      <c r="I101" s="100"/>
    </row>
    <row r="102" spans="2:9" x14ac:dyDescent="0.25">
      <c r="B102" s="14" t="s">
        <v>14</v>
      </c>
      <c r="C102" s="87" t="s">
        <v>43</v>
      </c>
      <c r="D102" s="165" t="s">
        <v>141</v>
      </c>
      <c r="E102" s="166"/>
      <c r="F102" s="166"/>
      <c r="G102" s="167"/>
      <c r="H102" s="20">
        <f>H97</f>
        <v>0</v>
      </c>
      <c r="I102" s="100"/>
    </row>
    <row r="103" spans="2:9" x14ac:dyDescent="0.25">
      <c r="B103" s="14" t="s">
        <v>142</v>
      </c>
      <c r="C103" s="205" t="s">
        <v>58</v>
      </c>
      <c r="D103" s="212"/>
      <c r="E103" s="212"/>
      <c r="F103" s="212"/>
      <c r="G103" s="76"/>
      <c r="H103" s="17">
        <f>SUM(H101:H102)</f>
        <v>748.6</v>
      </c>
      <c r="I103" s="18"/>
    </row>
    <row r="104" spans="2:9" x14ac:dyDescent="0.25">
      <c r="B104" s="93"/>
      <c r="C104" s="93"/>
      <c r="D104" s="93"/>
      <c r="E104" s="93"/>
      <c r="F104" s="93"/>
      <c r="G104" s="93"/>
      <c r="H104" s="93"/>
      <c r="I104" s="94"/>
    </row>
    <row r="105" spans="2:9" x14ac:dyDescent="0.25">
      <c r="B105" s="93"/>
      <c r="C105" s="93"/>
      <c r="D105" s="93"/>
      <c r="E105" s="93"/>
      <c r="F105" s="93"/>
      <c r="G105" s="93"/>
      <c r="H105" s="93"/>
      <c r="I105" s="94"/>
    </row>
    <row r="106" spans="2:9" x14ac:dyDescent="0.25">
      <c r="B106" s="226" t="s">
        <v>73</v>
      </c>
      <c r="C106" s="227"/>
      <c r="D106" s="227"/>
      <c r="E106" s="227"/>
      <c r="F106" s="258"/>
      <c r="G106" s="139"/>
      <c r="H106" s="140"/>
      <c r="I106" s="94"/>
    </row>
    <row r="107" spans="2:9" x14ac:dyDescent="0.25">
      <c r="B107" s="89">
        <v>5</v>
      </c>
      <c r="C107" s="266" t="s">
        <v>60</v>
      </c>
      <c r="D107" s="267"/>
      <c r="E107" s="267"/>
      <c r="F107" s="267"/>
      <c r="G107" s="268"/>
      <c r="H107" s="89" t="s">
        <v>48</v>
      </c>
      <c r="I107" s="94"/>
    </row>
    <row r="108" spans="2:9" x14ac:dyDescent="0.25">
      <c r="B108" s="14" t="s">
        <v>4</v>
      </c>
      <c r="C108" s="63" t="s">
        <v>44</v>
      </c>
      <c r="D108" s="64"/>
      <c r="E108" s="64"/>
      <c r="F108" s="64"/>
      <c r="G108" s="65"/>
      <c r="H108" s="66">
        <f>Insumos!G13</f>
        <v>197.845</v>
      </c>
      <c r="I108" s="100"/>
    </row>
    <row r="109" spans="2:9" x14ac:dyDescent="0.25">
      <c r="B109" s="14" t="s">
        <v>5</v>
      </c>
      <c r="C109" s="63" t="s">
        <v>12</v>
      </c>
      <c r="D109" s="64"/>
      <c r="E109" s="64"/>
      <c r="F109" s="64"/>
      <c r="G109" s="65"/>
      <c r="H109" s="66">
        <v>0</v>
      </c>
      <c r="I109" s="100"/>
    </row>
    <row r="110" spans="2:9" x14ac:dyDescent="0.25">
      <c r="B110" s="14" t="s">
        <v>6</v>
      </c>
      <c r="C110" s="63" t="s">
        <v>214</v>
      </c>
      <c r="D110" s="64"/>
      <c r="E110" s="64"/>
      <c r="F110" s="64"/>
      <c r="G110" s="65"/>
      <c r="H110" s="66">
        <f>Insumos!H21</f>
        <v>32.549999999999997</v>
      </c>
      <c r="I110" s="100"/>
    </row>
    <row r="111" spans="2:9" x14ac:dyDescent="0.25">
      <c r="B111" s="14" t="s">
        <v>7</v>
      </c>
      <c r="C111" s="63" t="s">
        <v>2</v>
      </c>
      <c r="D111" s="64"/>
      <c r="E111" s="64"/>
      <c r="F111" s="64"/>
      <c r="G111" s="65"/>
      <c r="H111" s="66"/>
      <c r="I111" s="100"/>
    </row>
    <row r="112" spans="2:9" x14ac:dyDescent="0.25">
      <c r="B112" s="14" t="s">
        <v>143</v>
      </c>
      <c r="C112" s="205" t="s">
        <v>58</v>
      </c>
      <c r="D112" s="212"/>
      <c r="E112" s="212"/>
      <c r="F112" s="212"/>
      <c r="G112" s="76"/>
      <c r="H112" s="17">
        <f>SUM(H108:H111)</f>
        <v>230.39499999999998</v>
      </c>
      <c r="I112" s="18"/>
    </row>
    <row r="113" spans="2:9" x14ac:dyDescent="0.25">
      <c r="B113" s="93"/>
      <c r="C113" s="93"/>
      <c r="D113" s="93"/>
      <c r="E113" s="93"/>
      <c r="F113" s="93"/>
      <c r="G113" s="72"/>
      <c r="H113" s="67"/>
      <c r="I113" s="18"/>
    </row>
    <row r="114" spans="2:9" x14ac:dyDescent="0.25">
      <c r="B114" s="93"/>
      <c r="C114" s="93"/>
      <c r="D114" s="93"/>
      <c r="E114" s="93"/>
      <c r="F114" s="93"/>
      <c r="G114" s="93"/>
      <c r="H114" s="93"/>
      <c r="I114" s="94"/>
    </row>
    <row r="115" spans="2:9" x14ac:dyDescent="0.25">
      <c r="B115" s="226" t="s">
        <v>74</v>
      </c>
      <c r="C115" s="227"/>
      <c r="D115" s="227"/>
      <c r="E115" s="227"/>
      <c r="F115" s="258"/>
      <c r="G115" s="139"/>
      <c r="H115" s="140"/>
      <c r="I115" s="94"/>
    </row>
    <row r="116" spans="2:9" x14ac:dyDescent="0.25">
      <c r="B116" s="89">
        <v>6</v>
      </c>
      <c r="C116" s="205" t="s">
        <v>61</v>
      </c>
      <c r="D116" s="212"/>
      <c r="E116" s="212"/>
      <c r="F116" s="206"/>
      <c r="G116" s="89" t="s">
        <v>1</v>
      </c>
      <c r="H116" s="89" t="s">
        <v>48</v>
      </c>
      <c r="I116" s="94"/>
    </row>
    <row r="117" spans="2:9" x14ac:dyDescent="0.25">
      <c r="B117" s="14" t="s">
        <v>4</v>
      </c>
      <c r="C117" s="87" t="s">
        <v>15</v>
      </c>
      <c r="D117" s="216" t="s">
        <v>153</v>
      </c>
      <c r="E117" s="217"/>
      <c r="F117" s="218"/>
      <c r="G117" s="45">
        <v>0.05</v>
      </c>
      <c r="H117" s="20">
        <f>TRUNC(H$134*$G117,2)</f>
        <v>403.55</v>
      </c>
      <c r="I117" s="100"/>
    </row>
    <row r="118" spans="2:9" x14ac:dyDescent="0.25">
      <c r="B118" s="14" t="s">
        <v>5</v>
      </c>
      <c r="C118" s="87" t="s">
        <v>3</v>
      </c>
      <c r="D118" s="216" t="s">
        <v>154</v>
      </c>
      <c r="E118" s="217"/>
      <c r="F118" s="218"/>
      <c r="G118" s="45">
        <v>0.1</v>
      </c>
      <c r="H118" s="20">
        <f>TRUNC((H$134+H$117)*$G118,2)</f>
        <v>847.46</v>
      </c>
      <c r="I118" s="100"/>
    </row>
    <row r="119" spans="2:9" x14ac:dyDescent="0.25">
      <c r="B119" s="14" t="s">
        <v>6</v>
      </c>
      <c r="C119" s="87" t="s">
        <v>110</v>
      </c>
      <c r="D119" s="216" t="s">
        <v>155</v>
      </c>
      <c r="E119" s="217"/>
      <c r="F119" s="218"/>
      <c r="G119" s="47">
        <f>1-(G120+G121+G122)</f>
        <v>0.85749999999999993</v>
      </c>
      <c r="H119" s="25">
        <f>TRUNC(((H$134+H$117+H$118)/$G119),2)</f>
        <v>10871.24</v>
      </c>
      <c r="I119" s="102"/>
    </row>
    <row r="120" spans="2:9" x14ac:dyDescent="0.25">
      <c r="B120" s="14" t="s">
        <v>20</v>
      </c>
      <c r="C120" s="87" t="s">
        <v>17</v>
      </c>
      <c r="D120" s="216" t="s">
        <v>156</v>
      </c>
      <c r="E120" s="217"/>
      <c r="F120" s="218"/>
      <c r="G120" s="46">
        <v>1.6500000000000001E-2</v>
      </c>
      <c r="H120" s="20">
        <f>TRUNC(H$119*$G120,2)</f>
        <v>179.37</v>
      </c>
      <c r="I120" s="100"/>
    </row>
    <row r="121" spans="2:9" x14ac:dyDescent="0.25">
      <c r="B121" s="14" t="s">
        <v>21</v>
      </c>
      <c r="C121" s="87" t="s">
        <v>18</v>
      </c>
      <c r="D121" s="216" t="s">
        <v>156</v>
      </c>
      <c r="E121" s="217"/>
      <c r="F121" s="218"/>
      <c r="G121" s="46">
        <v>7.5999999999999998E-2</v>
      </c>
      <c r="H121" s="20">
        <f>TRUNC(H$119*$G121,2)</f>
        <v>826.21</v>
      </c>
      <c r="I121" s="100"/>
    </row>
    <row r="122" spans="2:9" x14ac:dyDescent="0.25">
      <c r="B122" s="14" t="s">
        <v>22</v>
      </c>
      <c r="C122" s="87" t="s">
        <v>19</v>
      </c>
      <c r="D122" s="216" t="s">
        <v>156</v>
      </c>
      <c r="E122" s="217"/>
      <c r="F122" s="218"/>
      <c r="G122" s="46">
        <v>0.05</v>
      </c>
      <c r="H122" s="20">
        <f>TRUNC(H$119*$G122,2)</f>
        <v>543.55999999999995</v>
      </c>
      <c r="I122" s="100"/>
    </row>
    <row r="123" spans="2:9" x14ac:dyDescent="0.25">
      <c r="B123" s="14" t="s">
        <v>144</v>
      </c>
      <c r="C123" s="83" t="s">
        <v>58</v>
      </c>
      <c r="D123" s="274" t="s">
        <v>146</v>
      </c>
      <c r="E123" s="274"/>
      <c r="F123" s="274"/>
      <c r="G123" s="163"/>
      <c r="H123" s="17">
        <f>SUM(H117:H122)-H119</f>
        <v>2800.1500000000015</v>
      </c>
      <c r="I123" s="18"/>
    </row>
    <row r="124" spans="2:9" x14ac:dyDescent="0.25">
      <c r="B124" s="61"/>
      <c r="C124" s="61"/>
      <c r="D124" s="61"/>
      <c r="E124" s="61"/>
      <c r="F124" s="61"/>
      <c r="G124" s="61"/>
      <c r="H124" s="73"/>
      <c r="I124" s="26"/>
    </row>
    <row r="125" spans="2:9" x14ac:dyDescent="0.25">
      <c r="B125" s="278" t="s">
        <v>179</v>
      </c>
      <c r="C125" s="278"/>
      <c r="D125" s="278"/>
      <c r="E125" s="278"/>
      <c r="F125" s="278"/>
      <c r="G125" s="278"/>
      <c r="H125" s="278"/>
      <c r="I125" s="109"/>
    </row>
    <row r="126" spans="2:9" x14ac:dyDescent="0.25">
      <c r="B126" s="86"/>
      <c r="C126" s="86"/>
      <c r="D126" s="86"/>
      <c r="E126" s="86"/>
      <c r="F126" s="86"/>
      <c r="G126" s="86"/>
      <c r="H126" s="86"/>
      <c r="I126" s="109"/>
    </row>
    <row r="127" spans="2:9" x14ac:dyDescent="0.25">
      <c r="B127" s="226" t="s">
        <v>180</v>
      </c>
      <c r="C127" s="227"/>
      <c r="D127" s="227"/>
      <c r="E127" s="227"/>
      <c r="F127" s="227"/>
      <c r="G127" s="157"/>
      <c r="H127" s="140"/>
      <c r="I127" s="94"/>
    </row>
    <row r="128" spans="2:9" ht="12.75" customHeight="1" x14ac:dyDescent="0.25">
      <c r="B128" s="155"/>
      <c r="C128" s="272" t="s">
        <v>111</v>
      </c>
      <c r="D128" s="273"/>
      <c r="E128" s="273"/>
      <c r="F128" s="273"/>
      <c r="G128" s="156"/>
      <c r="H128" s="138" t="s">
        <v>48</v>
      </c>
      <c r="I128" s="94"/>
    </row>
    <row r="129" spans="2:9" x14ac:dyDescent="0.25">
      <c r="B129" s="14" t="s">
        <v>4</v>
      </c>
      <c r="C129" s="79" t="s">
        <v>76</v>
      </c>
      <c r="D129" s="165" t="s">
        <v>121</v>
      </c>
      <c r="E129" s="166"/>
      <c r="F129" s="166"/>
      <c r="G129" s="167"/>
      <c r="H129" s="20">
        <f>H33</f>
        <v>2665.04</v>
      </c>
      <c r="I129" s="100"/>
    </row>
    <row r="130" spans="2:9" ht="22.8" x14ac:dyDescent="0.25">
      <c r="B130" s="14" t="s">
        <v>5</v>
      </c>
      <c r="C130" s="79" t="s">
        <v>77</v>
      </c>
      <c r="D130" s="165" t="s">
        <v>135</v>
      </c>
      <c r="E130" s="166"/>
      <c r="F130" s="166"/>
      <c r="G130" s="167"/>
      <c r="H130" s="20">
        <f>H73</f>
        <v>4062.09</v>
      </c>
      <c r="I130" s="100"/>
    </row>
    <row r="131" spans="2:9" x14ac:dyDescent="0.25">
      <c r="B131" s="14" t="s">
        <v>6</v>
      </c>
      <c r="C131" s="79" t="s">
        <v>78</v>
      </c>
      <c r="D131" s="165" t="s">
        <v>139</v>
      </c>
      <c r="E131" s="166"/>
      <c r="F131" s="166"/>
      <c r="G131" s="167"/>
      <c r="H131" s="20">
        <f>H83</f>
        <v>364.96</v>
      </c>
      <c r="I131" s="100"/>
    </row>
    <row r="132" spans="2:9" ht="22.8" x14ac:dyDescent="0.25">
      <c r="B132" s="14" t="s">
        <v>7</v>
      </c>
      <c r="C132" s="79" t="s">
        <v>42</v>
      </c>
      <c r="D132" s="165" t="s">
        <v>142</v>
      </c>
      <c r="E132" s="166"/>
      <c r="F132" s="166"/>
      <c r="G132" s="167"/>
      <c r="H132" s="20">
        <f>H103</f>
        <v>748.6</v>
      </c>
      <c r="I132" s="100"/>
    </row>
    <row r="133" spans="2:9" x14ac:dyDescent="0.25">
      <c r="B133" s="14" t="s">
        <v>8</v>
      </c>
      <c r="C133" s="79" t="s">
        <v>79</v>
      </c>
      <c r="D133" s="165" t="s">
        <v>143</v>
      </c>
      <c r="E133" s="166"/>
      <c r="F133" s="166"/>
      <c r="G133" s="167"/>
      <c r="H133" s="20">
        <f>H112</f>
        <v>230.39499999999998</v>
      </c>
      <c r="I133" s="100"/>
    </row>
    <row r="134" spans="2:9" x14ac:dyDescent="0.25">
      <c r="B134" s="85" t="s">
        <v>9</v>
      </c>
      <c r="C134" s="78" t="s">
        <v>45</v>
      </c>
      <c r="D134" s="171" t="s">
        <v>160</v>
      </c>
      <c r="E134" s="172"/>
      <c r="F134" s="172"/>
      <c r="G134" s="173"/>
      <c r="H134" s="23">
        <f>SUM(H129:H133)</f>
        <v>8071.0850000000009</v>
      </c>
      <c r="I134" s="18"/>
    </row>
    <row r="135" spans="2:9" x14ac:dyDescent="0.25">
      <c r="B135" s="14" t="s">
        <v>10</v>
      </c>
      <c r="C135" s="87" t="s">
        <v>80</v>
      </c>
      <c r="D135" s="165" t="s">
        <v>144</v>
      </c>
      <c r="E135" s="166"/>
      <c r="F135" s="166"/>
      <c r="G135" s="167"/>
      <c r="H135" s="20">
        <f>H123</f>
        <v>2800.1500000000015</v>
      </c>
      <c r="I135" s="100"/>
    </row>
    <row r="136" spans="2:9" x14ac:dyDescent="0.25">
      <c r="B136" s="14" t="s">
        <v>147</v>
      </c>
      <c r="C136" s="82" t="s">
        <v>75</v>
      </c>
      <c r="D136" s="174" t="s">
        <v>159</v>
      </c>
      <c r="E136" s="162"/>
      <c r="F136" s="162"/>
      <c r="G136" s="163"/>
      <c r="H136" s="28">
        <f>SUM(H134:H135)</f>
        <v>10871.235000000002</v>
      </c>
      <c r="I136" s="113"/>
    </row>
    <row r="137" spans="2:9" ht="12.75" customHeight="1" x14ac:dyDescent="0.25">
      <c r="B137" s="12"/>
      <c r="C137" s="12"/>
      <c r="D137" s="12"/>
      <c r="E137" s="12"/>
      <c r="F137" s="12"/>
      <c r="G137" s="12"/>
      <c r="H137" s="29"/>
      <c r="I137" s="29"/>
    </row>
    <row r="138" spans="2:9" x14ac:dyDescent="0.25">
      <c r="B138" s="278" t="s">
        <v>181</v>
      </c>
      <c r="C138" s="278"/>
      <c r="D138" s="278"/>
      <c r="E138" s="278"/>
      <c r="F138" s="278"/>
      <c r="I138" s="12"/>
    </row>
    <row r="139" spans="2:9" x14ac:dyDescent="0.25">
      <c r="B139" s="74"/>
      <c r="C139" s="74"/>
      <c r="D139" s="74"/>
      <c r="E139" s="68"/>
      <c r="F139" s="68"/>
      <c r="I139" s="12"/>
    </row>
    <row r="140" spans="2:9" x14ac:dyDescent="0.25">
      <c r="B140" s="282" t="s">
        <v>182</v>
      </c>
      <c r="C140" s="283"/>
      <c r="D140" s="283"/>
      <c r="E140" s="283"/>
      <c r="F140" s="283"/>
      <c r="G140" s="157"/>
      <c r="H140" s="140"/>
      <c r="I140" s="110"/>
    </row>
    <row r="141" spans="2:9" x14ac:dyDescent="0.25">
      <c r="B141" s="126" t="s">
        <v>4</v>
      </c>
      <c r="C141" s="158" t="s">
        <v>102</v>
      </c>
      <c r="D141" s="284" t="s">
        <v>147</v>
      </c>
      <c r="E141" s="285"/>
      <c r="F141" s="285"/>
      <c r="G141" s="159"/>
      <c r="H141" s="160">
        <f>H136</f>
        <v>10871.235000000002</v>
      </c>
      <c r="I141" s="108"/>
    </row>
    <row r="142" spans="2:9" ht="22.8" x14ac:dyDescent="0.25">
      <c r="B142" s="14" t="s">
        <v>5</v>
      </c>
      <c r="C142" s="80" t="s">
        <v>149</v>
      </c>
      <c r="D142" s="286" t="s">
        <v>150</v>
      </c>
      <c r="E142" s="287"/>
      <c r="F142" s="287"/>
      <c r="G142" s="153"/>
      <c r="H142" s="9">
        <f>H44+H83+H101</f>
        <v>1631.75</v>
      </c>
      <c r="I142" s="103"/>
    </row>
    <row r="143" spans="2:9" ht="22.8" x14ac:dyDescent="0.25">
      <c r="B143" s="14" t="s">
        <v>6</v>
      </c>
      <c r="C143" s="80" t="s">
        <v>163</v>
      </c>
      <c r="D143" s="286" t="s">
        <v>170</v>
      </c>
      <c r="E143" s="287"/>
      <c r="F143" s="287"/>
      <c r="G143" s="154"/>
      <c r="H143" s="107">
        <f>TRUNC((H$44*$G57),2)</f>
        <v>206.23</v>
      </c>
      <c r="I143" s="108"/>
    </row>
    <row r="144" spans="2:9" ht="12.75" customHeight="1" x14ac:dyDescent="0.25">
      <c r="B144" s="14" t="s">
        <v>7</v>
      </c>
      <c r="C144" s="80" t="s">
        <v>15</v>
      </c>
      <c r="D144" s="275" t="s">
        <v>157</v>
      </c>
      <c r="E144" s="276"/>
      <c r="F144" s="277"/>
      <c r="G144" s="10">
        <f>G117</f>
        <v>0.05</v>
      </c>
      <c r="H144" s="9">
        <f>TRUNC((H$142+H$143)*$G144,2)</f>
        <v>91.89</v>
      </c>
      <c r="I144" s="103"/>
    </row>
    <row r="145" spans="2:9" ht="12.75" customHeight="1" x14ac:dyDescent="0.25">
      <c r="B145" s="14" t="s">
        <v>8</v>
      </c>
      <c r="C145" s="80" t="s">
        <v>3</v>
      </c>
      <c r="D145" s="275" t="s">
        <v>158</v>
      </c>
      <c r="E145" s="276"/>
      <c r="F145" s="277"/>
      <c r="G145" s="10">
        <f>G118</f>
        <v>0.1</v>
      </c>
      <c r="H145" s="9">
        <f>TRUNC((H$142+H$143+H$144)*$G145,2)</f>
        <v>192.98</v>
      </c>
      <c r="I145" s="103"/>
    </row>
    <row r="146" spans="2:9" ht="12.75" customHeight="1" x14ac:dyDescent="0.25">
      <c r="B146" s="14" t="s">
        <v>9</v>
      </c>
      <c r="C146" s="80" t="s">
        <v>103</v>
      </c>
      <c r="D146" s="275" t="s">
        <v>165</v>
      </c>
      <c r="E146" s="276"/>
      <c r="F146" s="277"/>
      <c r="G146" s="10">
        <f>G120+G121+G122</f>
        <v>0.14250000000000002</v>
      </c>
      <c r="H146" s="9">
        <f>TRUNC((H$142+H$143+H$144+H$145)/(1-$G146)-(H$142+H$143+H$144+H$145),2)</f>
        <v>352.77</v>
      </c>
      <c r="I146" s="103"/>
    </row>
    <row r="147" spans="2:9" ht="22.8" x14ac:dyDescent="0.25">
      <c r="B147" s="14" t="s">
        <v>10</v>
      </c>
      <c r="C147" s="127" t="s">
        <v>104</v>
      </c>
      <c r="D147" s="151" t="s">
        <v>166</v>
      </c>
      <c r="E147" s="152"/>
      <c r="F147" s="152"/>
      <c r="G147" s="153"/>
      <c r="H147" s="128">
        <f>SUM(H142:H146)</f>
        <v>2475.62</v>
      </c>
      <c r="I147" s="104"/>
    </row>
    <row r="148" spans="2:9" x14ac:dyDescent="0.25">
      <c r="B148" s="14" t="s">
        <v>148</v>
      </c>
      <c r="C148" s="84" t="s">
        <v>118</v>
      </c>
      <c r="D148" s="288" t="s">
        <v>164</v>
      </c>
      <c r="E148" s="289"/>
      <c r="F148" s="289"/>
      <c r="G148" s="161"/>
      <c r="H148" s="30">
        <f>H141-H147</f>
        <v>8395.6150000000016</v>
      </c>
      <c r="I148" s="114"/>
    </row>
    <row r="149" spans="2:9" ht="45" customHeight="1" x14ac:dyDescent="0.25">
      <c r="B149" s="279" t="s">
        <v>117</v>
      </c>
      <c r="C149" s="280"/>
      <c r="D149" s="280"/>
      <c r="E149" s="280"/>
      <c r="F149" s="280"/>
      <c r="G149" s="281"/>
      <c r="H149" s="137"/>
      <c r="I149" s="105"/>
    </row>
  </sheetData>
  <mergeCells count="107">
    <mergeCell ref="D64:G64"/>
    <mergeCell ref="C128:F128"/>
    <mergeCell ref="D123:F123"/>
    <mergeCell ref="D144:F144"/>
    <mergeCell ref="D145:F145"/>
    <mergeCell ref="D146:F146"/>
    <mergeCell ref="B138:F138"/>
    <mergeCell ref="B149:G149"/>
    <mergeCell ref="B140:F140"/>
    <mergeCell ref="D141:F141"/>
    <mergeCell ref="D142:F142"/>
    <mergeCell ref="D143:F143"/>
    <mergeCell ref="D148:F148"/>
    <mergeCell ref="D122:F122"/>
    <mergeCell ref="B125:H125"/>
    <mergeCell ref="C116:F116"/>
    <mergeCell ref="D117:F117"/>
    <mergeCell ref="D118:F118"/>
    <mergeCell ref="D119:F119"/>
    <mergeCell ref="D120:F120"/>
    <mergeCell ref="D121:F121"/>
    <mergeCell ref="B127:F127"/>
    <mergeCell ref="C92:F92"/>
    <mergeCell ref="C83:F83"/>
    <mergeCell ref="C107:G107"/>
    <mergeCell ref="C95:F95"/>
    <mergeCell ref="C100:G100"/>
    <mergeCell ref="B106:F106"/>
    <mergeCell ref="B115:F115"/>
    <mergeCell ref="B94:F94"/>
    <mergeCell ref="B99:F99"/>
    <mergeCell ref="C112:F112"/>
    <mergeCell ref="C103:F103"/>
    <mergeCell ref="C97:F97"/>
    <mergeCell ref="C66:F66"/>
    <mergeCell ref="B74:H74"/>
    <mergeCell ref="C77:F77"/>
    <mergeCell ref="B67:H67"/>
    <mergeCell ref="B76:F76"/>
    <mergeCell ref="B68:F68"/>
    <mergeCell ref="C69:F69"/>
    <mergeCell ref="C73:F73"/>
    <mergeCell ref="C88:F88"/>
    <mergeCell ref="D82:E82"/>
    <mergeCell ref="B86:F86"/>
    <mergeCell ref="B87:F87"/>
    <mergeCell ref="D78:E78"/>
    <mergeCell ref="D79:E79"/>
    <mergeCell ref="D52:F52"/>
    <mergeCell ref="D53:F53"/>
    <mergeCell ref="D54:F54"/>
    <mergeCell ref="C47:F47"/>
    <mergeCell ref="D48:F48"/>
    <mergeCell ref="D49:F49"/>
    <mergeCell ref="B59:F59"/>
    <mergeCell ref="C60:F60"/>
    <mergeCell ref="D55:F55"/>
    <mergeCell ref="D56:F56"/>
    <mergeCell ref="C57:F57"/>
    <mergeCell ref="B58:H58"/>
    <mergeCell ref="B40:F40"/>
    <mergeCell ref="B39:F39"/>
    <mergeCell ref="B50:B51"/>
    <mergeCell ref="C50:C51"/>
    <mergeCell ref="D50:D51"/>
    <mergeCell ref="C41:F41"/>
    <mergeCell ref="D42:F42"/>
    <mergeCell ref="D43:F43"/>
    <mergeCell ref="C44:F44"/>
    <mergeCell ref="B45:H45"/>
    <mergeCell ref="G50:G51"/>
    <mergeCell ref="H50:H51"/>
    <mergeCell ref="B46:F46"/>
    <mergeCell ref="C33:F33"/>
    <mergeCell ref="D25:F25"/>
    <mergeCell ref="D26:F26"/>
    <mergeCell ref="D28:F28"/>
    <mergeCell ref="D29:F29"/>
    <mergeCell ref="D30:F30"/>
    <mergeCell ref="B23:F23"/>
    <mergeCell ref="B38:F38"/>
    <mergeCell ref="D31:F31"/>
    <mergeCell ref="C34:E35"/>
    <mergeCell ref="B2:H2"/>
    <mergeCell ref="B3:H3"/>
    <mergeCell ref="B9:B10"/>
    <mergeCell ref="B19:B20"/>
    <mergeCell ref="C24:F24"/>
    <mergeCell ref="B15:B16"/>
    <mergeCell ref="D6:F6"/>
    <mergeCell ref="B17:B18"/>
    <mergeCell ref="D32:F32"/>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s>
  <dataValidations count="11">
    <dataValidation type="list" allowBlank="1" showInputMessage="1" showErrorMessage="1" sqref="G82" xr:uid="{1911A840-427F-4456-B640-C09E4050FD3A}">
      <formula1>"3,6,9,12,15"</formula1>
    </dataValidation>
    <dataValidation type="custom" allowBlank="1" showInputMessage="1" showErrorMessage="1" sqref="G119" xr:uid="{00000000-0002-0000-0100-000001000000}">
      <formula1>1-(G120+G121+G122)</formula1>
    </dataValidation>
    <dataValidation type="whole" allowBlank="1" showInputMessage="1" showErrorMessage="1" errorTitle="Valor errado" error="Quantidade fixa de dias. Prencher com 30" sqref="G89" xr:uid="{00000000-0002-0000-0100-000003000000}">
      <formula1>30</formula1>
      <formula2>30</formula2>
    </dataValidation>
    <dataValidation type="list" allowBlank="1" showInputMessage="1" showErrorMessage="1" sqref="G30:G31" xr:uid="{00000000-0002-0000-0100-000004000000}">
      <formula1>"0, 50%, 100%"</formula1>
    </dataValidation>
    <dataValidation type="list" allowBlank="1" showInputMessage="1" showErrorMessage="1" sqref="G120"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21"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G29" xr:uid="{00000000-0002-0000-0100-000007000000}">
      <formula1>"0, 20%"</formula1>
    </dataValidation>
    <dataValidation type="list" allowBlank="1" showInputMessage="1" showErrorMessage="1" sqref="E51"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 operator="equal" allowBlank="1" showInputMessage="1" showErrorMessage="1" errorTitle="Valor errado" error="Percentual fixo. Preencher com 40%." sqref="F78" xr:uid="{C85FB702-9BCC-41D9-A2DC-2B2AA8B28BEB}"/>
  </dataValidations>
  <pageMargins left="0.511811024" right="0.511811024" top="0.78740157499999996" bottom="0.78740157499999996" header="0.31496062000000002" footer="0.31496062000000002"/>
  <pageSetup paperSize="9" scale="78" orientation="portrait" verticalDpi="300" r:id="rId1"/>
  <rowBreaks count="1" manualBreakCount="1">
    <brk id="74"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L21"/>
  <sheetViews>
    <sheetView showGridLines="0" zoomScaleNormal="100" workbookViewId="0">
      <selection activeCell="H21" sqref="A2:H21"/>
    </sheetView>
  </sheetViews>
  <sheetFormatPr defaultColWidth="9.109375" defaultRowHeight="11.4" x14ac:dyDescent="0.25"/>
  <cols>
    <col min="1" max="1" width="3.6640625" style="42" customWidth="1"/>
    <col min="2" max="2" width="25.6640625" style="42" customWidth="1"/>
    <col min="3" max="3" width="14.109375" style="42" customWidth="1"/>
    <col min="4" max="5" width="15.44140625" style="42" customWidth="1"/>
    <col min="6" max="6" width="11.44140625" style="42" customWidth="1"/>
    <col min="7" max="7" width="13.109375" style="42" customWidth="1"/>
    <col min="8" max="10" width="15.6640625" style="42" customWidth="1"/>
    <col min="11" max="16384" width="9.109375" style="42"/>
  </cols>
  <sheetData>
    <row r="1" spans="1:12" ht="12" thickBot="1" x14ac:dyDescent="0.3"/>
    <row r="2" spans="1:12" ht="18.75" customHeight="1" thickBot="1" x14ac:dyDescent="0.3">
      <c r="A2" s="290" t="s">
        <v>81</v>
      </c>
      <c r="B2" s="291"/>
      <c r="C2" s="291"/>
      <c r="D2" s="291"/>
      <c r="E2" s="291"/>
      <c r="F2" s="291"/>
      <c r="G2" s="292"/>
      <c r="H2" s="132"/>
      <c r="I2" s="132"/>
    </row>
    <row r="4" spans="1:12" s="43" customFormat="1" ht="30" customHeight="1" x14ac:dyDescent="0.25">
      <c r="A4" s="293" t="s">
        <v>82</v>
      </c>
      <c r="B4" s="293"/>
      <c r="C4" s="40" t="s">
        <v>83</v>
      </c>
      <c r="D4" s="40" t="s">
        <v>107</v>
      </c>
      <c r="E4" s="40" t="s">
        <v>205</v>
      </c>
      <c r="F4" s="40" t="s">
        <v>108</v>
      </c>
      <c r="G4" s="40" t="s">
        <v>109</v>
      </c>
      <c r="H4" s="129"/>
      <c r="I4" s="129"/>
      <c r="K4" s="42"/>
      <c r="L4" s="42"/>
    </row>
    <row r="5" spans="1:12" ht="22.5" customHeight="1" x14ac:dyDescent="0.25">
      <c r="A5" s="3">
        <v>1</v>
      </c>
      <c r="B5" s="133" t="s">
        <v>197</v>
      </c>
      <c r="C5" s="190">
        <v>122.53</v>
      </c>
      <c r="D5" s="134">
        <v>4</v>
      </c>
      <c r="E5" s="134">
        <v>1</v>
      </c>
      <c r="F5" s="191">
        <f>C5*D5*E5</f>
        <v>490.12</v>
      </c>
      <c r="G5" s="191">
        <f>F5/12</f>
        <v>40.843333333333334</v>
      </c>
      <c r="H5" s="130"/>
      <c r="I5" s="130"/>
    </row>
    <row r="6" spans="1:12" ht="22.5" customHeight="1" x14ac:dyDescent="0.25">
      <c r="A6" s="3">
        <f>A5+1</f>
        <v>2</v>
      </c>
      <c r="B6" s="133" t="s">
        <v>198</v>
      </c>
      <c r="C6" s="190">
        <v>76.8</v>
      </c>
      <c r="D6" s="134">
        <v>4</v>
      </c>
      <c r="E6" s="134">
        <v>1</v>
      </c>
      <c r="F6" s="191">
        <f>C6*D6*E6</f>
        <v>307.2</v>
      </c>
      <c r="G6" s="191">
        <f>F6/12</f>
        <v>25.599999999999998</v>
      </c>
      <c r="H6" s="130"/>
      <c r="I6" s="130"/>
    </row>
    <row r="7" spans="1:12" ht="22.5" customHeight="1" x14ac:dyDescent="0.25">
      <c r="A7" s="3">
        <f t="shared" ref="A7:A12" si="0">A6+1</f>
        <v>3</v>
      </c>
      <c r="B7" s="133" t="s">
        <v>199</v>
      </c>
      <c r="C7" s="190">
        <v>18.32</v>
      </c>
      <c r="D7" s="134">
        <v>4</v>
      </c>
      <c r="E7" s="134">
        <v>2</v>
      </c>
      <c r="F7" s="191">
        <f t="shared" ref="F7:F12" si="1">C7*D7*E7</f>
        <v>146.56</v>
      </c>
      <c r="G7" s="191">
        <f t="shared" ref="G7:G12" si="2">F7/12</f>
        <v>12.213333333333333</v>
      </c>
      <c r="H7" s="131"/>
      <c r="I7" s="131"/>
    </row>
    <row r="8" spans="1:12" ht="22.5" customHeight="1" x14ac:dyDescent="0.25">
      <c r="A8" s="3">
        <f t="shared" si="0"/>
        <v>4</v>
      </c>
      <c r="B8" s="133" t="s">
        <v>200</v>
      </c>
      <c r="C8" s="190">
        <v>113.28</v>
      </c>
      <c r="D8" s="134">
        <v>2</v>
      </c>
      <c r="E8" s="134">
        <v>1</v>
      </c>
      <c r="F8" s="191">
        <f t="shared" si="1"/>
        <v>226.56</v>
      </c>
      <c r="G8" s="191">
        <f t="shared" si="2"/>
        <v>18.88</v>
      </c>
      <c r="H8" s="131"/>
      <c r="I8" s="131"/>
    </row>
    <row r="9" spans="1:12" ht="22.5" customHeight="1" x14ac:dyDescent="0.25">
      <c r="A9" s="3">
        <f t="shared" si="0"/>
        <v>5</v>
      </c>
      <c r="B9" s="133" t="s">
        <v>201</v>
      </c>
      <c r="C9" s="190">
        <v>239.93</v>
      </c>
      <c r="D9" s="134">
        <v>2</v>
      </c>
      <c r="E9" s="134">
        <v>1</v>
      </c>
      <c r="F9" s="191">
        <f t="shared" si="1"/>
        <v>479.86</v>
      </c>
      <c r="G9" s="191">
        <f t="shared" si="2"/>
        <v>39.988333333333337</v>
      </c>
      <c r="H9" s="131"/>
      <c r="I9" s="131"/>
    </row>
    <row r="10" spans="1:12" ht="22.5" customHeight="1" x14ac:dyDescent="0.25">
      <c r="A10" s="3">
        <f t="shared" si="0"/>
        <v>6</v>
      </c>
      <c r="B10" s="133" t="s">
        <v>202</v>
      </c>
      <c r="C10" s="190">
        <v>66.459999999999994</v>
      </c>
      <c r="D10" s="134">
        <v>4</v>
      </c>
      <c r="E10" s="134">
        <v>1</v>
      </c>
      <c r="F10" s="191">
        <f t="shared" si="1"/>
        <v>265.83999999999997</v>
      </c>
      <c r="G10" s="191">
        <f t="shared" si="2"/>
        <v>22.153333333333332</v>
      </c>
      <c r="H10" s="131"/>
      <c r="I10" s="131"/>
    </row>
    <row r="11" spans="1:12" ht="22.5" customHeight="1" x14ac:dyDescent="0.25">
      <c r="A11" s="3">
        <f t="shared" si="0"/>
        <v>7</v>
      </c>
      <c r="B11" s="133" t="s">
        <v>203</v>
      </c>
      <c r="C11" s="190">
        <v>89.57</v>
      </c>
      <c r="D11" s="134">
        <v>4</v>
      </c>
      <c r="E11" s="134">
        <v>1</v>
      </c>
      <c r="F11" s="191">
        <f t="shared" si="1"/>
        <v>358.28</v>
      </c>
      <c r="G11" s="191">
        <f t="shared" si="2"/>
        <v>29.856666666666666</v>
      </c>
      <c r="H11" s="131"/>
      <c r="I11" s="131"/>
    </row>
    <row r="12" spans="1:12" ht="22.5" customHeight="1" x14ac:dyDescent="0.25">
      <c r="A12" s="3">
        <f t="shared" si="0"/>
        <v>8</v>
      </c>
      <c r="B12" s="133" t="s">
        <v>204</v>
      </c>
      <c r="C12" s="190">
        <v>24.93</v>
      </c>
      <c r="D12" s="134">
        <v>4</v>
      </c>
      <c r="E12" s="134">
        <v>1</v>
      </c>
      <c r="F12" s="191">
        <f t="shared" si="1"/>
        <v>99.72</v>
      </c>
      <c r="G12" s="191">
        <f t="shared" si="2"/>
        <v>8.31</v>
      </c>
      <c r="H12" s="131"/>
      <c r="I12" s="131"/>
    </row>
    <row r="13" spans="1:12" ht="22.5" customHeight="1" x14ac:dyDescent="0.25">
      <c r="B13" s="43"/>
      <c r="C13" s="44"/>
      <c r="D13" s="44"/>
      <c r="E13" s="44"/>
      <c r="F13" s="44"/>
      <c r="G13" s="41">
        <f>SUM(G5:G12)</f>
        <v>197.845</v>
      </c>
    </row>
    <row r="15" spans="1:12" ht="12" thickBot="1" x14ac:dyDescent="0.3"/>
    <row r="16" spans="1:12" ht="14.4" thickBot="1" x14ac:dyDescent="0.3">
      <c r="A16" s="290" t="s">
        <v>215</v>
      </c>
      <c r="B16" s="291"/>
      <c r="C16" s="291"/>
      <c r="D16" s="291"/>
      <c r="E16" s="291"/>
      <c r="F16" s="291"/>
      <c r="G16" s="291"/>
      <c r="H16" s="292"/>
    </row>
    <row r="19" spans="1:8" ht="45.6" x14ac:dyDescent="0.25">
      <c r="A19" s="294" t="s">
        <v>82</v>
      </c>
      <c r="B19" s="295"/>
      <c r="C19" s="40" t="s">
        <v>216</v>
      </c>
      <c r="D19" s="40" t="s">
        <v>217</v>
      </c>
      <c r="E19" s="40" t="s">
        <v>218</v>
      </c>
      <c r="F19" s="40" t="s">
        <v>219</v>
      </c>
      <c r="G19" s="40" t="s">
        <v>220</v>
      </c>
      <c r="H19" s="40" t="s">
        <v>109</v>
      </c>
    </row>
    <row r="20" spans="1:8" x14ac:dyDescent="0.25">
      <c r="A20" s="3">
        <v>1</v>
      </c>
      <c r="B20" s="133" t="s">
        <v>221</v>
      </c>
      <c r="C20" s="194">
        <v>1953</v>
      </c>
      <c r="D20" s="195">
        <v>30</v>
      </c>
      <c r="E20" s="196">
        <v>1</v>
      </c>
      <c r="F20" s="196">
        <v>2</v>
      </c>
      <c r="G20" s="197">
        <f>IF(B20="","",TRUNC(E20/F20,2))</f>
        <v>0.5</v>
      </c>
      <c r="H20" s="197">
        <f>IF(B20="","",TRUNC(C20/D20*G20,2))</f>
        <v>32.549999999999997</v>
      </c>
    </row>
    <row r="21" spans="1:8" x14ac:dyDescent="0.25">
      <c r="B21" s="43"/>
      <c r="C21" s="44"/>
      <c r="D21" s="44"/>
      <c r="E21" s="44"/>
      <c r="F21" s="294" t="s">
        <v>222</v>
      </c>
      <c r="G21" s="295"/>
      <c r="H21" s="41">
        <f>SUM(H20:H20)</f>
        <v>32.549999999999997</v>
      </c>
    </row>
  </sheetData>
  <mergeCells count="5">
    <mergeCell ref="A2:G2"/>
    <mergeCell ref="A4:B4"/>
    <mergeCell ref="A16:H16"/>
    <mergeCell ref="A19:B19"/>
    <mergeCell ref="F21:G21"/>
  </mergeCells>
  <pageMargins left="0.511811024" right="0.511811024" top="0.78740157499999996" bottom="0.78740157499999996" header="0.31496062000000002" footer="0.31496062000000002"/>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Quadro resumo</vt:lpstr>
      <vt:lpstr>Assistente de Eventos</vt:lpstr>
      <vt:lpstr>Insumos</vt:lpstr>
      <vt:lpstr>'Assistente de Eventos'!Area_de_impressao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Guido Tande Crespo Zeba</cp:lastModifiedBy>
  <cp:lastPrinted>2026-04-28T13:48:55Z</cp:lastPrinted>
  <dcterms:created xsi:type="dcterms:W3CDTF">2010-12-08T17:56:29Z</dcterms:created>
  <dcterms:modified xsi:type="dcterms:W3CDTF">2026-05-18T13:36:16Z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