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6\Pregão\2 - Numerados\03 - Manutenção predial - RC 6963\fase externa\"/>
    </mc:Choice>
  </mc:AlternateContent>
  <xr:revisionPtr revIDLastSave="0" documentId="13_ncr:1_{D7DB7F12-BA4E-47B3-83DA-87A78D815026}" xr6:coauthVersionLast="47" xr6:coauthVersionMax="47" xr10:uidLastSave="{00000000-0000-0000-0000-000000000000}"/>
  <bookViews>
    <workbookView xWindow="-120" yWindow="-120" windowWidth="29040" windowHeight="15720" tabRatio="681" xr2:uid="{00000000-000D-0000-FFFF-FFFF00000000}"/>
  </bookViews>
  <sheets>
    <sheet name="Quadro Resumo" sheetId="35" r:id="rId1"/>
    <sheet name="Arquiteto" sheetId="27" r:id="rId2"/>
    <sheet name="Técnico de Segurança do Trabalh" sheetId="34" r:id="rId3"/>
    <sheet name="Encarregado de Manutenção" sheetId="29" r:id="rId4"/>
    <sheet name="Manut. Elétrica" sheetId="30" r:id="rId5"/>
    <sheet name="Manut. Predial" sheetId="31" r:id="rId6"/>
    <sheet name="Insumos" sheetId="23" r:id="rId7"/>
  </sheets>
  <definedNames>
    <definedName name="_xlnm.Print_Area" localSheetId="1">Arquiteto!$A$1:$I$150</definedName>
    <definedName name="_xlnm.Print_Area" localSheetId="2">'Técnico de Segurança do Trabalh'!$A$1:$I$149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31" l="1"/>
  <c r="H60" i="29"/>
  <c r="H59" i="34"/>
  <c r="H61" i="27"/>
  <c r="H61" i="30"/>
  <c r="D15" i="35"/>
  <c r="H34" i="35"/>
  <c r="H35" i="35"/>
  <c r="H36" i="35"/>
  <c r="H37" i="35"/>
  <c r="H33" i="35"/>
  <c r="G23" i="35"/>
  <c r="I23" i="35" s="1"/>
  <c r="G24" i="35"/>
  <c r="I24" i="35" s="1"/>
  <c r="G25" i="35"/>
  <c r="I25" i="35" s="1"/>
  <c r="G26" i="35"/>
  <c r="I26" i="35" s="1"/>
  <c r="G22" i="35"/>
  <c r="I22" i="35" s="1"/>
  <c r="F43" i="35"/>
  <c r="F42" i="35"/>
  <c r="H109" i="34"/>
  <c r="H111" i="34" s="1"/>
  <c r="H132" i="34" s="1"/>
  <c r="G145" i="34"/>
  <c r="G144" i="34"/>
  <c r="G143" i="34"/>
  <c r="G118" i="34"/>
  <c r="G80" i="34"/>
  <c r="G48" i="34"/>
  <c r="G55" i="34" s="1"/>
  <c r="G41" i="34"/>
  <c r="G40" i="34"/>
  <c r="H27" i="34"/>
  <c r="H26" i="34"/>
  <c r="H28" i="34" s="1"/>
  <c r="H89" i="23"/>
  <c r="G15" i="23"/>
  <c r="H26" i="23"/>
  <c r="H65" i="34" l="1"/>
  <c r="H71" i="34" s="1"/>
  <c r="G42" i="34"/>
  <c r="I27" i="35"/>
  <c r="H38" i="35"/>
  <c r="F44" i="35"/>
  <c r="H33" i="34"/>
  <c r="H29" i="34"/>
  <c r="H31" i="34" l="1"/>
  <c r="G34" i="29"/>
  <c r="G7" i="23"/>
  <c r="G11" i="23"/>
  <c r="G12" i="23"/>
  <c r="F6" i="23"/>
  <c r="F7" i="23"/>
  <c r="F8" i="23"/>
  <c r="G8" i="23" s="1"/>
  <c r="F9" i="23"/>
  <c r="G9" i="23" s="1"/>
  <c r="F10" i="23"/>
  <c r="G10" i="23" s="1"/>
  <c r="F11" i="23"/>
  <c r="F12" i="23"/>
  <c r="F13" i="23"/>
  <c r="G13" i="23" s="1"/>
  <c r="F14" i="23"/>
  <c r="G14" i="23" s="1"/>
  <c r="F5" i="23"/>
  <c r="G5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H40" i="34" l="1"/>
  <c r="H128" i="34"/>
  <c r="H41" i="34"/>
  <c r="I89" i="23"/>
  <c r="H110" i="27"/>
  <c r="H42" i="34" l="1"/>
  <c r="H50" i="34" s="1"/>
  <c r="H109" i="31"/>
  <c r="H109" i="30"/>
  <c r="H52" i="34" l="1"/>
  <c r="H48" i="34"/>
  <c r="H51" i="34"/>
  <c r="H47" i="34"/>
  <c r="H46" i="34"/>
  <c r="H53" i="34"/>
  <c r="H69" i="34"/>
  <c r="H142" i="34"/>
  <c r="H54" i="34"/>
  <c r="F77" i="34" s="1"/>
  <c r="H80" i="34" s="1"/>
  <c r="H66" i="31"/>
  <c r="H72" i="31" s="1"/>
  <c r="G145" i="31"/>
  <c r="G144" i="31"/>
  <c r="G143" i="31"/>
  <c r="G118" i="31"/>
  <c r="G81" i="31"/>
  <c r="G50" i="31"/>
  <c r="G57" i="31" s="1"/>
  <c r="G43" i="31"/>
  <c r="G42" i="31"/>
  <c r="H27" i="31"/>
  <c r="H26" i="31"/>
  <c r="H29" i="31" s="1"/>
  <c r="H66" i="30"/>
  <c r="H72" i="30" s="1"/>
  <c r="G145" i="30"/>
  <c r="G144" i="30"/>
  <c r="G143" i="30"/>
  <c r="G118" i="30"/>
  <c r="G81" i="30"/>
  <c r="G50" i="30"/>
  <c r="G57" i="30" s="1"/>
  <c r="G43" i="30"/>
  <c r="G42" i="30"/>
  <c r="H27" i="30"/>
  <c r="H26" i="30"/>
  <c r="H28" i="30" s="1"/>
  <c r="H65" i="29"/>
  <c r="H71" i="29" s="1"/>
  <c r="G144" i="29"/>
  <c r="G143" i="29"/>
  <c r="G142" i="29"/>
  <c r="G117" i="29"/>
  <c r="G80" i="29"/>
  <c r="G49" i="29"/>
  <c r="G56" i="29" s="1"/>
  <c r="G42" i="29"/>
  <c r="G41" i="29"/>
  <c r="H27" i="29"/>
  <c r="H26" i="29"/>
  <c r="H29" i="29" s="1"/>
  <c r="G81" i="27"/>
  <c r="G44" i="31" l="1"/>
  <c r="H55" i="34"/>
  <c r="H70" i="34" s="1"/>
  <c r="H72" i="34" s="1"/>
  <c r="H129" i="34" s="1"/>
  <c r="F78" i="34"/>
  <c r="H79" i="34" s="1"/>
  <c r="G44" i="30"/>
  <c r="H81" i="34"/>
  <c r="G43" i="29"/>
  <c r="H35" i="31"/>
  <c r="H28" i="31"/>
  <c r="H29" i="30"/>
  <c r="H35" i="30"/>
  <c r="H31" i="30" s="1"/>
  <c r="H34" i="29"/>
  <c r="H28" i="29"/>
  <c r="H27" i="27"/>
  <c r="H82" i="34" l="1"/>
  <c r="H96" i="34" s="1"/>
  <c r="H97" i="34" s="1"/>
  <c r="H102" i="34" s="1"/>
  <c r="H31" i="31"/>
  <c r="H30" i="31"/>
  <c r="H31" i="29"/>
  <c r="H30" i="29"/>
  <c r="H32" i="29" s="1"/>
  <c r="H30" i="30"/>
  <c r="H33" i="30" s="1"/>
  <c r="G146" i="27"/>
  <c r="G145" i="27"/>
  <c r="G144" i="27"/>
  <c r="G119" i="27"/>
  <c r="H66" i="27"/>
  <c r="G50" i="27"/>
  <c r="G57" i="27" s="1"/>
  <c r="G43" i="27"/>
  <c r="G42" i="27"/>
  <c r="H26" i="27"/>
  <c r="F90" i="34" l="1"/>
  <c r="H88" i="34" s="1"/>
  <c r="H130" i="34"/>
  <c r="H33" i="31"/>
  <c r="H128" i="31" s="1"/>
  <c r="H42" i="30"/>
  <c r="H128" i="30"/>
  <c r="H43" i="30"/>
  <c r="H127" i="29"/>
  <c r="H41" i="29"/>
  <c r="H42" i="29"/>
  <c r="H29" i="27"/>
  <c r="H35" i="27"/>
  <c r="H28" i="27"/>
  <c r="G44" i="27"/>
  <c r="H89" i="34" l="1"/>
  <c r="H91" i="34"/>
  <c r="H31" i="27"/>
  <c r="H30" i="27"/>
  <c r="H33" i="27" s="1"/>
  <c r="H43" i="31"/>
  <c r="H42" i="31"/>
  <c r="H44" i="30"/>
  <c r="H43" i="29"/>
  <c r="H69" i="29" s="1"/>
  <c r="H92" i="34" l="1"/>
  <c r="H101" i="34" s="1"/>
  <c r="H103" i="34" s="1"/>
  <c r="H131" i="34" s="1"/>
  <c r="H133" i="34" s="1"/>
  <c r="H116" i="34" s="1"/>
  <c r="H117" i="34" s="1"/>
  <c r="H118" i="34" s="1"/>
  <c r="H121" i="34" s="1"/>
  <c r="H44" i="31"/>
  <c r="H53" i="29"/>
  <c r="H51" i="29"/>
  <c r="H49" i="29"/>
  <c r="H141" i="29"/>
  <c r="H52" i="29"/>
  <c r="H142" i="30"/>
  <c r="H70" i="30"/>
  <c r="H54" i="30"/>
  <c r="H56" i="30"/>
  <c r="F78" i="30" s="1"/>
  <c r="H81" i="30" s="1"/>
  <c r="H49" i="30"/>
  <c r="H48" i="30"/>
  <c r="H52" i="30"/>
  <c r="H55" i="30"/>
  <c r="H50" i="30"/>
  <c r="H53" i="30"/>
  <c r="H48" i="29"/>
  <c r="H55" i="29"/>
  <c r="H47" i="29"/>
  <c r="H54" i="29"/>
  <c r="H43" i="27"/>
  <c r="H129" i="27"/>
  <c r="H42" i="27"/>
  <c r="H141" i="34" l="1"/>
  <c r="H143" i="34" s="1"/>
  <c r="H119" i="34"/>
  <c r="H120" i="34"/>
  <c r="H49" i="31"/>
  <c r="H54" i="31"/>
  <c r="H53" i="31"/>
  <c r="H55" i="31"/>
  <c r="H52" i="31"/>
  <c r="H70" i="31"/>
  <c r="H56" i="31"/>
  <c r="H142" i="31"/>
  <c r="H48" i="31"/>
  <c r="H50" i="31"/>
  <c r="H56" i="29"/>
  <c r="H81" i="29" s="1"/>
  <c r="H57" i="30"/>
  <c r="H71" i="30" s="1"/>
  <c r="H73" i="30" s="1"/>
  <c r="F79" i="30"/>
  <c r="H80" i="30" s="1"/>
  <c r="F77" i="29"/>
  <c r="H80" i="29" s="1"/>
  <c r="F78" i="29"/>
  <c r="H44" i="27"/>
  <c r="H122" i="34" l="1"/>
  <c r="H134" i="34" s="1"/>
  <c r="H135" i="34" s="1"/>
  <c r="F11" i="35" s="1"/>
  <c r="G11" i="35" s="1"/>
  <c r="H11" i="35" s="1"/>
  <c r="H144" i="34"/>
  <c r="H145" i="34" s="1"/>
  <c r="H146" i="34" s="1"/>
  <c r="H70" i="29"/>
  <c r="H72" i="29" s="1"/>
  <c r="H128" i="29" s="1"/>
  <c r="H79" i="29"/>
  <c r="H82" i="29" s="1"/>
  <c r="F78" i="31"/>
  <c r="H81" i="31" s="1"/>
  <c r="F79" i="31"/>
  <c r="H57" i="31"/>
  <c r="H82" i="30"/>
  <c r="H83" i="30" s="1"/>
  <c r="H129" i="30"/>
  <c r="H143" i="27"/>
  <c r="H48" i="27"/>
  <c r="H54" i="27"/>
  <c r="H50" i="27"/>
  <c r="H55" i="27"/>
  <c r="H52" i="27"/>
  <c r="H70" i="27"/>
  <c r="H49" i="27"/>
  <c r="H56" i="27"/>
  <c r="F78" i="27" s="1"/>
  <c r="H81" i="27" s="1"/>
  <c r="H53" i="27"/>
  <c r="H80" i="31" l="1"/>
  <c r="H140" i="34"/>
  <c r="H147" i="34" s="1"/>
  <c r="H71" i="31"/>
  <c r="H73" i="31" s="1"/>
  <c r="H82" i="31"/>
  <c r="H83" i="31" s="1"/>
  <c r="H130" i="31" s="1"/>
  <c r="F90" i="29"/>
  <c r="H95" i="29"/>
  <c r="H96" i="29" s="1"/>
  <c r="H101" i="29" s="1"/>
  <c r="H129" i="29"/>
  <c r="H130" i="30"/>
  <c r="F91" i="30"/>
  <c r="H96" i="30"/>
  <c r="H97" i="30" s="1"/>
  <c r="H102" i="30" s="1"/>
  <c r="F79" i="27"/>
  <c r="H80" i="27" s="1"/>
  <c r="H57" i="27"/>
  <c r="H82" i="27" s="1"/>
  <c r="H129" i="31" l="1"/>
  <c r="F91" i="31"/>
  <c r="H96" i="31"/>
  <c r="H97" i="31" s="1"/>
  <c r="H102" i="31" s="1"/>
  <c r="H88" i="29"/>
  <c r="H89" i="29"/>
  <c r="H90" i="30"/>
  <c r="H89" i="30"/>
  <c r="H83" i="27"/>
  <c r="H71" i="27"/>
  <c r="H91" i="29" l="1"/>
  <c r="H100" i="29" s="1"/>
  <c r="H102" i="29" s="1"/>
  <c r="H130" i="29" s="1"/>
  <c r="H89" i="31"/>
  <c r="H90" i="31"/>
  <c r="H92" i="30"/>
  <c r="H101" i="30" s="1"/>
  <c r="H140" i="29" l="1"/>
  <c r="H142" i="29" s="1"/>
  <c r="H143" i="29" s="1"/>
  <c r="H144" i="29" s="1"/>
  <c r="H145" i="29" s="1"/>
  <c r="H92" i="31"/>
  <c r="H101" i="31" s="1"/>
  <c r="H103" i="30"/>
  <c r="H131" i="30" s="1"/>
  <c r="H141" i="30"/>
  <c r="G6" i="23"/>
  <c r="A6" i="23"/>
  <c r="A7" i="23" s="1"/>
  <c r="A8" i="23" s="1"/>
  <c r="A9" i="23" s="1"/>
  <c r="A10" i="23" s="1"/>
  <c r="A11" i="23" s="1"/>
  <c r="A12" i="23" s="1"/>
  <c r="A13" i="23" s="1"/>
  <c r="A14" i="23" s="1"/>
  <c r="H108" i="31" l="1"/>
  <c r="H141" i="31"/>
  <c r="H103" i="31"/>
  <c r="H131" i="31" s="1"/>
  <c r="H143" i="30"/>
  <c r="H144" i="30" s="1"/>
  <c r="H107" i="29" l="1"/>
  <c r="H110" i="29" s="1"/>
  <c r="H131" i="29" s="1"/>
  <c r="H132" i="29" s="1"/>
  <c r="H115" i="29" s="1"/>
  <c r="H116" i="29" s="1"/>
  <c r="H117" i="29" s="1"/>
  <c r="H112" i="27"/>
  <c r="H133" i="27" s="1"/>
  <c r="H108" i="30"/>
  <c r="H111" i="30" s="1"/>
  <c r="H132" i="30" s="1"/>
  <c r="H133" i="30" s="1"/>
  <c r="H116" i="30" s="1"/>
  <c r="H111" i="31"/>
  <c r="H132" i="31" s="1"/>
  <c r="H133" i="31" s="1"/>
  <c r="H116" i="31" s="1"/>
  <c r="H117" i="31" s="1"/>
  <c r="H143" i="31"/>
  <c r="H144" i="31" s="1"/>
  <c r="H145" i="31" s="1"/>
  <c r="H145" i="30"/>
  <c r="H146" i="30" s="1"/>
  <c r="H117" i="30" l="1"/>
  <c r="H118" i="30" s="1"/>
  <c r="H121" i="30" s="1"/>
  <c r="H120" i="29"/>
  <c r="H119" i="29"/>
  <c r="H118" i="29"/>
  <c r="H118" i="31"/>
  <c r="H121" i="31" s="1"/>
  <c r="H146" i="31"/>
  <c r="H119" i="30" l="1"/>
  <c r="H120" i="30"/>
  <c r="H121" i="29"/>
  <c r="H133" i="29" s="1"/>
  <c r="H134" i="29" s="1"/>
  <c r="F12" i="35" s="1"/>
  <c r="G12" i="35" s="1"/>
  <c r="H12" i="35" s="1"/>
  <c r="H119" i="31"/>
  <c r="H120" i="31"/>
  <c r="H72" i="27"/>
  <c r="H73" i="27" s="1"/>
  <c r="H139" i="29" l="1"/>
  <c r="H146" i="29" s="1"/>
  <c r="H122" i="30"/>
  <c r="H134" i="30" s="1"/>
  <c r="H135" i="30" s="1"/>
  <c r="H122" i="31"/>
  <c r="H134" i="31" s="1"/>
  <c r="H135" i="31" s="1"/>
  <c r="F14" i="35" s="1"/>
  <c r="G14" i="35" s="1"/>
  <c r="H14" i="35" s="1"/>
  <c r="H130" i="27"/>
  <c r="H140" i="30" l="1"/>
  <c r="H147" i="30" s="1"/>
  <c r="F13" i="35"/>
  <c r="G13" i="35" s="1"/>
  <c r="H13" i="35" s="1"/>
  <c r="H140" i="31"/>
  <c r="H147" i="31" s="1"/>
  <c r="H131" i="27"/>
  <c r="F91" i="27"/>
  <c r="H97" i="27"/>
  <c r="H98" i="27" s="1"/>
  <c r="H103" i="27" s="1"/>
  <c r="H90" i="27" l="1"/>
  <c r="H92" i="27"/>
  <c r="H89" i="27"/>
  <c r="H93" i="27" l="1"/>
  <c r="H102" i="27" s="1"/>
  <c r="H104" i="27" s="1"/>
  <c r="H132" i="27" s="1"/>
  <c r="H134" i="27" s="1"/>
  <c r="H117" i="27" s="1"/>
  <c r="H118" i="27" s="1"/>
  <c r="H119" i="27" s="1"/>
  <c r="H142" i="27" l="1"/>
  <c r="H144" i="27" s="1"/>
  <c r="H145" i="27" s="1"/>
  <c r="H121" i="27"/>
  <c r="H122" i="27"/>
  <c r="H120" i="27"/>
  <c r="H146" i="27" l="1"/>
  <c r="H147" i="27" s="1"/>
  <c r="H123" i="27"/>
  <c r="H135" i="27" s="1"/>
  <c r="H136" i="27" s="1"/>
  <c r="F10" i="35" s="1"/>
  <c r="G10" i="35" s="1"/>
  <c r="H10" i="35" l="1"/>
  <c r="H15" i="35" s="1"/>
  <c r="H16" i="35" s="1"/>
  <c r="F46" i="35" s="1"/>
  <c r="G15" i="35"/>
  <c r="H141" i="27"/>
  <c r="H148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Michelly de Souza Ferraz</author>
    <author>Felipe Mazza Mascarenhas</author>
    <author>Wellington Couto De Almeida</author>
  </authors>
  <commentList>
    <comment ref="B23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H25" authorId="1" shapeId="0" xr:uid="{228B2ABD-718F-4E3D-9B20-C39BDF1EBBBF}">
      <text>
        <r>
          <rPr>
            <sz val="9"/>
            <color indexed="81"/>
            <rFont val="Segoe UI"/>
            <family val="2"/>
          </rPr>
          <t>Na execução do contrato esse valor será zerado quando do pagamento das férias do titular.</t>
        </r>
      </text>
    </comment>
    <comment ref="D27" authorId="0" shapeId="0" xr:uid="{00000000-0006-0000-0100-000002000000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8162C8F-9393-4791-B001-9A899A6C87A1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D31" authorId="0" shapeId="0" xr:uid="{00000000-0006-0000-0100-000003000000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40" authorId="0" shapeId="0" xr:uid="{00000000-0006-0000-0100-000004000000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2" authorId="2" shapeId="0" xr:uid="{00000000-0006-0000-0100-000005000000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3" authorId="2" shapeId="0" xr:uid="{00000000-0006-0000-0100-000006000000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6" authorId="0" shapeId="0" xr:uid="{00000000-0006-0000-0100-000007000000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8" authorId="0" shapeId="0" xr:uid="{00000000-0006-0000-0100-000008000000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9" authorId="0" shapeId="0" xr:uid="{00000000-0006-0000-0100-000009000000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50" authorId="0" shapeId="0" xr:uid="{00000000-0006-0000-0100-00000A000000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50" authorId="0" shapeId="0" xr:uid="{00000000-0006-0000-0100-00000B000000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2" authorId="0" shapeId="0" xr:uid="{00000000-0006-0000-0100-00000C000000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3" authorId="0" shapeId="0" xr:uid="{00000000-0006-0000-0100-00000D000000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4" authorId="0" shapeId="0" xr:uid="{00000000-0006-0000-0100-00000E000000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5" authorId="0" shapeId="0" xr:uid="{00000000-0006-0000-0100-00000F000000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6" authorId="0" shapeId="0" xr:uid="{00000000-0006-0000-0100-000010000000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9" authorId="0" shapeId="0" xr:uid="{00000000-0006-0000-0100-000011000000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60" authorId="2" shapeId="0" xr:uid="{00000000-0006-0000-0100-000012000000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F78" authorId="3" shapeId="0" xr:uid="{8E0F56D8-83EA-4C2F-9184-BA7B9EB4905D}">
      <text>
        <r>
          <rPr>
            <b/>
            <sz val="9"/>
            <color indexed="81"/>
            <rFont val="Segoe UI"/>
            <family val="2"/>
          </rPr>
          <t>Wellington Couto De Almeida:</t>
        </r>
        <r>
          <rPr>
            <sz val="9"/>
            <color indexed="81"/>
            <rFont val="Segoe UI"/>
            <family val="2"/>
          </rPr>
          <t xml:space="preserve">
Valor fixo. 40% do FGTS. Usado como base de cálculo para API e APT.</t>
        </r>
      </text>
    </comment>
    <comment ref="C79" authorId="2" shapeId="0" xr:uid="{0A123C7F-A5CC-4D2C-86FF-0D0311EDD3E3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9" authorId="3" shapeId="0" xr:uid="{21926E19-F4C1-4EF5-B676-A3FA7D3A1879}">
      <text>
        <r>
          <rPr>
            <b/>
            <sz val="9"/>
            <color indexed="81"/>
            <rFont val="Segoe UI"/>
            <family val="2"/>
          </rPr>
          <t>Wellington Couto De Almeida:</t>
        </r>
        <r>
          <rPr>
            <sz val="9"/>
            <color indexed="81"/>
            <rFont val="Segoe UI"/>
            <family val="2"/>
          </rPr>
          <t xml:space="preserve">
Base de cálculo para API.</t>
        </r>
      </text>
    </comment>
    <comment ref="G81" authorId="1" shapeId="0" xr:uid="{F88EAAA9-4D16-4622-B9D5-E36670899261}">
      <text>
        <r>
          <rPr>
            <sz val="9"/>
            <color indexed="81"/>
            <rFont val="Segoe UI"/>
            <family val="2"/>
          </rPr>
          <t xml:space="preserve">A fórmula não deve ser alterada, de modo que o somatório do percentual do API e do APT totalize 100%.
</t>
        </r>
      </text>
    </comment>
    <comment ref="C82" authorId="2" shapeId="0" xr:uid="{441BF731-FB0A-4819-9811-DE99E12AE2B2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2" authorId="2" shapeId="0" xr:uid="{CD1A186A-6E2F-487D-A38C-3884272C6B1E}">
      <text>
        <r>
          <rPr>
            <sz val="9"/>
            <color indexed="81"/>
            <rFont val="Segoe UI"/>
            <family val="2"/>
          </rPr>
          <t>Valor fixo</t>
        </r>
      </text>
    </comment>
    <comment ref="G82" authorId="2" shapeId="0" xr:uid="{AF272BA7-18C6-4D49-9FE8-2423BF31FBE6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6" authorId="0" shapeId="0" xr:uid="{00000000-0006-0000-0100-00001A000000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8" authorId="0" shapeId="0" xr:uid="{00000000-0006-0000-0100-00001B000000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9" authorId="2" shapeId="0" xr:uid="{00000000-0006-0000-0100-00001C000000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0" authorId="0" shapeId="0" xr:uid="{00000000-0006-0000-0100-00001D000000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1" authorId="2" shapeId="0" xr:uid="{00000000-0006-0000-0100-00001E000000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6" authorId="0" shapeId="0" xr:uid="{00000000-0006-0000-0100-00001F000000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7" authorId="0" shapeId="0" xr:uid="{00000000-0006-0000-0100-000020000000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Michelly de Souza Ferraz</author>
    <author>Felipe Mazza Mascarenhas</author>
    <author>Wellington Couto De Almeida</author>
  </authors>
  <commentList>
    <comment ref="B23" authorId="0" shapeId="0" xr:uid="{281E07D1-4B58-4E94-87A3-288577702DE4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H25" authorId="1" shapeId="0" xr:uid="{CFA5DCA9-DA2D-4ED4-BC0D-166C640871DD}">
      <text>
        <r>
          <rPr>
            <sz val="9"/>
            <color indexed="81"/>
            <rFont val="Segoe UI"/>
            <family val="2"/>
          </rPr>
          <t>Na execução do contrato esse valor será zerado quando do pagamento das férias do titular.</t>
        </r>
      </text>
    </comment>
    <comment ref="D27" authorId="0" shapeId="0" xr:uid="{6EA78A0E-8AC3-4424-9DDC-97C6AF565111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B38" authorId="0" shapeId="0" xr:uid="{3943B650-469F-4358-AE82-63EAEE87174D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0" authorId="2" shapeId="0" xr:uid="{16471631-EF4F-4CF4-AD02-4F9DDE9CB68B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1" authorId="2" shapeId="0" xr:uid="{EF5D4D5E-74F5-4298-8775-0779A5855F53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4" authorId="0" shapeId="0" xr:uid="{58196962-99C7-4823-97AA-8931C6C69C1E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6" authorId="0" shapeId="0" xr:uid="{FD74F015-D53C-4624-BF4A-D01E6A0C5C52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7" authorId="0" shapeId="0" xr:uid="{730AC0B4-EDB3-4A6D-B0B7-3E30316D99A3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8" authorId="0" shapeId="0" xr:uid="{E80753E1-17C8-4801-9A72-F8EF50DC02B0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8" authorId="0" shapeId="0" xr:uid="{C2CC3AC7-1AF3-4CFB-98C6-F7844E4466E4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0" authorId="0" shapeId="0" xr:uid="{B7300B6F-46C0-4338-8E7F-EB5C2840FBC5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1" authorId="0" shapeId="0" xr:uid="{5A17BA3B-BC0B-409A-845C-D95E131B2344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2" authorId="0" shapeId="0" xr:uid="{D952E20E-05E6-4411-909F-C8749AB44641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3" authorId="0" shapeId="0" xr:uid="{47308A07-C50A-43AE-99FC-C144A1C8581A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4" authorId="0" shapeId="0" xr:uid="{65BAC30A-E8B0-4145-B4BF-19A10AF17208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7" authorId="0" shapeId="0" xr:uid="{6F090DD4-61FA-4D9A-9467-468B898E6820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8" authorId="2" shapeId="0" xr:uid="{CAB407ED-330F-4E18-872B-9C61E025AB61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F77" authorId="3" shapeId="0" xr:uid="{10BAA6AE-0559-4FCD-9908-E589713DA99F}">
      <text>
        <r>
          <rPr>
            <b/>
            <sz val="9"/>
            <color indexed="81"/>
            <rFont val="Segoe UI"/>
            <family val="2"/>
          </rPr>
          <t>Wellington Couto De Almeida:</t>
        </r>
        <r>
          <rPr>
            <sz val="9"/>
            <color indexed="81"/>
            <rFont val="Segoe UI"/>
            <family val="2"/>
          </rPr>
          <t xml:space="preserve">
Valor fixo. 40% do FGTS. Usado como base de cálculo para API e APT.</t>
        </r>
      </text>
    </comment>
    <comment ref="C78" authorId="2" shapeId="0" xr:uid="{79EFDE50-318E-4247-95E1-763463B75B97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3" shapeId="0" xr:uid="{58CF7D63-6985-448B-B6AF-7F90DAE34ADA}">
      <text>
        <r>
          <rPr>
            <b/>
            <sz val="9"/>
            <color indexed="81"/>
            <rFont val="Segoe UI"/>
            <family val="2"/>
          </rPr>
          <t>Wellington Couto De Almeida:</t>
        </r>
        <r>
          <rPr>
            <sz val="9"/>
            <color indexed="81"/>
            <rFont val="Segoe UI"/>
            <family val="2"/>
          </rPr>
          <t xml:space="preserve">
Base de cálculo para API.</t>
        </r>
      </text>
    </comment>
    <comment ref="G80" authorId="1" shapeId="0" xr:uid="{AF741A1F-4AC2-440F-9FD1-1F02B7D6B5C0}">
      <text>
        <r>
          <rPr>
            <sz val="9"/>
            <color indexed="81"/>
            <rFont val="Segoe UI"/>
            <family val="2"/>
          </rPr>
          <t xml:space="preserve">A fórmula não deve ser alterada, de modo que o somatório do percentual do API e do APT totalize 100%.
</t>
        </r>
      </text>
    </comment>
    <comment ref="C81" authorId="2" shapeId="0" xr:uid="{BD93F5D7-8021-40E6-A7B8-CB2A29E2913A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2" shapeId="0" xr:uid="{456C2B17-D6AF-4806-B24E-64A211AC7BB7}">
      <text>
        <r>
          <rPr>
            <sz val="9"/>
            <color indexed="81"/>
            <rFont val="Segoe UI"/>
            <family val="2"/>
          </rPr>
          <t>Valor fixo</t>
        </r>
      </text>
    </comment>
    <comment ref="G81" authorId="2" shapeId="0" xr:uid="{06C73387-4BDA-4E8E-AAEB-814C48CDB73D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415DE0DF-976E-4F6F-A413-157D3890B429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41949B58-E0C6-4F70-B8AD-E50DDF3C8C9D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2" shapeId="0" xr:uid="{6F637069-7CC6-44AE-8365-43FA066D6865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E00EB8E3-6097-4795-9677-E1FD6341CD24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2" shapeId="0" xr:uid="{B0BC9A52-61B5-442B-9072-86D3617974DF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5" authorId="0" shapeId="0" xr:uid="{8B3D9363-D8AF-4274-9A10-291A69E0B35B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6" authorId="0" shapeId="0" xr:uid="{7AC95E8D-5E92-4C6C-97D6-58D1E153696D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Michelly de Souza Ferraz</author>
    <author>Felipe Mazza Mascarenhas</author>
    <author>Wellington Couto De Almeida</author>
  </authors>
  <commentList>
    <comment ref="B23" authorId="0" shapeId="0" xr:uid="{79D30BD6-F445-445C-8C48-E9FAFDB62BAD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H25" authorId="1" shapeId="0" xr:uid="{5AA7458B-F8FB-4A33-B5A1-A9F156F68B8C}">
      <text>
        <r>
          <rPr>
            <sz val="9"/>
            <color indexed="81"/>
            <rFont val="Segoe UI"/>
            <family val="2"/>
          </rPr>
          <t>Na execução do contrato esse valor será zerado quando do pagamento das férias do titular.</t>
        </r>
      </text>
    </comment>
    <comment ref="D27" authorId="0" shapeId="0" xr:uid="{AF6DC53D-ECB8-4D88-A966-71E87B94A72F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306EDBB-74AB-4756-8953-4CE292CC3354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D31" authorId="0" shapeId="0" xr:uid="{134254DA-4DE4-4EE4-B24B-9086DC2B13C8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B33A4703-BE7E-4B11-A059-D2846814D0F3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2" shapeId="0" xr:uid="{54CA88A6-E868-4938-B351-A8FCABAC865E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2" shapeId="0" xr:uid="{73198C10-127D-4045-A7BE-1DFEB18BCCCF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447F1F1E-B92F-4298-9EFD-D639D392E787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8112C5B9-669C-47BB-A1A8-6387B4753385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AC8F3EC6-48CA-46BD-8C5F-6329EBF0FDD0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471AFAE3-E1D6-41A0-960A-E625E983BE63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577B0D9E-E538-4859-96F0-E9BB639B3315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1DE3B65B-D06A-4310-85F7-6C30F08D0A07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A5260B6C-F29A-4AF2-A200-44C8E21309A9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DBBD22A9-A4E2-435B-9C09-4B427DFCFD30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E2EB1FA6-C2C8-4CFA-A546-3756B06B4D93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4DBBD9A0-DFD2-4E41-A5A7-257870A41BF9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8C5DFA62-6AD9-4D94-9DF0-24717739C684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2" shapeId="0" xr:uid="{2E029A8F-26DE-4A9D-8873-6D915147D5A6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F77" authorId="3" shapeId="0" xr:uid="{5A8BBCF7-CA5A-490F-B740-A6B97866BDCF}">
      <text>
        <r>
          <rPr>
            <b/>
            <sz val="9"/>
            <color indexed="81"/>
            <rFont val="Segoe UI"/>
            <family val="2"/>
          </rPr>
          <t>Wellington Couto De Almeida:</t>
        </r>
        <r>
          <rPr>
            <sz val="9"/>
            <color indexed="81"/>
            <rFont val="Segoe UI"/>
            <family val="2"/>
          </rPr>
          <t xml:space="preserve">
Valor fixo. 40% do FGTS. Usado como base de cálculo para API e APT.</t>
        </r>
      </text>
    </comment>
    <comment ref="C78" authorId="2" shapeId="0" xr:uid="{24E75068-29D7-4E9A-B3FF-05EE8C47EECC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3" shapeId="0" xr:uid="{44B2F948-F40D-4D39-830B-DE89CBCBE84E}">
      <text>
        <r>
          <rPr>
            <b/>
            <sz val="9"/>
            <color indexed="81"/>
            <rFont val="Segoe UI"/>
            <family val="2"/>
          </rPr>
          <t>Wellington Couto De Almeida:</t>
        </r>
        <r>
          <rPr>
            <sz val="9"/>
            <color indexed="81"/>
            <rFont val="Segoe UI"/>
            <family val="2"/>
          </rPr>
          <t xml:space="preserve">
Base de cálculo para API.</t>
        </r>
      </text>
    </comment>
    <comment ref="G80" authorId="1" shapeId="0" xr:uid="{21A59AB0-B02F-411B-9AA2-4B3A8397899B}">
      <text>
        <r>
          <rPr>
            <sz val="9"/>
            <color indexed="81"/>
            <rFont val="Segoe UI"/>
            <family val="2"/>
          </rPr>
          <t xml:space="preserve">A fórmula não deve ser alterada, de modo que o somatório do percentual do API e do APT totalize 100%.
</t>
        </r>
      </text>
    </comment>
    <comment ref="C81" authorId="2" shapeId="0" xr:uid="{32BB2458-F111-47CB-9BA1-D7C885048647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2" shapeId="0" xr:uid="{394DA7FE-D42C-4C95-B044-D2789745A65D}">
      <text>
        <r>
          <rPr>
            <sz val="9"/>
            <color indexed="81"/>
            <rFont val="Segoe UI"/>
            <family val="2"/>
          </rPr>
          <t>Valor fixo</t>
        </r>
      </text>
    </comment>
    <comment ref="G81" authorId="2" shapeId="0" xr:uid="{3F7908CF-7775-4958-BF88-447A7868F480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92268265-474A-4D39-82F9-53BC0065FF52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91AB8C55-281E-423F-9F2A-396E43748A62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2" shapeId="0" xr:uid="{6E267C1F-0CD5-4FA6-95B2-0436FEB425F7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6A1140A5-10FF-4F70-9F2A-5819314F5D7C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2" shapeId="0" xr:uid="{98219419-50D8-4F02-A1D8-F65787523896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B57C5763-ACD3-49F4-87E4-A8A907678BC3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914D055A-AB52-488A-9391-189D4D9CF48A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Michelly de Souza Ferraz</author>
    <author>Felipe Mazza Mascarenhas</author>
    <author>Wellington Couto De Almeida</author>
  </authors>
  <commentList>
    <comment ref="B23" authorId="0" shapeId="0" xr:uid="{BC9B107F-02B7-4EB9-8945-2313DEED9018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H25" authorId="1" shapeId="0" xr:uid="{A043A20E-6D32-42AE-98A5-4B7A3F05A648}">
      <text>
        <r>
          <rPr>
            <sz val="9"/>
            <color indexed="81"/>
            <rFont val="Segoe UI"/>
            <family val="2"/>
          </rPr>
          <t>Na execução do contrato esse valor será zerado quando do pagamento das férias do titular.</t>
        </r>
      </text>
    </comment>
    <comment ref="D27" authorId="0" shapeId="0" xr:uid="{8071CC5D-4CDA-4B92-BA35-05756D9DD1AC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2F425B3C-0979-4F8F-BD6D-A15E646E3CD1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D31" authorId="0" shapeId="0" xr:uid="{8BF5B85A-CCB5-4E79-B7DB-E6B1F92CCDB4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40" authorId="0" shapeId="0" xr:uid="{E28BE67E-DE7F-450A-8EA8-39F5CE6C6F29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2" authorId="2" shapeId="0" xr:uid="{BEFBDA2E-D030-4740-8DB0-0B1F13DD5CB2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3" authorId="2" shapeId="0" xr:uid="{1104FFB2-D620-432F-9599-4FDBEE204175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6" authorId="0" shapeId="0" xr:uid="{B3547276-EF0A-4651-B257-436CA9DE8E7C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8" authorId="0" shapeId="0" xr:uid="{AD4F9714-FCA7-46E7-8965-A907089E0FEA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9" authorId="0" shapeId="0" xr:uid="{20741FD6-AF9B-4AA4-8C73-D48B7DE595FB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50" authorId="0" shapeId="0" xr:uid="{22C3E61C-BB11-4B99-9DA9-C676A64A3876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50" authorId="0" shapeId="0" xr:uid="{736B2583-2D47-4FF3-AB49-9C7980484F76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2" authorId="0" shapeId="0" xr:uid="{37A86E66-3AF3-4E90-A6CB-008AF678970D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3" authorId="0" shapeId="0" xr:uid="{86898215-2A78-49C4-BCFC-D0D217A61EF8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4" authorId="0" shapeId="0" xr:uid="{5547A555-EB12-4F70-86B2-C8F3318EFFAD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5" authorId="0" shapeId="0" xr:uid="{6F09589A-81AA-4B7D-9BB0-2FA68F18ED20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6" authorId="0" shapeId="0" xr:uid="{CD8A92FC-F36C-40B2-A532-83D81FF23A62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9" authorId="0" shapeId="0" xr:uid="{E0A2830B-EE82-4D5D-8B17-453522E93246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60" authorId="2" shapeId="0" xr:uid="{0AC6AC8A-537A-43A3-B12B-FF87450BB252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F78" authorId="3" shapeId="0" xr:uid="{CD0F1E1C-BA68-4C9F-AE7E-7747820DF1B1}">
      <text>
        <r>
          <rPr>
            <b/>
            <sz val="9"/>
            <color indexed="81"/>
            <rFont val="Segoe UI"/>
            <family val="2"/>
          </rPr>
          <t>Wellington Couto De Almeida:</t>
        </r>
        <r>
          <rPr>
            <sz val="9"/>
            <color indexed="81"/>
            <rFont val="Segoe UI"/>
            <family val="2"/>
          </rPr>
          <t xml:space="preserve">
Valor fixo. 40% do FGTS. Usado como base de cálculo para API e APT.</t>
        </r>
      </text>
    </comment>
    <comment ref="C79" authorId="2" shapeId="0" xr:uid="{B64BEB57-AFFD-4E06-8EDA-61B830CC6C72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9" authorId="3" shapeId="0" xr:uid="{3204B0B8-71D5-4ED2-BF28-30ECF5705F39}">
      <text>
        <r>
          <rPr>
            <b/>
            <sz val="9"/>
            <color indexed="81"/>
            <rFont val="Segoe UI"/>
            <family val="2"/>
          </rPr>
          <t>Wellington Couto De Almeida:</t>
        </r>
        <r>
          <rPr>
            <sz val="9"/>
            <color indexed="81"/>
            <rFont val="Segoe UI"/>
            <family val="2"/>
          </rPr>
          <t xml:space="preserve">
Base de cálculo para API.</t>
        </r>
      </text>
    </comment>
    <comment ref="G81" authorId="1" shapeId="0" xr:uid="{C3038873-1CEB-4F24-9BB9-BF6A9924712E}">
      <text>
        <r>
          <rPr>
            <sz val="9"/>
            <color indexed="81"/>
            <rFont val="Segoe UI"/>
            <family val="2"/>
          </rPr>
          <t xml:space="preserve">A fórmula não deve ser alterada, de modo que o somatório do percentual do API e do APT totalize 100%.
</t>
        </r>
      </text>
    </comment>
    <comment ref="C82" authorId="2" shapeId="0" xr:uid="{B7420E8C-D228-4EA6-B577-3C297D14856D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2" authorId="2" shapeId="0" xr:uid="{87509442-E77B-4333-A69F-E2CDA4C4437F}">
      <text>
        <r>
          <rPr>
            <sz val="9"/>
            <color indexed="81"/>
            <rFont val="Segoe UI"/>
            <family val="2"/>
          </rPr>
          <t>Valor fixo</t>
        </r>
      </text>
    </comment>
    <comment ref="G82" authorId="2" shapeId="0" xr:uid="{78C3F4AF-DFC4-473E-8813-3390F9A32854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6" authorId="0" shapeId="0" xr:uid="{C7ADA811-DDD0-48CA-BC66-390CFD681523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8" authorId="0" shapeId="0" xr:uid="{5F844ED3-0049-4D78-B206-10E9137475E0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9" authorId="2" shapeId="0" xr:uid="{BE0BB349-3A65-4CF2-B110-0B955683C550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0" authorId="0" shapeId="0" xr:uid="{B9F690C7-A66A-47E1-9E69-01A03B205797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1" authorId="2" shapeId="0" xr:uid="{6C1D4957-743B-4F01-806C-5FEF532C9CAE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5" authorId="0" shapeId="0" xr:uid="{3F8B7615-3C56-42F6-ADC7-A5635F1C0870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6" authorId="0" shapeId="0" xr:uid="{365A0D51-D922-495E-923E-401FDFAA2917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Michelly de Souza Ferraz</author>
    <author>Felipe Mazza Mascarenhas</author>
    <author>Wellington Couto De Almeida</author>
  </authors>
  <commentList>
    <comment ref="B23" authorId="0" shapeId="0" xr:uid="{23AB0292-E36C-48CE-BA49-418C422E77C1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H25" authorId="1" shapeId="0" xr:uid="{FBA5CCB5-1569-4F87-B498-43213FB0761D}">
      <text>
        <r>
          <rPr>
            <sz val="9"/>
            <color indexed="81"/>
            <rFont val="Segoe UI"/>
            <family val="2"/>
          </rPr>
          <t>Na execução do contrato esse valor será zerado quando do pagamento das férias do titular.</t>
        </r>
      </text>
    </comment>
    <comment ref="D27" authorId="0" shapeId="0" xr:uid="{62978AA6-D5B1-4EB5-81CC-86784E652E13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75AB9EC0-7E87-46A9-8D53-BE638307C274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D31" authorId="0" shapeId="0" xr:uid="{436015EC-FF1B-4F89-9CF9-F590E23E1F7B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40" authorId="0" shapeId="0" xr:uid="{FCCC7303-33DA-4482-A875-986590AE4B91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2" authorId="2" shapeId="0" xr:uid="{C14F4F35-6C85-4BB7-B8C8-04D5CBA82705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3" authorId="2" shapeId="0" xr:uid="{083FD730-E6BB-4A4E-ADB8-CDA0900BCE2A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6" authorId="0" shapeId="0" xr:uid="{BD50627E-622B-4393-A7A2-6E16FE177FB6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8" authorId="0" shapeId="0" xr:uid="{0D9D9513-54D6-4243-A86D-CB438A190A61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9" authorId="0" shapeId="0" xr:uid="{CE6E41A2-6FDC-48B7-A020-AF0E33041523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50" authorId="0" shapeId="0" xr:uid="{AD2B7A9D-3288-4312-8EBD-B116F7A5FC94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50" authorId="0" shapeId="0" xr:uid="{53F20436-BB72-4EC7-B921-CC0035C49214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2" authorId="0" shapeId="0" xr:uid="{51EE4403-C313-4285-A65D-8F7C8FC5B39C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3" authorId="0" shapeId="0" xr:uid="{C8AFBA78-4CCF-427F-A98D-4F57D70DD805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4" authorId="0" shapeId="0" xr:uid="{36D25170-5D4A-4A31-B916-77E88141373F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5" authorId="0" shapeId="0" xr:uid="{95087AD1-5DFF-4F7E-B4D5-6E9BD7EA23E0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6" authorId="0" shapeId="0" xr:uid="{2B8B3DEE-4AFC-4664-97CC-7FD1C0146D4E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9" authorId="0" shapeId="0" xr:uid="{7568395D-24EA-4137-AC76-D0F5324B0286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60" authorId="2" shapeId="0" xr:uid="{EAF43291-2032-4179-91C0-861F9ED5C721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F78" authorId="3" shapeId="0" xr:uid="{27585471-309E-44C9-82FE-C21B3C848651}">
      <text>
        <r>
          <rPr>
            <b/>
            <sz val="9"/>
            <color indexed="81"/>
            <rFont val="Segoe UI"/>
            <family val="2"/>
          </rPr>
          <t>Wellington Couto De Almeida:</t>
        </r>
        <r>
          <rPr>
            <sz val="9"/>
            <color indexed="81"/>
            <rFont val="Segoe UI"/>
            <family val="2"/>
          </rPr>
          <t xml:space="preserve">
Valor fixo. 40% do FGTS. Usado como base de cálculo para API e APT.</t>
        </r>
      </text>
    </comment>
    <comment ref="C79" authorId="2" shapeId="0" xr:uid="{A17ABA34-8DE3-4CEA-AC11-73439A475818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9" authorId="3" shapeId="0" xr:uid="{C827FE4D-E64C-48BF-8EA3-64FA07ABE186}">
      <text>
        <r>
          <rPr>
            <b/>
            <sz val="9"/>
            <color indexed="81"/>
            <rFont val="Segoe UI"/>
            <family val="2"/>
          </rPr>
          <t>Wellington Couto De Almeida:</t>
        </r>
        <r>
          <rPr>
            <sz val="9"/>
            <color indexed="81"/>
            <rFont val="Segoe UI"/>
            <family val="2"/>
          </rPr>
          <t xml:space="preserve">
Base de cálculo para API.</t>
        </r>
      </text>
    </comment>
    <comment ref="G81" authorId="1" shapeId="0" xr:uid="{6910CB8B-05FC-4B61-AD91-B766E4430D51}">
      <text>
        <r>
          <rPr>
            <sz val="9"/>
            <color indexed="81"/>
            <rFont val="Segoe UI"/>
            <family val="2"/>
          </rPr>
          <t xml:space="preserve">A fórmula não deve ser alterada, de modo que o somatório do percentual do API e do APT totalize 100%.
</t>
        </r>
      </text>
    </comment>
    <comment ref="C82" authorId="2" shapeId="0" xr:uid="{1F89E651-6C26-4FAA-BE76-8EAD15A269B3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2" authorId="2" shapeId="0" xr:uid="{AA036649-7914-440A-9F38-903562D025F3}">
      <text>
        <r>
          <rPr>
            <sz val="9"/>
            <color indexed="81"/>
            <rFont val="Segoe UI"/>
            <family val="2"/>
          </rPr>
          <t>Valor fixo</t>
        </r>
      </text>
    </comment>
    <comment ref="G82" authorId="2" shapeId="0" xr:uid="{92A1AE8C-87A5-4052-BD7D-7100761282BA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6" authorId="0" shapeId="0" xr:uid="{0CBC4382-DB9D-454A-8F6E-3712586CE547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8" authorId="0" shapeId="0" xr:uid="{10473683-2DB2-40CC-B141-D662DCDEFAD2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9" authorId="2" shapeId="0" xr:uid="{BB4F8617-C6D5-4D06-9393-51E5EA03BF6D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0" authorId="0" shapeId="0" xr:uid="{BC318B6C-3CB4-4C4F-91CE-E79EF94E1C76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1" authorId="2" shapeId="0" xr:uid="{307DDC65-FB35-4B67-B907-83B827C70602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5" authorId="0" shapeId="0" xr:uid="{EDC9CF08-E3BC-41C1-8BC7-60002A4B5D78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6" authorId="0" shapeId="0" xr:uid="{7F59F847-D4FB-429B-A37B-1BD524F6631D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<sst xmlns="http://schemas.openxmlformats.org/spreadsheetml/2006/main" count="1627" uniqueCount="339">
  <si>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</si>
  <si>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</si>
  <si>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</si>
  <si>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</si>
  <si>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</si>
  <si>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</si>
  <si>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</si>
  <si>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</si>
  <si>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</si>
  <si>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</si>
  <si>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</si>
  <si>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</si>
  <si>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4.1</t>
  </si>
  <si>
    <t>4.2</t>
  </si>
  <si>
    <t>Custos Indiretos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</si>
  <si>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</si>
  <si>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</si>
  <si>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</si>
  <si>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</si>
  <si>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</si>
  <si>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</si>
  <si>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</si>
  <si>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</si>
  <si>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</si>
  <si>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</si>
  <si>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</si>
  <si>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</si>
  <si>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</si>
  <si>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</si>
  <si>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</si>
  <si>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</si>
  <si>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</si>
  <si>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</si>
  <si>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</si>
  <si>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</si>
  <si>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</si>
  <si>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</si>
  <si>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</si>
  <si>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</si>
  <si>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</si>
  <si>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</si>
  <si>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</si>
  <si>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</si>
  <si>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</si>
  <si>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</si>
  <si>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</si>
  <si>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</si>
  <si>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</si>
  <si>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</si>
  <si>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</si>
  <si>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</si>
  <si>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</si>
  <si>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</si>
  <si>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</si>
  <si>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</si>
  <si>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</si>
  <si>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</si>
  <si>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</si>
  <si>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</si>
  <si>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</si>
  <si>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</si>
  <si>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</si>
  <si>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</si>
  <si>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</si>
  <si>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</si>
  <si>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</si>
  <si>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</si>
  <si>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</si>
  <si>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</si>
  <si>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</si>
  <si>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</si>
  <si>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</si>
  <si>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</si>
  <si>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</si>
  <si>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</si>
  <si>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</si>
  <si>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</si>
  <si>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</si>
  <si>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</si>
  <si>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</si>
  <si>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UNIFORMES</t>
  </si>
  <si>
    <t>Item</t>
  </si>
  <si>
    <t>Custo Unitário</t>
  </si>
  <si>
    <t>Cargo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</si>
  <si>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</si>
  <si>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</si>
  <si>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</si>
  <si>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</si>
  <si>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</si>
  <si>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</si>
  <si>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</si>
  <si>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</si>
  <si>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Valor Unitário</t>
  </si>
  <si>
    <t>API com Probabilidade</t>
  </si>
  <si>
    <t>Aviso Prévio Indenizado - API</t>
  </si>
  <si>
    <t>APT com Probabilidade</t>
  </si>
  <si>
    <t xml:space="preserve">FAP </t>
  </si>
  <si>
    <t>SAT - GIIL/RAT</t>
  </si>
  <si>
    <t xml:space="preserve">RAT 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</si>
  <si>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</si>
  <si>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</si>
  <si>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</si>
  <si>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</si>
  <si>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</si>
  <si>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</si>
  <si>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</si>
  <si>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</si>
  <si>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CUSTO TOTAL MENSAL</t>
  </si>
  <si>
    <t>Custo anual por posto</t>
  </si>
  <si>
    <t>Custo mensal por posto</t>
  </si>
  <si>
    <t>BASE DE CÁLCULO DOS TRIBUTOS</t>
  </si>
  <si>
    <t>Mão de Obra vinculada à execução contratual (valor por posto)</t>
  </si>
  <si>
    <t>Memória de cálculo da hora extra</t>
  </si>
  <si>
    <t>VALOR TOTAL</t>
  </si>
  <si>
    <t>Valor da hora extra</t>
  </si>
  <si>
    <r>
      <t>Quantidade (</t>
    </r>
    <r>
      <rPr>
        <b/>
        <sz val="9"/>
        <color rgb="FFFF0000"/>
        <rFont val="Tahoma"/>
        <family val="2"/>
      </rPr>
      <t>Posto</t>
    </r>
    <r>
      <rPr>
        <b/>
        <sz val="9"/>
        <color theme="1"/>
        <rFont val="Tahoma"/>
        <family val="2"/>
      </rPr>
      <t xml:space="preserve">) </t>
    </r>
  </si>
  <si>
    <t>Anexo II</t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</si>
  <si>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</si>
  <si>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</si>
  <si>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Categoria Profissional (nome do cargo)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</si>
  <si>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</si>
  <si>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</si>
  <si>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</si>
  <si>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</si>
  <si>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</si>
  <si>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</si>
  <si>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</si>
  <si>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</si>
  <si>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</si>
  <si>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</si>
  <si>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</si>
  <si>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</si>
  <si>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</si>
  <si>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</si>
  <si>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</si>
  <si>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</si>
  <si>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</si>
  <si>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</si>
  <si>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</si>
  <si>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</si>
  <si>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</si>
  <si>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</si>
  <si>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</si>
  <si>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</si>
  <si>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</si>
  <si>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</si>
  <si>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</si>
  <si>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</si>
  <si>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</si>
  <si>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</si>
  <si>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</si>
  <si>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</si>
  <si>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</si>
  <si>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</si>
  <si>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</si>
  <si>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</si>
  <si>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</si>
  <si>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</si>
  <si>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</si>
  <si>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</si>
  <si>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</si>
  <si>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</si>
  <si>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</si>
  <si>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</si>
  <si>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</si>
  <si>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</si>
  <si>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</si>
  <si>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</si>
  <si>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</si>
  <si>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</si>
  <si>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</si>
  <si>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t>excluir, se for o caso</t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</si>
  <si>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</si>
  <si>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</si>
  <si>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</si>
  <si>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>CPF: ____________________</t>
  </si>
  <si>
    <t>Preencher apenas as células em amarelo e substituir os caracteres em vermelho</t>
  </si>
  <si>
    <t>CUSTO POR EMPREGADO</t>
  </si>
  <si>
    <t>Módulo 7 - QUADRO-RESUMO DO CUSTO POR EMPREGADO</t>
  </si>
  <si>
    <t>PAGAMENTO MÍNIMO MENSAL SEM FATO GERADOR E/OU OUTRAS OCORRÊNCIAS</t>
  </si>
  <si>
    <t>Módulo 8- QUADRO-RESUMO DO PAGAMENTO MENSAL SEM FATO GERADOR E/OU OUTRAS OCORRÊNCIAS</t>
  </si>
  <si>
    <t>Contrato inicial</t>
  </si>
  <si>
    <t>{[(Tot.1+Tot.2.1+Tot.2.2)÷30 dias] x 3 dias} ÷ 12 meses</t>
  </si>
  <si>
    <t>Sal. Mínimo</t>
  </si>
  <si>
    <t>Substituto nas férias</t>
  </si>
  <si>
    <t>Multa do FGTS</t>
  </si>
  <si>
    <r>
      <t xml:space="preserve">(3.A + 3.B)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</si>
  <si>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</si>
  <si>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>OBJETO:</t>
    </r>
    <r>
      <rPr>
        <sz val="9"/>
        <rFont val="Tahoma"/>
        <family val="2"/>
      </rPr>
      <t xml:space="preserve"> Serviços continuados de manutenção predial abrangendo atividades de arquitetura, segurança do trabalho e demais especialidades técnicas, com dedicação exclusiva de mão de obra</t>
    </r>
  </si>
  <si>
    <t>Arquiteto</t>
  </si>
  <si>
    <t>Auxílio-creche</t>
  </si>
  <si>
    <t>Cláusula 19ª</t>
  </si>
  <si>
    <t>Técnico de Segurança do Trabalho</t>
  </si>
  <si>
    <t>Café da manhã</t>
  </si>
  <si>
    <t>Cláusula 11ª</t>
  </si>
  <si>
    <t>Gratificações</t>
  </si>
  <si>
    <t>Cláusula 9ª</t>
  </si>
  <si>
    <t>Encarregado de Manutenção</t>
  </si>
  <si>
    <t>Prêmio de Assiduidade</t>
  </si>
  <si>
    <t>Técnico em Manutenção Elétrica</t>
  </si>
  <si>
    <t>Técnico em Manutenção Predial Geral</t>
  </si>
  <si>
    <t>Cláusula 16ª</t>
  </si>
  <si>
    <t>Seguro de vida/acidentes pessoais com auxílio funeral</t>
  </si>
  <si>
    <t>Cláusulas 17ª e 18ª</t>
  </si>
  <si>
    <t>Seguro de vida</t>
  </si>
  <si>
    <t>Calça em jeans escuro, modelo tradicional, 100% algodão</t>
  </si>
  <si>
    <t>Camisas tipo polo de malhoa 100% algodão, manga cura, na cor verde escuro</t>
  </si>
  <si>
    <t>Par de Meias pretas</t>
  </si>
  <si>
    <t>Cinto preto</t>
  </si>
  <si>
    <t>Agasalho, tipo moletom, com zíper e bolsos, sem capuz, liso, na cor cinza</t>
  </si>
  <si>
    <t>Óculos Proteção</t>
  </si>
  <si>
    <t>Par de Luvas pigmentada</t>
  </si>
  <si>
    <t>Par de Luvas de raspas</t>
  </si>
  <si>
    <t>Par de botas de segurança em couro, na cor preta</t>
  </si>
  <si>
    <t>Capacete de proteção com carneira e catraca jugular</t>
  </si>
  <si>
    <t>Profissional</t>
  </si>
  <si>
    <t>Trena digital</t>
  </si>
  <si>
    <t>Decibelímetro</t>
  </si>
  <si>
    <t>Luxímetro</t>
  </si>
  <si>
    <t>TST</t>
  </si>
  <si>
    <t>Cinto de ferramentas</t>
  </si>
  <si>
    <t>Alicate de ponta finas ou meia-cana</t>
  </si>
  <si>
    <t>Paquímetro</t>
  </si>
  <si>
    <t>Cj Grampos “c”</t>
  </si>
  <si>
    <t>Alicate Amperímetro</t>
  </si>
  <si>
    <t>Morsa Torno Encanador</t>
  </si>
  <si>
    <t>Alicate universal</t>
  </si>
  <si>
    <t>Alicate decapador de fios</t>
  </si>
  <si>
    <t>Serra tico-tico</t>
  </si>
  <si>
    <t>Lixadeira eletrica</t>
  </si>
  <si>
    <t>Jogo de Limas</t>
  </si>
  <si>
    <t>Multímetro digital</t>
  </si>
  <si>
    <t>Arco de serra ajustável</t>
  </si>
  <si>
    <t>Réguas de Aço</t>
  </si>
  <si>
    <t>Bomba de vácuo</t>
  </si>
  <si>
    <t>Capacímetro Digital</t>
  </si>
  <si>
    <t>Jogo de Chave de fenda</t>
  </si>
  <si>
    <t>Alicate Bomba D’Água (bico de papagaio)</t>
  </si>
  <si>
    <t>Jogo de Formões</t>
  </si>
  <si>
    <t>Conjunto manifold</t>
  </si>
  <si>
    <t>Maçarico portátil</t>
  </si>
  <si>
    <t>Ponteira, talhadeira e kit brocas para martelete 5 KG</t>
  </si>
  <si>
    <t xml:space="preserve">Parafusadeira com acessórios  </t>
  </si>
  <si>
    <t>Martelo Unha</t>
  </si>
  <si>
    <t>Esquadro de Carpinteiro</t>
  </si>
  <si>
    <t>Detector eletrônico de Vazamentos de fluídos refrigerantes</t>
  </si>
  <si>
    <t>Talhadeira e ponteiro manual</t>
  </si>
  <si>
    <t>Conjunto de Chave Catraca (jogo soquetes)</t>
  </si>
  <si>
    <t>Conjunto Serra Copo diamantada para concreto 35mm - 45mm</t>
  </si>
  <si>
    <t>Cortador de tubos</t>
  </si>
  <si>
    <t>Pente de aletas</t>
  </si>
  <si>
    <t>Jogo de chaves canhão em milímetro</t>
  </si>
  <si>
    <t>Alicate de bico fino</t>
  </si>
  <si>
    <t>Alicate de Crimpagem</t>
  </si>
  <si>
    <t>Alicate de inserção Punch-Down</t>
  </si>
  <si>
    <t>Copiadora de chaves</t>
  </si>
  <si>
    <t>Conjunto de chaves inglesas</t>
  </si>
  <si>
    <t>Máquina Serra mármore</t>
  </si>
  <si>
    <t>Alicate de pressão</t>
  </si>
  <si>
    <t>Alicate Torquês</t>
  </si>
  <si>
    <t>Rebitador</t>
  </si>
  <si>
    <t>Esmerilhadeira</t>
  </si>
  <si>
    <t>Conjunto de chaves Allen</t>
  </si>
  <si>
    <t>Saca polia de 8"</t>
  </si>
  <si>
    <t>Saca polia de 10"</t>
  </si>
  <si>
    <t>Kit flangeador excêntrico</t>
  </si>
  <si>
    <t>Termo-higrômetro</t>
  </si>
  <si>
    <t>Alicate de corte diagonal</t>
  </si>
  <si>
    <t>Jogo de bits soquete magnético para parafusadeira (canhão, sextavado e ponta)</t>
  </si>
  <si>
    <t>Conjunto de grosas para madeira</t>
  </si>
  <si>
    <t>Kit trincha para pintura, kit rolo de pintura (lã e esponha) + bandeja</t>
  </si>
  <si>
    <t>Kit discos para serra mármore</t>
  </si>
  <si>
    <t>Serrote 18"</t>
  </si>
  <si>
    <t>Ventosa dupla</t>
  </si>
  <si>
    <t>Serrote de ponta para drywall 6" tipo faca</t>
  </si>
  <si>
    <t>Moto Esmeril de Bancada 6" 735W 1HP Bivolt</t>
  </si>
  <si>
    <t>Testador e localizador de rede (fibra ótica) (TX 1500)</t>
  </si>
  <si>
    <t>Jogo de chaves philips</t>
  </si>
  <si>
    <t>Kit jogo de brocas c/ estojo-ferro, concreto, madeira, videa, aço</t>
  </si>
  <si>
    <t>Conjunto de chaves combinadas</t>
  </si>
  <si>
    <t>Nível a laser</t>
  </si>
  <si>
    <t>Martelete 5 kg</t>
  </si>
  <si>
    <t>3 headsets</t>
  </si>
  <si>
    <t>Técnico de Manutenção</t>
  </si>
  <si>
    <t>MATERIAIS E EQUIPAMENTOS</t>
  </si>
  <si>
    <t>Materiais e Equipamentos</t>
  </si>
  <si>
    <t>Quantidade por conjunto</t>
  </si>
  <si>
    <t>Quantidade de conjuntos por ano</t>
  </si>
  <si>
    <t>Técnico em Manutenção Predial</t>
  </si>
  <si>
    <t>Transição entre profissional titular e profissional substituto 2 dias</t>
  </si>
  <si>
    <t>Valor Total (R$)</t>
  </si>
  <si>
    <t>Manutenção de Ar-Condicionado</t>
  </si>
  <si>
    <t>Detecção, Alarme e Combate a Incêndio</t>
  </si>
  <si>
    <t>Extintor de Incêndio – Manutenção Mensal</t>
  </si>
  <si>
    <t>Extintores</t>
  </si>
  <si>
    <t>PQS 6 kg</t>
  </si>
  <si>
    <r>
      <t>CO</t>
    </r>
    <r>
      <rPr>
        <b/>
        <sz val="6"/>
        <rFont val="Tahoma"/>
        <family val="2"/>
      </rPr>
      <t xml:space="preserve">2 </t>
    </r>
    <r>
      <rPr>
        <b/>
        <sz val="9"/>
        <rFont val="Tahoma"/>
        <family val="2"/>
      </rPr>
      <t>10 kg</t>
    </r>
  </si>
  <si>
    <r>
      <t>CO</t>
    </r>
    <r>
      <rPr>
        <b/>
        <sz val="6"/>
        <rFont val="Tahoma"/>
        <family val="2"/>
      </rPr>
      <t xml:space="preserve">2 </t>
    </r>
    <r>
      <rPr>
        <b/>
        <sz val="9"/>
        <rFont val="Tahoma"/>
        <family val="2"/>
      </rPr>
      <t>6 kg</t>
    </r>
  </si>
  <si>
    <r>
      <t>CO</t>
    </r>
    <r>
      <rPr>
        <b/>
        <sz val="6"/>
        <rFont val="Tahoma"/>
        <family val="2"/>
      </rPr>
      <t xml:space="preserve">2 </t>
    </r>
    <r>
      <rPr>
        <b/>
        <sz val="9"/>
        <rFont val="Tahoma"/>
        <family val="2"/>
      </rPr>
      <t>4 kg</t>
    </r>
  </si>
  <si>
    <t>AP 10 l</t>
  </si>
  <si>
    <t>Extintor de Incêndio - Recarga anual</t>
  </si>
  <si>
    <t>Valor Unitário anual (R$)</t>
  </si>
  <si>
    <t>Tabela 1</t>
  </si>
  <si>
    <t>Tabela 2</t>
  </si>
  <si>
    <t>Tabela 3</t>
  </si>
  <si>
    <t>Quantidade de meses</t>
  </si>
  <si>
    <t>Valor Unitário Mensal</t>
  </si>
  <si>
    <t>Tabela 4</t>
  </si>
  <si>
    <t>Valor total</t>
  </si>
  <si>
    <t>D =  A x B x C</t>
  </si>
  <si>
    <t>C = A x B</t>
  </si>
  <si>
    <t>E = C x D</t>
  </si>
  <si>
    <t>Quant. de recargas estimadas</t>
  </si>
  <si>
    <t>VALOR GLOBAL (Somatório das Tabelas 1, 2, 3 e 4)</t>
  </si>
  <si>
    <t>Valor mensal</t>
  </si>
  <si>
    <t>Quant. de meses</t>
  </si>
  <si>
    <t>Subitem</t>
  </si>
  <si>
    <t>Quantidade</t>
  </si>
  <si>
    <t>O proponente declara:</t>
  </si>
  <si>
    <t>Seguem em anexo:</t>
  </si>
  <si>
    <r>
      <t>Segue a indicação do enquadramento sindical</t>
    </r>
    <r>
      <rPr>
        <sz val="9"/>
        <color rgb="FF7030A0"/>
        <rFont val="Tahoma"/>
        <family val="2"/>
      </rPr>
      <t xml:space="preserve"> </t>
    </r>
    <r>
      <rPr>
        <sz val="9"/>
        <rFont val="Tahoma"/>
        <family val="2"/>
      </rPr>
      <t>do licitante, relacionando qual a atividade econômica preponderante e a justificativa para adoção do instrumento coletivo do trabalho em que se baseia a proposta:</t>
    </r>
    <r>
      <rPr>
        <sz val="9"/>
        <color rgb="FF7030A0"/>
        <rFont val="Tahoma"/>
        <family val="2"/>
      </rPr>
      <t xml:space="preserve"> </t>
    </r>
    <r>
      <rPr>
        <sz val="9"/>
        <color rgb="FFFF0000"/>
        <rFont val="Tahoma"/>
        <family val="2"/>
      </rPr>
      <t>XXXX</t>
    </r>
  </si>
  <si>
    <r>
      <t>VALIDADE DA PROPOSTA</t>
    </r>
    <r>
      <rPr>
        <sz val="9"/>
        <rFont val="Tahoma"/>
        <family val="2"/>
      </rPr>
      <t xml:space="preserve">: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(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) dias, a contar do dia da sessão de recebimento da mesma (</t>
    </r>
    <r>
      <rPr>
        <i/>
        <sz val="9"/>
        <rFont val="Tahoma"/>
        <family val="2"/>
      </rPr>
      <t xml:space="preserve">observar o subitem </t>
    </r>
    <r>
      <rPr>
        <i/>
        <sz val="9"/>
        <color rgb="FFFF0000"/>
        <rFont val="Tahoma"/>
        <family val="2"/>
      </rPr>
      <t>6.5</t>
    </r>
    <r>
      <rPr>
        <i/>
        <sz val="9"/>
        <rFont val="Tahoma"/>
        <family val="2"/>
      </rPr>
      <t xml:space="preserve"> do Edital</t>
    </r>
    <r>
      <rPr>
        <sz val="9"/>
        <rFont val="Tahoma"/>
        <family val="2"/>
      </rPr>
      <t>).</t>
    </r>
  </si>
  <si>
    <t>Nome: ___________________</t>
  </si>
  <si>
    <t>Cargo: ___________________</t>
  </si>
  <si>
    <t>Item 6.4 do Termo de Referência</t>
  </si>
  <si>
    <t>Item 6.3 do Termo de Referência</t>
  </si>
  <si>
    <t>Auxílio Saúde</t>
  </si>
  <si>
    <t>Item 6.2.2 do Termo de Referência (22 dias)</t>
  </si>
  <si>
    <t>Item 6.2.2 e 6.5 do Termo de Referência (22 + 2 dias = 24 dias)</t>
  </si>
  <si>
    <t>Item 6.2.2 e 6.5 do Termo de Referência</t>
  </si>
  <si>
    <t>Item 14.8.9 do Termo de Referência</t>
  </si>
  <si>
    <t>Ref.: Pregão eletrônico nº 90003/2026</t>
  </si>
  <si>
    <t>a) cópia da carta ou do registro sindical do sindicato ao qual este Licitante declara ser enquadrado.</t>
  </si>
  <si>
    <t xml:space="preserve">b) cópia do Acordo, Convenção Coletiva de Trabalho ou Dissídio Coletivo utilizado por este Licitante para a elaboração da planilha de custos e formação de preços que embasam o valor global ofertado. </t>
  </si>
  <si>
    <t>c) documento comprobatório do RAT.</t>
  </si>
  <si>
    <t>a) que as informações prestadas são verídicas, assumindo a responsabilidade integral por eventuais erros no enquadramento sindical ou fraude pela utilização de instrumento coletivo incompatível com o enquadramento sindical declarado, e por qualquer ônus decorrente de reenquadramentos que ocorram durante a vigência contratual, sujeitando-se às sanções previstas na Lei 13.303/16.</t>
  </si>
  <si>
    <t>b) que a proposta econômica compreende a integralidade dos custos para atendimento dos direitos trabalhistas assegurados na Constituição Federal, nas leis trabalhistas, nas normas infralegais, nas convenções coletivas de trabalho e nos termos de ajustamento de conduta vigentes na data de entrega da proposta e que foi elaborada de forma independente.</t>
  </si>
  <si>
    <t>6.1</t>
  </si>
  <si>
    <t>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</si>
</sst>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  <numFmt numFmtId="167" formatCode="&quot;R$&quot;\ #,##0.00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9"/>
      <color theme="3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6"/>
      <name val="Tahoma"/>
      <family val="2"/>
    </font>
    <font>
      <b/>
      <sz val="12"/>
      <name val="Tahoma"/>
      <family val="2"/>
    </font>
    <font>
      <sz val="9"/>
      <color rgb="FF7030A0"/>
      <name val="Tahoma"/>
      <family val="2"/>
    </font>
    <font>
      <i/>
      <sz val="9"/>
      <name val="Tahoma"/>
      <family val="2"/>
    </font>
    <font>
      <i/>
      <sz val="9"/>
      <color rgb="FFFF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1">
    <xf numFmtId="0" fontId="0" fillId="0" borderId="0" xfId="0"/>
    <xf numFmtId="0" fontId="14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8" fontId="14" fillId="0" borderId="1" xfId="0" applyNumberFormat="1" applyFont="1" applyBorder="1" applyAlignment="1">
      <alignment vertical="center" wrapText="1"/>
    </xf>
    <xf numFmtId="8" fontId="14" fillId="5" borderId="1" xfId="0" applyNumberFormat="1" applyFont="1" applyFill="1" applyBorder="1" applyAlignment="1">
      <alignment horizontal="right" vertical="center" wrapText="1"/>
    </xf>
    <xf numFmtId="8" fontId="15" fillId="0" borderId="1" xfId="0" applyNumberFormat="1" applyFont="1" applyBorder="1" applyAlignment="1">
      <alignment vertical="center"/>
    </xf>
    <xf numFmtId="8" fontId="6" fillId="0" borderId="1" xfId="0" applyNumberFormat="1" applyFont="1" applyBorder="1" applyAlignment="1">
      <alignment vertical="center"/>
    </xf>
    <xf numFmtId="0" fontId="20" fillId="6" borderId="17" xfId="0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vertical="center"/>
    </xf>
    <xf numFmtId="10" fontId="14" fillId="0" borderId="1" xfId="2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43" fontId="7" fillId="0" borderId="1" xfId="3" applyFont="1" applyBorder="1" applyAlignment="1">
      <alignment vertical="center"/>
    </xf>
    <xf numFmtId="43" fontId="6" fillId="3" borderId="1" xfId="3" applyFont="1" applyFill="1" applyBorder="1" applyAlignment="1">
      <alignment vertical="center"/>
    </xf>
    <xf numFmtId="43" fontId="6" fillId="0" borderId="0" xfId="3" applyFont="1" applyFill="1" applyBorder="1" applyAlignment="1">
      <alignment vertical="center"/>
    </xf>
    <xf numFmtId="10" fontId="7" fillId="0" borderId="1" xfId="0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6" fillId="3" borderId="13" xfId="0" applyNumberFormat="1" applyFont="1" applyFill="1" applyBorder="1" applyAlignment="1">
      <alignment horizontal="center" vertical="center"/>
    </xf>
    <xf numFmtId="43" fontId="6" fillId="0" borderId="1" xfId="3" applyFont="1" applyFill="1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43" fontId="7" fillId="0" borderId="1" xfId="3" applyFont="1" applyFill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vertical="center"/>
    </xf>
    <xf numFmtId="164" fontId="6" fillId="3" borderId="1" xfId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43" fontId="7" fillId="7" borderId="1" xfId="3" applyFont="1" applyFill="1" applyBorder="1" applyAlignment="1">
      <alignment vertical="center"/>
    </xf>
    <xf numFmtId="9" fontId="7" fillId="7" borderId="1" xfId="2" applyFont="1" applyFill="1" applyBorder="1" applyAlignment="1">
      <alignment horizontal="center" vertical="center"/>
    </xf>
    <xf numFmtId="10" fontId="7" fillId="7" borderId="1" xfId="2" applyNumberFormat="1" applyFont="1" applyFill="1" applyBorder="1" applyAlignment="1">
      <alignment horizontal="center" vertical="center"/>
    </xf>
    <xf numFmtId="43" fontId="7" fillId="0" borderId="1" xfId="0" applyNumberFormat="1" applyFont="1" applyBorder="1" applyAlignment="1">
      <alignment vertical="center"/>
    </xf>
    <xf numFmtId="9" fontId="7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43" fontId="7" fillId="7" borderId="1" xfId="3" applyFont="1" applyFill="1" applyBorder="1" applyAlignment="1">
      <alignment horizontal="right" vertical="center"/>
    </xf>
    <xf numFmtId="10" fontId="7" fillId="7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4" fontId="15" fillId="5" borderId="0" xfId="0" applyNumberFormat="1" applyFont="1" applyFill="1" applyAlignment="1">
      <alignment horizontal="center" vertical="center" wrapText="1"/>
    </xf>
    <xf numFmtId="10" fontId="7" fillId="7" borderId="1" xfId="0" applyNumberFormat="1" applyFont="1" applyFill="1" applyBorder="1" applyAlignment="1">
      <alignment horizontal="right" vertical="center"/>
    </xf>
    <xf numFmtId="10" fontId="7" fillId="7" borderId="1" xfId="2" applyNumberFormat="1" applyFont="1" applyFill="1" applyBorder="1" applyAlignment="1">
      <alignment horizontal="right" vertical="center"/>
    </xf>
    <xf numFmtId="0" fontId="7" fillId="3" borderId="1" xfId="2" applyNumberFormat="1" applyFont="1" applyFill="1" applyBorder="1" applyAlignment="1">
      <alignment horizontal="right" vertical="center"/>
    </xf>
    <xf numFmtId="43" fontId="7" fillId="0" borderId="1" xfId="3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66" fontId="14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8" fontId="7" fillId="0" borderId="0" xfId="0" applyNumberFormat="1" applyFont="1" applyAlignment="1">
      <alignment vertical="center"/>
    </xf>
    <xf numFmtId="8" fontId="6" fillId="2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7" fillId="5" borderId="9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43" fontId="7" fillId="5" borderId="1" xfId="3" applyFont="1" applyFill="1" applyBorder="1" applyAlignment="1">
      <alignment vertical="center"/>
    </xf>
    <xf numFmtId="43" fontId="6" fillId="5" borderId="0" xfId="3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6" fillId="5" borderId="14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18" xfId="0" applyFont="1" applyFill="1" applyBorder="1" applyAlignment="1">
      <alignment horizontal="left" vertical="center" wrapText="1"/>
    </xf>
    <xf numFmtId="10" fontId="6" fillId="5" borderId="0" xfId="0" applyNumberFormat="1" applyFont="1" applyFill="1" applyAlignment="1">
      <alignment horizontal="center" vertical="center"/>
    </xf>
    <xf numFmtId="2" fontId="6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7" fillId="0" borderId="11" xfId="0" applyFont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3" fontId="6" fillId="0" borderId="1" xfId="3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3" fontId="7" fillId="0" borderId="0" xfId="3" applyFont="1" applyBorder="1" applyAlignment="1">
      <alignment vertical="center"/>
    </xf>
    <xf numFmtId="43" fontId="7" fillId="5" borderId="0" xfId="3" applyFont="1" applyFill="1" applyBorder="1" applyAlignment="1">
      <alignment vertical="center"/>
    </xf>
    <xf numFmtId="43" fontId="7" fillId="0" borderId="0" xfId="3" applyFont="1" applyBorder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7" fillId="0" borderId="0" xfId="3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43" fontId="7" fillId="0" borderId="0" xfId="3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vertical="center"/>
    </xf>
    <xf numFmtId="165" fontId="11" fillId="0" borderId="0" xfId="1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5" fontId="14" fillId="0" borderId="1" xfId="0" applyNumberFormat="1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7" fillId="0" borderId="0" xfId="3" applyFont="1" applyFill="1" applyBorder="1" applyAlignment="1">
      <alignment horizontal="right" vertical="center"/>
    </xf>
    <xf numFmtId="164" fontId="6" fillId="0" borderId="0" xfId="1" applyFont="1" applyFill="1" applyBorder="1" applyAlignment="1">
      <alignment vertical="center"/>
    </xf>
    <xf numFmtId="165" fontId="15" fillId="0" borderId="0" xfId="0" applyNumberFormat="1" applyFont="1" applyAlignment="1">
      <alignment vertical="center"/>
    </xf>
    <xf numFmtId="43" fontId="6" fillId="0" borderId="0" xfId="0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10" fontId="7" fillId="8" borderId="1" xfId="2" applyNumberFormat="1" applyFont="1" applyFill="1" applyBorder="1" applyAlignment="1">
      <alignment horizontal="center" vertical="center"/>
    </xf>
    <xf numFmtId="43" fontId="7" fillId="8" borderId="1" xfId="3" applyFont="1" applyFill="1" applyBorder="1" applyAlignment="1">
      <alignment vertical="center"/>
    </xf>
    <xf numFmtId="43" fontId="11" fillId="5" borderId="0" xfId="3" applyFont="1" applyFill="1" applyBorder="1" applyAlignment="1">
      <alignment vertical="center"/>
    </xf>
    <xf numFmtId="0" fontId="6" fillId="8" borderId="13" xfId="0" applyFont="1" applyFill="1" applyBorder="1" applyAlignment="1">
      <alignment horizontal="center" vertical="center"/>
    </xf>
    <xf numFmtId="10" fontId="7" fillId="8" borderId="1" xfId="2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165" fontId="27" fillId="0" borderId="1" xfId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6" fillId="5" borderId="0" xfId="0" applyFont="1" applyFill="1" applyAlignment="1">
      <alignment vertical="center"/>
    </xf>
    <xf numFmtId="0" fontId="27" fillId="0" borderId="1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/>
    </xf>
    <xf numFmtId="43" fontId="7" fillId="0" borderId="2" xfId="3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5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14" fillId="5" borderId="2" xfId="0" applyFont="1" applyFill="1" applyBorder="1" applyAlignment="1">
      <alignment vertical="center" wrapText="1"/>
    </xf>
    <xf numFmtId="0" fontId="13" fillId="5" borderId="16" xfId="0" applyFont="1" applyFill="1" applyBorder="1" applyAlignment="1">
      <alignment vertical="center"/>
    </xf>
    <xf numFmtId="165" fontId="14" fillId="5" borderId="2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1" fillId="3" borderId="3" xfId="0" applyFont="1" applyFill="1" applyBorder="1" applyAlignment="1">
      <alignment vertical="center"/>
    </xf>
    <xf numFmtId="0" fontId="21" fillId="3" borderId="10" xfId="0" applyFont="1" applyFill="1" applyBorder="1" applyAlignment="1">
      <alignment vertical="center"/>
    </xf>
    <xf numFmtId="0" fontId="6" fillId="5" borderId="18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21" fillId="0" borderId="9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4" fontId="16" fillId="8" borderId="1" xfId="0" applyNumberFormat="1" applyFont="1" applyFill="1" applyBorder="1" applyAlignment="1">
      <alignment vertical="center"/>
    </xf>
    <xf numFmtId="0" fontId="16" fillId="8" borderId="1" xfId="0" applyFont="1" applyFill="1" applyBorder="1" applyAlignment="1">
      <alignment vertical="center"/>
    </xf>
    <xf numFmtId="10" fontId="7" fillId="3" borderId="1" xfId="0" applyNumberFormat="1" applyFont="1" applyFill="1" applyBorder="1" applyAlignment="1">
      <alignment horizontal="center" vertical="center"/>
    </xf>
    <xf numFmtId="43" fontId="11" fillId="0" borderId="0" xfId="3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7" fontId="7" fillId="0" borderId="1" xfId="3" applyNumberFormat="1" applyFont="1" applyFill="1" applyBorder="1" applyAlignment="1">
      <alignment horizontal="center" vertical="center"/>
    </xf>
    <xf numFmtId="167" fontId="7" fillId="3" borderId="1" xfId="3" applyNumberFormat="1" applyFont="1" applyFill="1" applyBorder="1" applyAlignment="1">
      <alignment vertical="center"/>
    </xf>
    <xf numFmtId="43" fontId="7" fillId="3" borderId="1" xfId="3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16" fillId="0" borderId="16" xfId="0" applyFont="1" applyBorder="1" applyAlignment="1">
      <alignment vertical="center"/>
    </xf>
    <xf numFmtId="43" fontId="6" fillId="0" borderId="0" xfId="3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4" fontId="14" fillId="5" borderId="0" xfId="0" applyNumberFormat="1" applyFont="1" applyFill="1" applyAlignment="1">
      <alignment horizontal="center" vertical="center" wrapText="1"/>
    </xf>
    <xf numFmtId="44" fontId="14" fillId="5" borderId="1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164" fontId="3" fillId="5" borderId="1" xfId="1" applyFill="1" applyBorder="1" applyAlignment="1">
      <alignment horizontal="center" vertical="center" wrapText="1"/>
    </xf>
    <xf numFmtId="44" fontId="14" fillId="10" borderId="1" xfId="0" applyNumberFormat="1" applyFont="1" applyFill="1" applyBorder="1" applyAlignment="1">
      <alignment horizontal="center" vertical="center" wrapText="1"/>
    </xf>
    <xf numFmtId="164" fontId="3" fillId="0" borderId="1" xfId="1" applyBorder="1" applyAlignment="1">
      <alignment horizontal="center" vertical="center" wrapText="1"/>
    </xf>
    <xf numFmtId="164" fontId="3" fillId="4" borderId="1" xfId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8" fontId="7" fillId="7" borderId="1" xfId="3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9" fillId="4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8" fontId="14" fillId="0" borderId="1" xfId="0" applyNumberFormat="1" applyFont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8" fontId="15" fillId="2" borderId="1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7" fillId="11" borderId="1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43" fontId="7" fillId="0" borderId="1" xfId="3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10" xfId="0" applyFont="1" applyFill="1" applyBorder="1" applyAlignment="1">
      <alignment horizontal="left" vertical="center"/>
    </xf>
    <xf numFmtId="0" fontId="14" fillId="7" borderId="9" xfId="0" applyFont="1" applyFill="1" applyBorder="1" applyAlignment="1">
      <alignment horizontal="left" vertical="center"/>
    </xf>
    <xf numFmtId="0" fontId="14" fillId="7" borderId="3" xfId="0" applyFont="1" applyFill="1" applyBorder="1" applyAlignment="1">
      <alignment horizontal="left" vertical="center"/>
    </xf>
    <xf numFmtId="0" fontId="14" fillId="7" borderId="10" xfId="0" applyFont="1" applyFill="1" applyBorder="1" applyAlignment="1">
      <alignment horizontal="left" vertical="center"/>
    </xf>
    <xf numFmtId="167" fontId="14" fillId="7" borderId="9" xfId="0" applyNumberFormat="1" applyFont="1" applyFill="1" applyBorder="1" applyAlignment="1">
      <alignment horizontal="left" vertical="center"/>
    </xf>
    <xf numFmtId="167" fontId="14" fillId="7" borderId="3" xfId="0" applyNumberFormat="1" applyFont="1" applyFill="1" applyBorder="1" applyAlignment="1">
      <alignment horizontal="left" vertical="center"/>
    </xf>
    <xf numFmtId="167" fontId="14" fillId="7" borderId="10" xfId="0" applyNumberFormat="1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10" fontId="7" fillId="0" borderId="15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43" fontId="7" fillId="0" borderId="13" xfId="3" applyFont="1" applyFill="1" applyBorder="1" applyAlignment="1">
      <alignment horizontal="center" vertical="center"/>
    </xf>
    <xf numFmtId="43" fontId="7" fillId="0" borderId="2" xfId="3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25" fillId="2" borderId="9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167" fontId="14" fillId="7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43" fontId="7" fillId="0" borderId="1" xfId="3" applyFont="1" applyFill="1" applyBorder="1" applyAlignment="1">
      <alignment horizontal="center" vertical="center"/>
    </xf>
    <xf numFmtId="0" fontId="26" fillId="0" borderId="3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4" fontId="14" fillId="10" borderId="1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44" fontId="14" fillId="10" borderId="9" xfId="0" applyNumberFormat="1" applyFont="1" applyFill="1" applyBorder="1" applyAlignment="1">
      <alignment horizontal="center" vertical="center" wrapText="1"/>
    </xf>
    <xf numFmtId="44" fontId="14" fillId="10" borderId="3" xfId="0" applyNumberFormat="1" applyFont="1" applyFill="1" applyBorder="1" applyAlignment="1">
      <alignment horizontal="center" vertical="center" wrapText="1"/>
    </xf>
    <xf numFmtId="44" fontId="14" fillId="10" borderId="10" xfId="0" applyNumberFormat="1" applyFont="1" applyFill="1" applyBorder="1" applyAlignment="1">
      <alignment horizontal="center" vertical="center" wrapText="1"/>
    </xf>
  </cellXfs>
  <cellStyles count="14">
    <cellStyle name="Moeda" xfId="1" builtinId="4"/>
    <cellStyle name="Moeda 2" xfId="6" xr:uid="{00000000-0005-0000-0000-000001000000}"/>
    <cellStyle name="Moeda 3" xfId="11" xr:uid="{00000000-0005-0000-0000-000002000000}"/>
    <cellStyle name="Normal" xfId="0" builtinId="0"/>
    <cellStyle name="Normal 2" xfId="5" xr:uid="{00000000-0005-0000-0000-000004000000}"/>
    <cellStyle name="Normal 3" xfId="4" xr:uid="{00000000-0005-0000-0000-000005000000}"/>
    <cellStyle name="Normal 4" xfId="12" xr:uid="{00000000-0005-0000-0000-000006000000}"/>
    <cellStyle name="Porcentagem" xfId="2" builtinId="5"/>
    <cellStyle name="Porcentagem 2" xfId="7" xr:uid="{00000000-0005-0000-0000-000008000000}"/>
    <cellStyle name="Porcentagem 3" xfId="10" xr:uid="{00000000-0005-0000-0000-000009000000}"/>
    <cellStyle name="Vírgula" xfId="3" builtinId="3"/>
    <cellStyle name="Vírgula 2" xfId="8" xr:uid="{00000000-0005-0000-0000-00000B000000}"/>
    <cellStyle name="Vírgula 3" xfId="9" xr:uid="{00000000-0005-0000-0000-00000C000000}"/>
    <cellStyle name="Vírgula 4" xfId="13" xr:uid="{00000000-0005-0000-0000-00000D000000}"/>
  </cellStyles>
  <dxfs count="0"/>
  <tableStyles count="0" defaultTableStyle="TableStyleMedium9" defaultPivotStyle="PivotStyleLight16"/>
  <colors>
    <mruColors>
      <color rgb="FF00CC00"/>
      <color rgb="FF33C34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57CC4-9702-4110-8B7F-6D7A95D91A26}">
  <dimension ref="B1:K68"/>
  <sheetViews>
    <sheetView showGridLines="0" tabSelected="1" topLeftCell="A20" zoomScaleNormal="100" workbookViewId="0">
      <selection activeCell="J40" sqref="J40"/>
    </sheetView>
  </sheetViews>
  <sheetFormatPr defaultColWidth="9.140625" defaultRowHeight="11.25" x14ac:dyDescent="0.2"/>
  <cols>
    <col min="1" max="1" width="3.28515625" style="51" customWidth="1"/>
    <col min="2" max="2" width="6.85546875" style="51" customWidth="1"/>
    <col min="3" max="3" width="20.85546875" style="51" customWidth="1"/>
    <col min="4" max="4" width="20" style="51" customWidth="1"/>
    <col min="5" max="5" width="13.28515625" style="51" customWidth="1"/>
    <col min="6" max="6" width="15.7109375" style="51" customWidth="1"/>
    <col min="7" max="7" width="14.42578125" style="51" bestFit="1" customWidth="1"/>
    <col min="8" max="8" width="16.5703125" style="51" customWidth="1"/>
    <col min="9" max="9" width="16.140625" style="51" bestFit="1" customWidth="1"/>
    <col min="10" max="10" width="6.28515625" style="51" bestFit="1" customWidth="1"/>
    <col min="11" max="11" width="15" style="51" bestFit="1" customWidth="1"/>
    <col min="12" max="12" width="9.140625" style="51"/>
    <col min="13" max="13" width="12.28515625" style="51" customWidth="1"/>
    <col min="14" max="16384" width="9.140625" style="51"/>
  </cols>
  <sheetData>
    <row r="1" spans="2:11" ht="22.5" customHeight="1" x14ac:dyDescent="0.2">
      <c r="B1" s="233" t="s">
        <v>116</v>
      </c>
      <c r="C1" s="233"/>
      <c r="D1" s="233"/>
      <c r="E1" s="233"/>
      <c r="F1" s="233"/>
      <c r="G1" s="233"/>
      <c r="H1" s="233"/>
      <c r="I1" s="233"/>
    </row>
    <row r="3" spans="2:11" ht="22.5" customHeight="1" x14ac:dyDescent="0.2">
      <c r="B3" s="55" t="s">
        <v>331</v>
      </c>
    </row>
    <row r="4" spans="2:11" ht="22.5" customHeight="1" x14ac:dyDescent="0.2">
      <c r="B4" s="216" t="s">
        <v>188</v>
      </c>
      <c r="C4" s="216"/>
      <c r="D4" s="216"/>
      <c r="E4" s="216"/>
      <c r="F4" s="216"/>
      <c r="G4" s="216"/>
      <c r="H4" s="216"/>
      <c r="I4" s="216"/>
    </row>
    <row r="5" spans="2:11" ht="22.5" customHeight="1" thickBot="1" x14ac:dyDescent="0.25"/>
    <row r="6" spans="2:11" ht="22.5" customHeight="1" thickBot="1" x14ac:dyDescent="0.25">
      <c r="B6" s="234" t="s">
        <v>86</v>
      </c>
      <c r="C6" s="235"/>
      <c r="D6" s="235"/>
      <c r="E6" s="235"/>
      <c r="F6" s="235"/>
      <c r="G6" s="235"/>
      <c r="H6" s="235"/>
      <c r="I6" s="236"/>
    </row>
    <row r="7" spans="2:11" ht="22.5" customHeight="1" x14ac:dyDescent="0.2">
      <c r="C7" s="93"/>
      <c r="D7" s="93"/>
      <c r="E7" s="93"/>
      <c r="F7" s="93"/>
      <c r="G7" s="93"/>
      <c r="H7" s="93"/>
      <c r="I7" s="93"/>
    </row>
    <row r="8" spans="2:11" ht="22.5" customHeight="1" x14ac:dyDescent="0.2">
      <c r="C8" s="232" t="s">
        <v>302</v>
      </c>
      <c r="D8" s="232"/>
      <c r="E8" s="232"/>
      <c r="F8" s="232"/>
      <c r="G8" s="232"/>
      <c r="H8" s="232"/>
      <c r="I8" s="210"/>
    </row>
    <row r="9" spans="2:11" ht="22.5" customHeight="1" x14ac:dyDescent="0.2">
      <c r="B9" s="39" t="s">
        <v>81</v>
      </c>
      <c r="C9" s="39" t="s">
        <v>83</v>
      </c>
      <c r="D9" s="39" t="s">
        <v>115</v>
      </c>
      <c r="E9" s="203" t="s">
        <v>315</v>
      </c>
      <c r="F9" s="39" t="s">
        <v>92</v>
      </c>
      <c r="G9" s="39" t="s">
        <v>84</v>
      </c>
      <c r="H9" s="39" t="s">
        <v>85</v>
      </c>
    </row>
    <row r="10" spans="2:11" ht="22.5" customHeight="1" x14ac:dyDescent="0.2">
      <c r="B10" s="208">
        <v>1</v>
      </c>
      <c r="C10" s="187" t="s">
        <v>189</v>
      </c>
      <c r="D10" s="50">
        <v>1</v>
      </c>
      <c r="E10" s="211">
        <v>27</v>
      </c>
      <c r="F10" s="4">
        <f>Arquiteto!H136</f>
        <v>37165.876666666678</v>
      </c>
      <c r="G10" s="5">
        <f t="shared" ref="G10:G14" si="0">F10*D10</f>
        <v>37165.876666666678</v>
      </c>
      <c r="H10" s="5">
        <f>TRUNC(G10*E10,2)</f>
        <v>1003478.67</v>
      </c>
    </row>
    <row r="11" spans="2:11" ht="22.5" customHeight="1" x14ac:dyDescent="0.2">
      <c r="B11" s="208">
        <v>2</v>
      </c>
      <c r="C11" s="187" t="s">
        <v>192</v>
      </c>
      <c r="D11" s="50">
        <v>1</v>
      </c>
      <c r="E11" s="211">
        <v>30</v>
      </c>
      <c r="F11" s="4">
        <f>'Técnico de Segurança do Trabalh'!H135</f>
        <v>13805.741666666667</v>
      </c>
      <c r="G11" s="5">
        <f t="shared" si="0"/>
        <v>13805.741666666667</v>
      </c>
      <c r="H11" s="5">
        <f>TRUNC(G11*E11,2)</f>
        <v>414172.25</v>
      </c>
    </row>
    <row r="12" spans="2:11" ht="22.5" customHeight="1" x14ac:dyDescent="0.2">
      <c r="B12" s="208">
        <v>3</v>
      </c>
      <c r="C12" s="187" t="s">
        <v>197</v>
      </c>
      <c r="D12" s="50">
        <v>1</v>
      </c>
      <c r="E12" s="211">
        <v>30</v>
      </c>
      <c r="F12" s="4">
        <f>'Encarregado de Manutenção'!H134</f>
        <v>16304.143333333332</v>
      </c>
      <c r="G12" s="5">
        <f t="shared" si="0"/>
        <v>16304.143333333332</v>
      </c>
      <c r="H12" s="5">
        <f>TRUNC(G12*E12,2)</f>
        <v>489124.3</v>
      </c>
    </row>
    <row r="13" spans="2:11" ht="22.5" customHeight="1" x14ac:dyDescent="0.2">
      <c r="B13" s="208">
        <v>4</v>
      </c>
      <c r="C13" s="187" t="s">
        <v>199</v>
      </c>
      <c r="D13" s="50">
        <v>2</v>
      </c>
      <c r="E13" s="211">
        <v>30</v>
      </c>
      <c r="F13" s="4">
        <f>'Manut. Elétrica'!H135</f>
        <v>14077.940606060605</v>
      </c>
      <c r="G13" s="5">
        <f t="shared" si="0"/>
        <v>28155.88121212121</v>
      </c>
      <c r="H13" s="5">
        <f>TRUNC(G13*E13,2)</f>
        <v>844676.43</v>
      </c>
    </row>
    <row r="14" spans="2:11" ht="22.5" x14ac:dyDescent="0.2">
      <c r="B14" s="208">
        <v>5</v>
      </c>
      <c r="C14" s="187" t="s">
        <v>200</v>
      </c>
      <c r="D14" s="50">
        <v>9</v>
      </c>
      <c r="E14" s="211">
        <v>30</v>
      </c>
      <c r="F14" s="4">
        <f>'Manut. Predial'!H135</f>
        <v>14077.940606060605</v>
      </c>
      <c r="G14" s="5">
        <f t="shared" si="0"/>
        <v>126701.46545454545</v>
      </c>
      <c r="H14" s="5">
        <f>TRUNC(G14*E14,2)</f>
        <v>3801043.96</v>
      </c>
    </row>
    <row r="15" spans="2:11" ht="21" customHeight="1" x14ac:dyDescent="0.2">
      <c r="B15" s="14"/>
      <c r="C15" s="13" t="s">
        <v>57</v>
      </c>
      <c r="D15" s="50">
        <f>SUM(D10:D14)</f>
        <v>14</v>
      </c>
      <c r="E15" s="230"/>
      <c r="F15" s="231"/>
      <c r="G15" s="7">
        <f>SUM(G10:G14)</f>
        <v>222133.10833333334</v>
      </c>
      <c r="H15" s="6">
        <f>SUM(H10:H14)</f>
        <v>6552495.6099999994</v>
      </c>
    </row>
    <row r="16" spans="2:11" ht="21.6" customHeight="1" x14ac:dyDescent="0.2">
      <c r="B16" s="222" t="s">
        <v>113</v>
      </c>
      <c r="C16" s="223"/>
      <c r="D16" s="223"/>
      <c r="E16" s="223"/>
      <c r="F16" s="223"/>
      <c r="G16" s="224"/>
      <c r="H16" s="53">
        <f>H15</f>
        <v>6552495.6099999994</v>
      </c>
      <c r="I16" s="52"/>
      <c r="K16" s="52"/>
    </row>
    <row r="17" spans="2:11" ht="14.1" customHeight="1" x14ac:dyDescent="0.2">
      <c r="G17" s="1"/>
      <c r="H17" s="1"/>
    </row>
    <row r="18" spans="2:11" ht="22.5" customHeight="1" x14ac:dyDescent="0.2">
      <c r="B18" s="229" t="s">
        <v>303</v>
      </c>
      <c r="C18" s="229"/>
      <c r="D18" s="229"/>
      <c r="E18" s="229"/>
      <c r="F18" s="229"/>
      <c r="G18" s="229"/>
      <c r="H18" s="229"/>
      <c r="I18" s="229"/>
    </row>
    <row r="19" spans="2:11" ht="22.5" customHeight="1" x14ac:dyDescent="0.2">
      <c r="B19" s="227" t="s">
        <v>293</v>
      </c>
      <c r="C19" s="227"/>
      <c r="D19" s="227"/>
      <c r="E19" s="227"/>
      <c r="F19" s="227"/>
      <c r="G19" s="227"/>
      <c r="H19" s="227"/>
      <c r="I19" s="227"/>
      <c r="K19" s="52"/>
    </row>
    <row r="20" spans="2:11" ht="22.5" customHeight="1" x14ac:dyDescent="0.2">
      <c r="B20" s="228"/>
      <c r="C20" s="228"/>
      <c r="D20" s="228"/>
      <c r="E20" s="200" t="s">
        <v>4</v>
      </c>
      <c r="F20" s="200" t="s">
        <v>5</v>
      </c>
      <c r="G20" s="200" t="s">
        <v>310</v>
      </c>
      <c r="H20" s="200" t="s">
        <v>7</v>
      </c>
      <c r="I20" s="200" t="s">
        <v>311</v>
      </c>
      <c r="K20" s="52"/>
    </row>
    <row r="21" spans="2:11" ht="22.5" x14ac:dyDescent="0.2">
      <c r="B21" s="205" t="s">
        <v>81</v>
      </c>
      <c r="C21" s="205" t="s">
        <v>316</v>
      </c>
      <c r="D21" s="205" t="s">
        <v>294</v>
      </c>
      <c r="E21" s="205" t="s">
        <v>317</v>
      </c>
      <c r="F21" s="205" t="s">
        <v>306</v>
      </c>
      <c r="G21" s="205" t="s">
        <v>84</v>
      </c>
      <c r="H21" s="205" t="s">
        <v>305</v>
      </c>
      <c r="I21" s="205" t="s">
        <v>85</v>
      </c>
      <c r="K21" s="52"/>
    </row>
    <row r="22" spans="2:11" ht="22.5" customHeight="1" x14ac:dyDescent="0.2">
      <c r="B22" s="225" t="s">
        <v>337</v>
      </c>
      <c r="C22" s="200">
        <v>1</v>
      </c>
      <c r="D22" s="201" t="s">
        <v>295</v>
      </c>
      <c r="E22" s="199">
        <v>89</v>
      </c>
      <c r="F22" s="206"/>
      <c r="G22" s="206">
        <f>E22*F22</f>
        <v>0</v>
      </c>
      <c r="H22" s="211">
        <v>21</v>
      </c>
      <c r="I22" s="206">
        <f>G22*H22</f>
        <v>0</v>
      </c>
      <c r="K22" s="52"/>
    </row>
    <row r="23" spans="2:11" ht="22.5" customHeight="1" x14ac:dyDescent="0.2">
      <c r="B23" s="225"/>
      <c r="C23" s="200">
        <v>2</v>
      </c>
      <c r="D23" s="201" t="s">
        <v>296</v>
      </c>
      <c r="E23" s="199">
        <v>12</v>
      </c>
      <c r="F23" s="206"/>
      <c r="G23" s="206">
        <f t="shared" ref="G23:G26" si="1">E23*F23</f>
        <v>0</v>
      </c>
      <c r="H23" s="211">
        <v>21</v>
      </c>
      <c r="I23" s="206">
        <f t="shared" ref="I23:I26" si="2">G23*H23</f>
        <v>0</v>
      </c>
      <c r="K23" s="52"/>
    </row>
    <row r="24" spans="2:11" ht="22.5" customHeight="1" x14ac:dyDescent="0.2">
      <c r="B24" s="225"/>
      <c r="C24" s="200">
        <v>3</v>
      </c>
      <c r="D24" s="201" t="s">
        <v>297</v>
      </c>
      <c r="E24" s="199">
        <v>23</v>
      </c>
      <c r="F24" s="206"/>
      <c r="G24" s="206">
        <f t="shared" si="1"/>
        <v>0</v>
      </c>
      <c r="H24" s="211">
        <v>21</v>
      </c>
      <c r="I24" s="206">
        <f t="shared" si="2"/>
        <v>0</v>
      </c>
      <c r="K24" s="52"/>
    </row>
    <row r="25" spans="2:11" ht="22.5" customHeight="1" x14ac:dyDescent="0.2">
      <c r="B25" s="225"/>
      <c r="C25" s="200">
        <v>4</v>
      </c>
      <c r="D25" s="201" t="s">
        <v>298</v>
      </c>
      <c r="E25" s="199">
        <v>1</v>
      </c>
      <c r="F25" s="206"/>
      <c r="G25" s="206">
        <f t="shared" si="1"/>
        <v>0</v>
      </c>
      <c r="H25" s="211">
        <v>21</v>
      </c>
      <c r="I25" s="206">
        <f t="shared" si="2"/>
        <v>0</v>
      </c>
    </row>
    <row r="26" spans="2:11" ht="22.5" customHeight="1" x14ac:dyDescent="0.2">
      <c r="B26" s="225"/>
      <c r="C26" s="200">
        <v>5</v>
      </c>
      <c r="D26" s="201" t="s">
        <v>299</v>
      </c>
      <c r="E26" s="199">
        <v>14</v>
      </c>
      <c r="F26" s="206"/>
      <c r="G26" s="206">
        <f t="shared" si="1"/>
        <v>0</v>
      </c>
      <c r="H26" s="211">
        <v>21</v>
      </c>
      <c r="I26" s="206">
        <f t="shared" si="2"/>
        <v>0</v>
      </c>
    </row>
    <row r="27" spans="2:11" ht="22.5" customHeight="1" x14ac:dyDescent="0.2">
      <c r="B27" s="226" t="s">
        <v>113</v>
      </c>
      <c r="C27" s="226"/>
      <c r="D27" s="226"/>
      <c r="E27" s="226"/>
      <c r="F27" s="226"/>
      <c r="G27" s="226"/>
      <c r="H27" s="226"/>
      <c r="I27" s="207">
        <f>SUM(I22:I26)</f>
        <v>0</v>
      </c>
    </row>
    <row r="28" spans="2:11" ht="14.1" customHeight="1" x14ac:dyDescent="0.2">
      <c r="G28" s="1"/>
      <c r="H28" s="1"/>
    </row>
    <row r="29" spans="2:11" ht="22.5" customHeight="1" x14ac:dyDescent="0.2">
      <c r="B29" s="221" t="s">
        <v>304</v>
      </c>
      <c r="C29" s="221"/>
      <c r="D29" s="221"/>
      <c r="E29" s="221"/>
      <c r="F29" s="221"/>
      <c r="G29" s="221"/>
      <c r="H29" s="221"/>
    </row>
    <row r="30" spans="2:11" ht="22.5" customHeight="1" x14ac:dyDescent="0.2">
      <c r="B30" s="227" t="s">
        <v>300</v>
      </c>
      <c r="C30" s="227"/>
      <c r="D30" s="227"/>
      <c r="E30" s="227"/>
      <c r="F30" s="227"/>
      <c r="G30" s="227"/>
      <c r="H30" s="227"/>
    </row>
    <row r="31" spans="2:11" ht="22.5" customHeight="1" x14ac:dyDescent="0.2">
      <c r="B31" s="228"/>
      <c r="C31" s="228"/>
      <c r="D31" s="228"/>
      <c r="E31" s="200" t="s">
        <v>4</v>
      </c>
      <c r="F31" s="200" t="s">
        <v>5</v>
      </c>
      <c r="G31" s="200" t="s">
        <v>6</v>
      </c>
      <c r="H31" s="200" t="s">
        <v>309</v>
      </c>
    </row>
    <row r="32" spans="2:11" ht="33.75" x14ac:dyDescent="0.2">
      <c r="B32" s="205" t="s">
        <v>81</v>
      </c>
      <c r="C32" s="205" t="s">
        <v>316</v>
      </c>
      <c r="D32" s="205" t="s">
        <v>294</v>
      </c>
      <c r="E32" s="205" t="s">
        <v>317</v>
      </c>
      <c r="F32" s="205" t="s">
        <v>301</v>
      </c>
      <c r="G32" s="205" t="s">
        <v>312</v>
      </c>
      <c r="H32" s="205" t="s">
        <v>308</v>
      </c>
    </row>
    <row r="33" spans="2:9" ht="22.5" customHeight="1" x14ac:dyDescent="0.2">
      <c r="B33" s="225" t="s">
        <v>338</v>
      </c>
      <c r="C33" s="200">
        <v>1</v>
      </c>
      <c r="D33" s="201" t="s">
        <v>295</v>
      </c>
      <c r="E33" s="199">
        <v>89</v>
      </c>
      <c r="F33" s="206"/>
      <c r="G33" s="213">
        <v>3</v>
      </c>
      <c r="H33" s="206">
        <f>E33*F33*G33</f>
        <v>0</v>
      </c>
    </row>
    <row r="34" spans="2:9" ht="22.5" customHeight="1" x14ac:dyDescent="0.2">
      <c r="B34" s="225"/>
      <c r="C34" s="200">
        <v>2</v>
      </c>
      <c r="D34" s="201" t="s">
        <v>296</v>
      </c>
      <c r="E34" s="199">
        <v>12</v>
      </c>
      <c r="F34" s="206"/>
      <c r="G34" s="213">
        <v>3</v>
      </c>
      <c r="H34" s="206">
        <f t="shared" ref="H34:H37" si="3">E34*F34*G34</f>
        <v>0</v>
      </c>
    </row>
    <row r="35" spans="2:9" ht="22.5" customHeight="1" x14ac:dyDescent="0.2">
      <c r="B35" s="225"/>
      <c r="C35" s="200">
        <v>3</v>
      </c>
      <c r="D35" s="201" t="s">
        <v>297</v>
      </c>
      <c r="E35" s="199">
        <v>23</v>
      </c>
      <c r="F35" s="206"/>
      <c r="G35" s="213">
        <v>3</v>
      </c>
      <c r="H35" s="206">
        <f t="shared" si="3"/>
        <v>0</v>
      </c>
    </row>
    <row r="36" spans="2:9" ht="22.5" customHeight="1" x14ac:dyDescent="0.2">
      <c r="B36" s="225"/>
      <c r="C36" s="200">
        <v>4</v>
      </c>
      <c r="D36" s="201" t="s">
        <v>298</v>
      </c>
      <c r="E36" s="199">
        <v>1</v>
      </c>
      <c r="F36" s="206"/>
      <c r="G36" s="213">
        <v>3</v>
      </c>
      <c r="H36" s="206">
        <f t="shared" si="3"/>
        <v>0</v>
      </c>
    </row>
    <row r="37" spans="2:9" ht="22.5" customHeight="1" x14ac:dyDescent="0.2">
      <c r="B37" s="225"/>
      <c r="C37" s="200">
        <v>5</v>
      </c>
      <c r="D37" s="201" t="s">
        <v>299</v>
      </c>
      <c r="E37" s="199">
        <v>14</v>
      </c>
      <c r="F37" s="206"/>
      <c r="G37" s="213">
        <v>3</v>
      </c>
      <c r="H37" s="206">
        <f t="shared" si="3"/>
        <v>0</v>
      </c>
    </row>
    <row r="38" spans="2:9" ht="22.5" customHeight="1" x14ac:dyDescent="0.2">
      <c r="B38" s="226" t="s">
        <v>113</v>
      </c>
      <c r="C38" s="226"/>
      <c r="D38" s="226"/>
      <c r="E38" s="226"/>
      <c r="F38" s="226"/>
      <c r="G38" s="226"/>
      <c r="H38" s="209">
        <f>SUM(H33:H37)</f>
        <v>0</v>
      </c>
    </row>
    <row r="39" spans="2:9" ht="14.1" customHeight="1" x14ac:dyDescent="0.2">
      <c r="G39" s="1"/>
      <c r="H39" s="1"/>
    </row>
    <row r="40" spans="2:9" ht="24" customHeight="1" x14ac:dyDescent="0.2">
      <c r="B40" s="221" t="s">
        <v>307</v>
      </c>
      <c r="C40" s="221"/>
      <c r="D40" s="221"/>
      <c r="E40" s="221"/>
      <c r="F40" s="221"/>
      <c r="G40" s="1"/>
      <c r="H40" s="1"/>
    </row>
    <row r="41" spans="2:9" ht="22.5" x14ac:dyDescent="0.2">
      <c r="B41" s="220" t="s">
        <v>81</v>
      </c>
      <c r="C41" s="220"/>
      <c r="D41" s="202" t="s">
        <v>314</v>
      </c>
      <c r="E41" s="203" t="s">
        <v>315</v>
      </c>
      <c r="F41" s="202" t="s">
        <v>290</v>
      </c>
      <c r="G41" s="1"/>
      <c r="H41" s="1"/>
    </row>
    <row r="42" spans="2:9" ht="29.45" customHeight="1" x14ac:dyDescent="0.2">
      <c r="B42" s="208">
        <v>7</v>
      </c>
      <c r="C42" s="198" t="s">
        <v>291</v>
      </c>
      <c r="D42" s="4"/>
      <c r="E42" s="212">
        <v>19</v>
      </c>
      <c r="F42" s="206">
        <f>D42*E42</f>
        <v>0</v>
      </c>
      <c r="G42" s="195"/>
      <c r="H42" s="195"/>
      <c r="I42" s="195"/>
    </row>
    <row r="43" spans="2:9" ht="25.5" customHeight="1" x14ac:dyDescent="0.2">
      <c r="B43" s="208">
        <v>8</v>
      </c>
      <c r="C43" s="198" t="s">
        <v>292</v>
      </c>
      <c r="D43" s="4"/>
      <c r="E43" s="212">
        <v>14</v>
      </c>
      <c r="F43" s="206">
        <f>D43*E43</f>
        <v>0</v>
      </c>
      <c r="G43" s="1"/>
      <c r="H43" s="1"/>
    </row>
    <row r="44" spans="2:9" ht="22.5" customHeight="1" x14ac:dyDescent="0.2">
      <c r="B44" s="222" t="s">
        <v>113</v>
      </c>
      <c r="C44" s="223"/>
      <c r="D44" s="223"/>
      <c r="E44" s="224"/>
      <c r="F44" s="204">
        <f>SUM(F42:F42)</f>
        <v>0</v>
      </c>
      <c r="G44" s="197"/>
      <c r="H44" s="197"/>
      <c r="I44" s="197"/>
    </row>
    <row r="45" spans="2:9" ht="20.100000000000001" customHeight="1" x14ac:dyDescent="0.2"/>
    <row r="46" spans="2:9" ht="27" customHeight="1" x14ac:dyDescent="0.2">
      <c r="B46" s="219" t="s">
        <v>313</v>
      </c>
      <c r="C46" s="219"/>
      <c r="D46" s="219"/>
      <c r="E46" s="219"/>
      <c r="F46" s="209">
        <f>H16+F44+I27+H38</f>
        <v>6552495.6099999994</v>
      </c>
    </row>
    <row r="48" spans="2:9" x14ac:dyDescent="0.2">
      <c r="C48" s="214" t="s">
        <v>318</v>
      </c>
    </row>
    <row r="49" spans="3:9" ht="36.75" customHeight="1" x14ac:dyDescent="0.2">
      <c r="C49" s="217" t="s">
        <v>335</v>
      </c>
      <c r="D49" s="217"/>
      <c r="E49" s="217"/>
      <c r="F49" s="217"/>
      <c r="G49" s="217"/>
      <c r="H49" s="217"/>
      <c r="I49" s="217"/>
    </row>
    <row r="50" spans="3:9" ht="33.75" customHeight="1" x14ac:dyDescent="0.2">
      <c r="C50" s="217" t="s">
        <v>336</v>
      </c>
      <c r="D50" s="217"/>
      <c r="E50" s="217"/>
      <c r="F50" s="217"/>
      <c r="G50" s="217"/>
      <c r="H50" s="217"/>
      <c r="I50" s="217"/>
    </row>
    <row r="51" spans="3:9" x14ac:dyDescent="0.2">
      <c r="D51" s="195"/>
    </row>
    <row r="52" spans="3:9" x14ac:dyDescent="0.2">
      <c r="C52" s="51" t="s">
        <v>319</v>
      </c>
    </row>
    <row r="53" spans="3:9" x14ac:dyDescent="0.2">
      <c r="C53" s="218" t="s">
        <v>332</v>
      </c>
      <c r="D53" s="218"/>
      <c r="E53" s="218"/>
      <c r="F53" s="218"/>
      <c r="G53" s="218"/>
      <c r="H53" s="218"/>
      <c r="I53" s="218"/>
    </row>
    <row r="54" spans="3:9" ht="24" customHeight="1" x14ac:dyDescent="0.2">
      <c r="C54" s="217" t="s">
        <v>333</v>
      </c>
      <c r="D54" s="217"/>
      <c r="E54" s="217"/>
      <c r="F54" s="217"/>
      <c r="G54" s="217"/>
      <c r="H54" s="217"/>
      <c r="I54" s="217"/>
    </row>
    <row r="55" spans="3:9" x14ac:dyDescent="0.2">
      <c r="C55" s="218" t="s">
        <v>334</v>
      </c>
      <c r="D55" s="218"/>
      <c r="E55" s="218"/>
      <c r="F55" s="218"/>
      <c r="G55" s="218"/>
      <c r="H55" s="218"/>
      <c r="I55" s="218"/>
    </row>
    <row r="57" spans="3:9" ht="24" customHeight="1" x14ac:dyDescent="0.2">
      <c r="C57" s="217" t="s">
        <v>320</v>
      </c>
      <c r="D57" s="217"/>
      <c r="E57" s="217"/>
      <c r="F57" s="217"/>
      <c r="G57" s="217"/>
      <c r="H57" s="217"/>
      <c r="I57" s="217"/>
    </row>
    <row r="59" spans="3:9" ht="21.75" customHeight="1" x14ac:dyDescent="0.2">
      <c r="C59" s="216" t="s">
        <v>321</v>
      </c>
      <c r="D59" s="216"/>
      <c r="E59" s="216"/>
      <c r="F59" s="216"/>
      <c r="G59" s="216"/>
      <c r="H59" s="216"/>
      <c r="I59" s="216"/>
    </row>
    <row r="61" spans="3:9" x14ac:dyDescent="0.2">
      <c r="D61" s="122" t="s">
        <v>172</v>
      </c>
    </row>
    <row r="62" spans="3:9" x14ac:dyDescent="0.2">
      <c r="D62" s="123"/>
    </row>
    <row r="63" spans="3:9" x14ac:dyDescent="0.2">
      <c r="D63" s="123" t="s">
        <v>173</v>
      </c>
    </row>
    <row r="64" spans="3:9" x14ac:dyDescent="0.2">
      <c r="D64" s="123" t="s">
        <v>174</v>
      </c>
    </row>
    <row r="65" spans="4:4" x14ac:dyDescent="0.2">
      <c r="D65" s="123" t="s">
        <v>322</v>
      </c>
    </row>
    <row r="66" spans="4:4" x14ac:dyDescent="0.2">
      <c r="D66" s="123" t="s">
        <v>323</v>
      </c>
    </row>
    <row r="67" spans="4:4" x14ac:dyDescent="0.2">
      <c r="D67" s="123" t="s">
        <v>175</v>
      </c>
    </row>
    <row r="68" spans="4:4" x14ac:dyDescent="0.2">
      <c r="D68" s="123"/>
    </row>
  </sheetData>
  <mergeCells count="27">
    <mergeCell ref="E15:F15"/>
    <mergeCell ref="C8:H8"/>
    <mergeCell ref="B4:I4"/>
    <mergeCell ref="B1:I1"/>
    <mergeCell ref="B6:I6"/>
    <mergeCell ref="B16:G16"/>
    <mergeCell ref="B33:B37"/>
    <mergeCell ref="B38:G38"/>
    <mergeCell ref="B29:H29"/>
    <mergeCell ref="B30:H30"/>
    <mergeCell ref="B31:D31"/>
    <mergeCell ref="B22:B26"/>
    <mergeCell ref="B19:I19"/>
    <mergeCell ref="B18:I18"/>
    <mergeCell ref="B20:D20"/>
    <mergeCell ref="B27:H27"/>
    <mergeCell ref="C49:I49"/>
    <mergeCell ref="C50:I50"/>
    <mergeCell ref="B46:E46"/>
    <mergeCell ref="B41:C41"/>
    <mergeCell ref="B40:F40"/>
    <mergeCell ref="B44:E44"/>
    <mergeCell ref="C59:I59"/>
    <mergeCell ref="C57:I57"/>
    <mergeCell ref="C53:I53"/>
    <mergeCell ref="C54:I54"/>
    <mergeCell ref="C55:I5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B1:I149"/>
  <sheetViews>
    <sheetView showGridLines="0" topLeftCell="A87" zoomScaleNormal="100" workbookViewId="0">
      <selection activeCell="B95" sqref="B95:H149"/>
    </sheetView>
  </sheetViews>
  <sheetFormatPr defaultColWidth="9.140625" defaultRowHeight="12.75" x14ac:dyDescent="0.2"/>
  <cols>
    <col min="1" max="1" width="3.5703125" style="56" customWidth="1"/>
    <col min="2" max="2" width="8.28515625" style="56" customWidth="1"/>
    <col min="3" max="3" width="51.5703125" style="56" customWidth="1"/>
    <col min="4" max="4" width="29.140625" style="56" customWidth="1"/>
    <col min="5" max="5" width="8.140625" style="56" customWidth="1"/>
    <col min="6" max="6" width="10.7109375" style="56" bestFit="1" customWidth="1"/>
    <col min="7" max="7" width="9.140625" style="56" customWidth="1"/>
    <col min="8" max="9" width="15.28515625" style="56" customWidth="1"/>
    <col min="10" max="16384" width="9.140625" style="56"/>
  </cols>
  <sheetData>
    <row r="1" spans="2:9" x14ac:dyDescent="0.2">
      <c r="C1" s="105"/>
      <c r="D1" s="11"/>
      <c r="E1" s="11"/>
      <c r="F1" s="11"/>
      <c r="G1" s="11"/>
      <c r="H1" s="11"/>
      <c r="I1" s="11"/>
    </row>
    <row r="2" spans="2:9" x14ac:dyDescent="0.2">
      <c r="B2" s="237" t="s">
        <v>48</v>
      </c>
      <c r="C2" s="237"/>
      <c r="D2" s="237"/>
      <c r="E2" s="237"/>
      <c r="F2" s="237"/>
      <c r="G2" s="237"/>
      <c r="H2" s="237"/>
      <c r="I2" s="92"/>
    </row>
    <row r="3" spans="2:9" x14ac:dyDescent="0.2">
      <c r="B3" s="238" t="s">
        <v>176</v>
      </c>
      <c r="C3" s="238"/>
      <c r="D3" s="238"/>
      <c r="E3" s="238"/>
      <c r="F3" s="238"/>
      <c r="G3" s="238"/>
      <c r="H3" s="238"/>
      <c r="I3" s="94"/>
    </row>
    <row r="4" spans="2:9" x14ac:dyDescent="0.2">
      <c r="B4" s="58"/>
      <c r="C4" s="58"/>
      <c r="D4" s="58"/>
      <c r="E4" s="58"/>
      <c r="F4" s="58"/>
      <c r="G4" s="58"/>
      <c r="H4" s="58"/>
      <c r="I4" s="58"/>
    </row>
    <row r="5" spans="2:9" x14ac:dyDescent="0.2">
      <c r="B5" s="58"/>
      <c r="C5" s="58"/>
      <c r="D5" s="58"/>
      <c r="E5" s="58"/>
      <c r="F5" s="58"/>
      <c r="G5" s="58"/>
      <c r="H5" s="58"/>
      <c r="I5" s="58"/>
    </row>
    <row r="6" spans="2:9" x14ac:dyDescent="0.2">
      <c r="B6" s="134" t="s">
        <v>119</v>
      </c>
      <c r="C6" s="134"/>
      <c r="D6" s="242" t="s">
        <v>189</v>
      </c>
      <c r="E6" s="243"/>
      <c r="F6" s="244"/>
      <c r="I6" s="12"/>
    </row>
    <row r="7" spans="2:9" x14ac:dyDescent="0.2">
      <c r="B7" s="58"/>
      <c r="C7" s="58"/>
      <c r="D7" s="58"/>
      <c r="E7" s="58"/>
      <c r="F7" s="58"/>
      <c r="G7" s="58"/>
      <c r="H7" s="58"/>
      <c r="I7" s="11"/>
    </row>
    <row r="8" spans="2:9" x14ac:dyDescent="0.2">
      <c r="B8" s="248" t="s">
        <v>49</v>
      </c>
      <c r="C8" s="249"/>
      <c r="D8" s="249"/>
      <c r="E8" s="249"/>
      <c r="F8" s="250"/>
      <c r="G8" s="135"/>
      <c r="H8" s="135"/>
      <c r="I8" s="57"/>
    </row>
    <row r="9" spans="2:9" x14ac:dyDescent="0.2">
      <c r="B9" s="239">
        <v>1</v>
      </c>
      <c r="C9" s="251" t="s">
        <v>50</v>
      </c>
      <c r="D9" s="252"/>
      <c r="E9" s="252"/>
      <c r="F9" s="253"/>
      <c r="G9" s="135"/>
      <c r="H9" s="135"/>
      <c r="I9" s="57"/>
    </row>
    <row r="10" spans="2:9" x14ac:dyDescent="0.2">
      <c r="B10" s="240"/>
      <c r="C10" s="254"/>
      <c r="D10" s="255"/>
      <c r="E10" s="255"/>
      <c r="F10" s="256"/>
      <c r="G10" s="135"/>
      <c r="H10" s="135"/>
      <c r="I10" s="57"/>
    </row>
    <row r="11" spans="2:9" x14ac:dyDescent="0.2">
      <c r="B11" s="239">
        <v>2</v>
      </c>
      <c r="C11" s="251" t="s">
        <v>51</v>
      </c>
      <c r="D11" s="252"/>
      <c r="E11" s="252"/>
      <c r="F11" s="253"/>
      <c r="G11" s="135"/>
      <c r="H11" s="135"/>
      <c r="I11" s="57"/>
    </row>
    <row r="12" spans="2:9" x14ac:dyDescent="0.2">
      <c r="B12" s="240"/>
      <c r="C12" s="254"/>
      <c r="D12" s="255"/>
      <c r="E12" s="255"/>
      <c r="F12" s="256"/>
      <c r="G12" s="135"/>
      <c r="H12" s="135"/>
      <c r="I12" s="57"/>
    </row>
    <row r="13" spans="2:9" x14ac:dyDescent="0.2">
      <c r="B13" s="239">
        <v>3</v>
      </c>
      <c r="C13" s="251" t="s">
        <v>52</v>
      </c>
      <c r="D13" s="252"/>
      <c r="E13" s="252"/>
      <c r="F13" s="253"/>
      <c r="G13" s="135"/>
      <c r="H13" s="135"/>
      <c r="I13" s="57"/>
    </row>
    <row r="14" spans="2:9" x14ac:dyDescent="0.2">
      <c r="B14" s="240"/>
      <c r="C14" s="257"/>
      <c r="D14" s="258"/>
      <c r="E14" s="258"/>
      <c r="F14" s="259"/>
      <c r="G14" s="135"/>
      <c r="H14" s="135"/>
      <c r="I14" s="57"/>
    </row>
    <row r="15" spans="2:9" x14ac:dyDescent="0.2">
      <c r="B15" s="239">
        <v>4</v>
      </c>
      <c r="C15" s="251" t="s">
        <v>53</v>
      </c>
      <c r="D15" s="252"/>
      <c r="E15" s="252"/>
      <c r="F15" s="253"/>
      <c r="G15" s="135"/>
      <c r="H15" s="135"/>
      <c r="I15" s="57"/>
    </row>
    <row r="16" spans="2:9" x14ac:dyDescent="0.2">
      <c r="B16" s="240"/>
      <c r="C16" s="254"/>
      <c r="D16" s="255"/>
      <c r="E16" s="255"/>
      <c r="F16" s="256"/>
      <c r="G16" s="135"/>
      <c r="H16" s="135"/>
      <c r="I16" s="57"/>
    </row>
    <row r="17" spans="2:9" x14ac:dyDescent="0.2">
      <c r="B17" s="239">
        <v>5</v>
      </c>
      <c r="C17" s="251" t="s">
        <v>54</v>
      </c>
      <c r="D17" s="252"/>
      <c r="E17" s="252"/>
      <c r="F17" s="253"/>
      <c r="G17" s="135"/>
      <c r="H17" s="135"/>
      <c r="I17" s="57"/>
    </row>
    <row r="18" spans="2:9" x14ac:dyDescent="0.2">
      <c r="B18" s="240"/>
      <c r="C18" s="254"/>
      <c r="D18" s="255"/>
      <c r="E18" s="255"/>
      <c r="F18" s="256"/>
      <c r="G18" s="135"/>
      <c r="H18" s="135"/>
      <c r="I18" s="57"/>
    </row>
    <row r="19" spans="2:9" x14ac:dyDescent="0.2">
      <c r="B19" s="239">
        <v>6</v>
      </c>
      <c r="C19" s="251" t="s">
        <v>55</v>
      </c>
      <c r="D19" s="252"/>
      <c r="E19" s="252"/>
      <c r="F19" s="253"/>
      <c r="G19" s="135"/>
      <c r="H19" s="135"/>
      <c r="I19" s="57"/>
    </row>
    <row r="20" spans="2:9" x14ac:dyDescent="0.2">
      <c r="B20" s="240"/>
      <c r="C20" s="254"/>
      <c r="D20" s="255"/>
      <c r="E20" s="255"/>
      <c r="F20" s="256"/>
      <c r="G20" s="135"/>
      <c r="H20" s="135"/>
      <c r="I20" s="57"/>
    </row>
    <row r="21" spans="2:9" x14ac:dyDescent="0.2">
      <c r="B21" s="59"/>
      <c r="C21" s="59"/>
      <c r="D21" s="59"/>
      <c r="E21" s="59"/>
      <c r="F21" s="59"/>
      <c r="G21" s="60"/>
      <c r="H21" s="60"/>
      <c r="I21" s="57"/>
    </row>
    <row r="22" spans="2:9" x14ac:dyDescent="0.2">
      <c r="B22" s="61"/>
      <c r="C22" s="61"/>
      <c r="D22" s="61"/>
      <c r="E22" s="61"/>
      <c r="F22" s="61"/>
      <c r="G22" s="61"/>
      <c r="H22" s="140" t="s">
        <v>181</v>
      </c>
    </row>
    <row r="23" spans="2:9" x14ac:dyDescent="0.2">
      <c r="B23" s="269" t="s">
        <v>62</v>
      </c>
      <c r="C23" s="270"/>
      <c r="D23" s="270"/>
      <c r="E23" s="270"/>
      <c r="F23" s="271"/>
      <c r="G23" s="138"/>
      <c r="H23" s="139"/>
      <c r="I23" s="93"/>
    </row>
    <row r="24" spans="2:9" x14ac:dyDescent="0.2">
      <c r="B24" s="88">
        <v>1</v>
      </c>
      <c r="C24" s="230" t="s">
        <v>56</v>
      </c>
      <c r="D24" s="241"/>
      <c r="E24" s="241"/>
      <c r="F24" s="231"/>
      <c r="G24" s="137" t="s">
        <v>1</v>
      </c>
      <c r="H24" s="137" t="s">
        <v>47</v>
      </c>
      <c r="I24" s="93"/>
    </row>
    <row r="25" spans="2:9" ht="12.75" customHeight="1" x14ac:dyDescent="0.2">
      <c r="B25" s="13" t="s">
        <v>4</v>
      </c>
      <c r="C25" s="86" t="s">
        <v>15</v>
      </c>
      <c r="D25" s="245"/>
      <c r="E25" s="246"/>
      <c r="F25" s="247"/>
      <c r="G25" s="14"/>
      <c r="H25" s="30">
        <v>11735.17</v>
      </c>
      <c r="I25" s="99"/>
    </row>
    <row r="26" spans="2:9" x14ac:dyDescent="0.2">
      <c r="B26" s="13" t="s">
        <v>5</v>
      </c>
      <c r="C26" s="86" t="s">
        <v>22</v>
      </c>
      <c r="D26" s="245" t="s">
        <v>120</v>
      </c>
      <c r="E26" s="246"/>
      <c r="F26" s="247"/>
      <c r="G26" s="31"/>
      <c r="H26" s="15">
        <f>TRUNC(H$25*$G26,2)</f>
        <v>0</v>
      </c>
      <c r="I26" s="95"/>
    </row>
    <row r="27" spans="2:9" x14ac:dyDescent="0.2">
      <c r="B27" s="13" t="s">
        <v>6</v>
      </c>
      <c r="C27" s="87" t="s">
        <v>23</v>
      </c>
      <c r="D27" s="164" t="s">
        <v>159</v>
      </c>
      <c r="E27" s="175" t="s">
        <v>183</v>
      </c>
      <c r="F27" s="174">
        <v>1621</v>
      </c>
      <c r="G27" s="31"/>
      <c r="H27" s="15">
        <f>TRUNC(F$27*$G27,2)</f>
        <v>0</v>
      </c>
      <c r="I27" s="95"/>
    </row>
    <row r="28" spans="2:9" x14ac:dyDescent="0.2">
      <c r="B28" s="13" t="s">
        <v>7</v>
      </c>
      <c r="C28" s="87" t="s">
        <v>0</v>
      </c>
      <c r="D28" s="245" t="s">
        <v>166</v>
      </c>
      <c r="E28" s="246"/>
      <c r="F28" s="247"/>
      <c r="G28" s="32"/>
      <c r="H28" s="65">
        <f>TRUNC(((H$25+H26)*$G28)/220*8*15,2)</f>
        <v>0</v>
      </c>
      <c r="I28" s="96"/>
    </row>
    <row r="29" spans="2:9" x14ac:dyDescent="0.2">
      <c r="B29" s="115" t="s">
        <v>8</v>
      </c>
      <c r="C29" s="116" t="s">
        <v>24</v>
      </c>
      <c r="D29" s="266" t="s">
        <v>166</v>
      </c>
      <c r="E29" s="267"/>
      <c r="F29" s="268"/>
      <c r="G29" s="117"/>
      <c r="H29" s="118">
        <f>TRUNC(((H25+H26)*$G29)/220*1*15,2)</f>
        <v>0</v>
      </c>
      <c r="I29" s="119" t="s">
        <v>171</v>
      </c>
    </row>
    <row r="30" spans="2:9" x14ac:dyDescent="0.2">
      <c r="B30" s="120" t="s">
        <v>9</v>
      </c>
      <c r="C30" s="116" t="s">
        <v>103</v>
      </c>
      <c r="D30" s="266" t="s">
        <v>167</v>
      </c>
      <c r="E30" s="267"/>
      <c r="F30" s="268"/>
      <c r="G30" s="121">
        <v>0.5</v>
      </c>
      <c r="H30" s="118">
        <f>TRUNC($G$35*H35*(1+$G$30),2)</f>
        <v>284.02999999999997</v>
      </c>
      <c r="I30" s="119"/>
    </row>
    <row r="31" spans="2:9" x14ac:dyDescent="0.2">
      <c r="B31" s="120" t="s">
        <v>10</v>
      </c>
      <c r="C31" s="116" t="s">
        <v>103</v>
      </c>
      <c r="D31" s="266" t="s">
        <v>167</v>
      </c>
      <c r="E31" s="267"/>
      <c r="F31" s="268"/>
      <c r="G31" s="121">
        <v>1</v>
      </c>
      <c r="H31" s="118">
        <f>TRUNC($G$35*H35*(1+$G$31),2)</f>
        <v>378.71</v>
      </c>
      <c r="I31" s="119" t="s">
        <v>171</v>
      </c>
    </row>
    <row r="32" spans="2:9" x14ac:dyDescent="0.2">
      <c r="B32" s="13" t="s">
        <v>11</v>
      </c>
      <c r="C32" s="87" t="s">
        <v>2</v>
      </c>
      <c r="D32" s="245"/>
      <c r="E32" s="246"/>
      <c r="F32" s="247"/>
      <c r="G32" s="32"/>
      <c r="H32" s="46"/>
      <c r="I32" s="97"/>
    </row>
    <row r="33" spans="2:9" x14ac:dyDescent="0.2">
      <c r="B33" s="13" t="s">
        <v>121</v>
      </c>
      <c r="C33" s="230" t="s">
        <v>57</v>
      </c>
      <c r="D33" s="241"/>
      <c r="E33" s="241"/>
      <c r="F33" s="231"/>
      <c r="G33" s="26"/>
      <c r="H33" s="16">
        <f>SUM(H25:H32)</f>
        <v>12397.91</v>
      </c>
      <c r="I33" s="17"/>
    </row>
    <row r="34" spans="2:9" ht="22.5" x14ac:dyDescent="0.2">
      <c r="B34" s="92"/>
      <c r="C34" s="260" t="s">
        <v>112</v>
      </c>
      <c r="D34" s="261"/>
      <c r="E34" s="261"/>
      <c r="F34" s="262"/>
      <c r="G34" s="49" t="s">
        <v>104</v>
      </c>
      <c r="H34" s="48" t="s">
        <v>114</v>
      </c>
      <c r="I34" s="2"/>
    </row>
    <row r="35" spans="2:9" x14ac:dyDescent="0.2">
      <c r="B35" s="92"/>
      <c r="C35" s="263"/>
      <c r="D35" s="264"/>
      <c r="E35" s="264"/>
      <c r="F35" s="265"/>
      <c r="G35" s="47">
        <v>3.55</v>
      </c>
      <c r="H35" s="33">
        <f>IF($G$35="",0,TRUNC((H25+H26+H27)/220,2))</f>
        <v>53.34</v>
      </c>
      <c r="I35" s="98"/>
    </row>
    <row r="36" spans="2:9" x14ac:dyDescent="0.2">
      <c r="B36" s="92"/>
      <c r="C36" s="92"/>
      <c r="D36" s="92"/>
      <c r="E36" s="92"/>
      <c r="F36" s="92"/>
      <c r="G36" s="92"/>
      <c r="H36" s="66"/>
      <c r="I36" s="17"/>
    </row>
    <row r="37" spans="2:9" x14ac:dyDescent="0.2">
      <c r="B37" s="92"/>
      <c r="C37" s="92"/>
      <c r="D37" s="92"/>
      <c r="E37" s="92"/>
      <c r="F37" s="92"/>
      <c r="G37" s="92"/>
      <c r="H37" s="66"/>
      <c r="I37" s="17"/>
    </row>
    <row r="38" spans="2:9" ht="12.75" customHeight="1" x14ac:dyDescent="0.2">
      <c r="B38" s="269" t="s">
        <v>63</v>
      </c>
      <c r="C38" s="270"/>
      <c r="D38" s="270"/>
      <c r="E38" s="270"/>
      <c r="F38" s="271"/>
      <c r="G38" s="138"/>
      <c r="H38" s="139"/>
      <c r="I38" s="93"/>
    </row>
    <row r="39" spans="2:9" x14ac:dyDescent="0.2">
      <c r="B39" s="272"/>
      <c r="C39" s="273"/>
      <c r="D39" s="273"/>
      <c r="E39" s="273"/>
      <c r="F39" s="273"/>
      <c r="G39" s="55"/>
      <c r="H39" s="55"/>
      <c r="I39" s="93"/>
    </row>
    <row r="40" spans="2:9" x14ac:dyDescent="0.2">
      <c r="B40" s="272" t="s">
        <v>34</v>
      </c>
      <c r="C40" s="273"/>
      <c r="D40" s="273"/>
      <c r="E40" s="273"/>
      <c r="F40" s="274"/>
      <c r="G40" s="55"/>
      <c r="H40" s="55"/>
      <c r="I40" s="93"/>
    </row>
    <row r="41" spans="2:9" x14ac:dyDescent="0.2">
      <c r="B41" s="137" t="s">
        <v>36</v>
      </c>
      <c r="C41" s="230" t="s">
        <v>25</v>
      </c>
      <c r="D41" s="241"/>
      <c r="E41" s="241"/>
      <c r="F41" s="231"/>
      <c r="G41" s="88" t="s">
        <v>1</v>
      </c>
      <c r="H41" s="88" t="s">
        <v>47</v>
      </c>
      <c r="I41" s="93"/>
    </row>
    <row r="42" spans="2:9" x14ac:dyDescent="0.2">
      <c r="B42" s="13" t="s">
        <v>4</v>
      </c>
      <c r="C42" s="86" t="s">
        <v>105</v>
      </c>
      <c r="D42" s="245" t="s">
        <v>122</v>
      </c>
      <c r="E42" s="246"/>
      <c r="F42" s="247"/>
      <c r="G42" s="143">
        <f>1/12</f>
        <v>8.3333333333333329E-2</v>
      </c>
      <c r="H42" s="144">
        <f>TRUNC((H$33*$G42),2)</f>
        <v>1033.1500000000001</v>
      </c>
      <c r="I42" s="99"/>
    </row>
    <row r="43" spans="2:9" x14ac:dyDescent="0.2">
      <c r="B43" s="13" t="s">
        <v>5</v>
      </c>
      <c r="C43" s="86" t="s">
        <v>61</v>
      </c>
      <c r="D43" s="245" t="s">
        <v>124</v>
      </c>
      <c r="E43" s="246"/>
      <c r="F43" s="247"/>
      <c r="G43" s="18">
        <f>(1/12)+(1/3/12)</f>
        <v>0.1111111111111111</v>
      </c>
      <c r="H43" s="19">
        <f>TRUNC((H$33*$G43),2)</f>
        <v>1377.54</v>
      </c>
      <c r="I43" s="99"/>
    </row>
    <row r="44" spans="2:9" x14ac:dyDescent="0.2">
      <c r="B44" s="13" t="s">
        <v>123</v>
      </c>
      <c r="C44" s="230" t="s">
        <v>57</v>
      </c>
      <c r="D44" s="241"/>
      <c r="E44" s="241"/>
      <c r="F44" s="231"/>
      <c r="G44" s="20">
        <f>TRUNC(SUM(G42:G43),4)</f>
        <v>0.19439999999999999</v>
      </c>
      <c r="H44" s="16">
        <f>SUM(H42:H43)</f>
        <v>2410.69</v>
      </c>
      <c r="I44" s="17"/>
    </row>
    <row r="45" spans="2:9" x14ac:dyDescent="0.2">
      <c r="B45" s="281"/>
      <c r="C45" s="282"/>
      <c r="D45" s="282"/>
      <c r="E45" s="282"/>
      <c r="F45" s="282"/>
      <c r="G45" s="282"/>
      <c r="H45" s="283"/>
      <c r="I45" s="92"/>
    </row>
    <row r="46" spans="2:9" ht="30" customHeight="1" x14ac:dyDescent="0.2">
      <c r="B46" s="288" t="s">
        <v>64</v>
      </c>
      <c r="C46" s="289"/>
      <c r="D46" s="289"/>
      <c r="E46" s="289"/>
      <c r="F46" s="290"/>
      <c r="G46" s="141"/>
      <c r="H46" s="142"/>
      <c r="I46" s="100"/>
    </row>
    <row r="47" spans="2:9" x14ac:dyDescent="0.2">
      <c r="B47" s="88" t="s">
        <v>37</v>
      </c>
      <c r="C47" s="230" t="s">
        <v>65</v>
      </c>
      <c r="D47" s="241"/>
      <c r="E47" s="241"/>
      <c r="F47" s="231"/>
      <c r="G47" s="88" t="s">
        <v>1</v>
      </c>
      <c r="H47" s="88" t="s">
        <v>47</v>
      </c>
      <c r="I47" s="93"/>
    </row>
    <row r="48" spans="2:9" x14ac:dyDescent="0.2">
      <c r="B48" s="13" t="s">
        <v>4</v>
      </c>
      <c r="C48" s="86" t="s">
        <v>28</v>
      </c>
      <c r="D48" s="245" t="s">
        <v>125</v>
      </c>
      <c r="E48" s="246"/>
      <c r="F48" s="247"/>
      <c r="G48" s="18">
        <v>0.2</v>
      </c>
      <c r="H48" s="19">
        <f>TRUNC((H$33+H$44)*$G48,2)</f>
        <v>2961.72</v>
      </c>
      <c r="I48" s="99"/>
    </row>
    <row r="49" spans="2:9" x14ac:dyDescent="0.2">
      <c r="B49" s="13" t="s">
        <v>5</v>
      </c>
      <c r="C49" s="74" t="s">
        <v>29</v>
      </c>
      <c r="D49" s="291" t="s">
        <v>126</v>
      </c>
      <c r="E49" s="292"/>
      <c r="F49" s="293"/>
      <c r="G49" s="18">
        <v>2.5000000000000001E-2</v>
      </c>
      <c r="H49" s="19">
        <f>TRUNC((H$33+H$44)*$G49,2)</f>
        <v>370.21</v>
      </c>
      <c r="I49" s="99"/>
    </row>
    <row r="50" spans="2:9" x14ac:dyDescent="0.2">
      <c r="B50" s="275" t="s">
        <v>6</v>
      </c>
      <c r="C50" s="277" t="s">
        <v>97</v>
      </c>
      <c r="D50" s="279" t="s">
        <v>132</v>
      </c>
      <c r="E50" s="8" t="s">
        <v>98</v>
      </c>
      <c r="F50" s="8" t="s">
        <v>96</v>
      </c>
      <c r="G50" s="284">
        <f>E51*F51</f>
        <v>0.06</v>
      </c>
      <c r="H50" s="286">
        <f>TRUNC((H$33+H$44)*$G50,2)</f>
        <v>888.51</v>
      </c>
      <c r="I50" s="101"/>
    </row>
    <row r="51" spans="2:9" x14ac:dyDescent="0.2">
      <c r="B51" s="276"/>
      <c r="C51" s="278"/>
      <c r="D51" s="280"/>
      <c r="E51" s="34">
        <v>0.03</v>
      </c>
      <c r="F51" s="35">
        <v>2</v>
      </c>
      <c r="G51" s="285"/>
      <c r="H51" s="287"/>
      <c r="I51" s="101"/>
    </row>
    <row r="52" spans="2:9" x14ac:dyDescent="0.2">
      <c r="B52" s="13" t="s">
        <v>7</v>
      </c>
      <c r="C52" s="86" t="s">
        <v>27</v>
      </c>
      <c r="D52" s="245" t="s">
        <v>127</v>
      </c>
      <c r="E52" s="246"/>
      <c r="F52" s="247"/>
      <c r="G52" s="18">
        <v>1.4999999999999999E-2</v>
      </c>
      <c r="H52" s="19">
        <f>TRUNC((H$33+H$44)*$G52,2)</f>
        <v>222.12</v>
      </c>
      <c r="I52" s="99"/>
    </row>
    <row r="53" spans="2:9" x14ac:dyDescent="0.2">
      <c r="B53" s="13" t="s">
        <v>8</v>
      </c>
      <c r="C53" s="86" t="s">
        <v>30</v>
      </c>
      <c r="D53" s="245" t="s">
        <v>128</v>
      </c>
      <c r="E53" s="246"/>
      <c r="F53" s="247"/>
      <c r="G53" s="18">
        <v>0.01</v>
      </c>
      <c r="H53" s="19">
        <f>TRUNC((H$33+H$44)*$G53,2)</f>
        <v>148.08000000000001</v>
      </c>
      <c r="I53" s="99"/>
    </row>
    <row r="54" spans="2:9" x14ac:dyDescent="0.2">
      <c r="B54" s="13" t="s">
        <v>9</v>
      </c>
      <c r="C54" s="86" t="s">
        <v>31</v>
      </c>
      <c r="D54" s="245" t="s">
        <v>129</v>
      </c>
      <c r="E54" s="246"/>
      <c r="F54" s="247"/>
      <c r="G54" s="18">
        <v>6.0000000000000001E-3</v>
      </c>
      <c r="H54" s="19">
        <f>TRUNC((H$33+H$44)*$G54,2)</f>
        <v>88.85</v>
      </c>
      <c r="I54" s="99"/>
    </row>
    <row r="55" spans="2:9" x14ac:dyDescent="0.2">
      <c r="B55" s="13" t="s">
        <v>10</v>
      </c>
      <c r="C55" s="86" t="s">
        <v>32</v>
      </c>
      <c r="D55" s="245" t="s">
        <v>130</v>
      </c>
      <c r="E55" s="246"/>
      <c r="F55" s="247"/>
      <c r="G55" s="18">
        <v>2E-3</v>
      </c>
      <c r="H55" s="19">
        <f>TRUNC((H$33+H$44)*$G55,2)</f>
        <v>29.61</v>
      </c>
      <c r="I55" s="99"/>
    </row>
    <row r="56" spans="2:9" x14ac:dyDescent="0.2">
      <c r="B56" s="13" t="s">
        <v>11</v>
      </c>
      <c r="C56" s="86" t="s">
        <v>33</v>
      </c>
      <c r="D56" s="245" t="s">
        <v>131</v>
      </c>
      <c r="E56" s="246"/>
      <c r="F56" s="247"/>
      <c r="G56" s="18">
        <v>0.08</v>
      </c>
      <c r="H56" s="19">
        <f>TRUNC((H$33+H$44)*$G56,2)</f>
        <v>1184.68</v>
      </c>
      <c r="I56" s="99"/>
    </row>
    <row r="57" spans="2:9" x14ac:dyDescent="0.2">
      <c r="B57" s="13" t="s">
        <v>133</v>
      </c>
      <c r="C57" s="230" t="s">
        <v>57</v>
      </c>
      <c r="D57" s="241"/>
      <c r="E57" s="241"/>
      <c r="F57" s="231"/>
      <c r="G57" s="21">
        <f>SUM(G48:G56)</f>
        <v>0.39800000000000008</v>
      </c>
      <c r="H57" s="16">
        <f>SUM(H48:H56)</f>
        <v>5893.78</v>
      </c>
      <c r="I57" s="17"/>
    </row>
    <row r="58" spans="2:9" x14ac:dyDescent="0.2">
      <c r="B58" s="294"/>
      <c r="C58" s="295"/>
      <c r="D58" s="295"/>
      <c r="E58" s="295"/>
      <c r="F58" s="295"/>
      <c r="G58" s="295"/>
      <c r="H58" s="296"/>
      <c r="I58" s="110"/>
    </row>
    <row r="59" spans="2:9" ht="12.75" customHeight="1" x14ac:dyDescent="0.2">
      <c r="B59" s="288" t="s">
        <v>35</v>
      </c>
      <c r="C59" s="289"/>
      <c r="D59" s="289"/>
      <c r="E59" s="289"/>
      <c r="F59" s="290"/>
      <c r="G59" s="141"/>
      <c r="H59" s="142"/>
      <c r="I59" s="110"/>
    </row>
    <row r="60" spans="2:9" x14ac:dyDescent="0.2">
      <c r="B60" s="88" t="s">
        <v>38</v>
      </c>
      <c r="C60" s="230" t="s">
        <v>39</v>
      </c>
      <c r="D60" s="241"/>
      <c r="E60" s="241"/>
      <c r="F60" s="241"/>
      <c r="G60" s="75"/>
      <c r="H60" s="88" t="s">
        <v>47</v>
      </c>
      <c r="I60" s="93"/>
    </row>
    <row r="61" spans="2:9" ht="12.75" customHeight="1" x14ac:dyDescent="0.2">
      <c r="B61" s="13" t="s">
        <v>4</v>
      </c>
      <c r="C61" s="86" t="s">
        <v>45</v>
      </c>
      <c r="D61" s="164" t="s">
        <v>328</v>
      </c>
      <c r="E61" s="165"/>
      <c r="F61" s="165"/>
      <c r="G61" s="166"/>
      <c r="H61" s="215" t="str">
        <f>IF((TRUNC((9.4*2*24)-(H$25*6%),2))&lt;0,"0,00",(TRUNC((9.4*2*24)-(H$25*6%),2)))</f>
        <v>0,00</v>
      </c>
      <c r="I61" s="111"/>
    </row>
    <row r="62" spans="2:9" ht="12.75" customHeight="1" x14ac:dyDescent="0.2">
      <c r="B62" s="13" t="s">
        <v>5</v>
      </c>
      <c r="C62" s="86" t="s">
        <v>46</v>
      </c>
      <c r="D62" s="164" t="s">
        <v>325</v>
      </c>
      <c r="E62" s="165"/>
      <c r="F62" s="165"/>
      <c r="G62" s="166"/>
      <c r="H62" s="215">
        <v>1114.74</v>
      </c>
      <c r="I62" s="111"/>
    </row>
    <row r="63" spans="2:9" x14ac:dyDescent="0.2">
      <c r="B63" s="13" t="s">
        <v>6</v>
      </c>
      <c r="C63" s="86" t="s">
        <v>190</v>
      </c>
      <c r="D63" s="164" t="s">
        <v>191</v>
      </c>
      <c r="E63" s="165"/>
      <c r="F63" s="165"/>
      <c r="G63" s="166"/>
      <c r="H63" s="36">
        <v>672.08</v>
      </c>
      <c r="I63" s="111"/>
    </row>
    <row r="64" spans="2:9" x14ac:dyDescent="0.2">
      <c r="B64" s="13" t="s">
        <v>7</v>
      </c>
      <c r="C64" s="86" t="s">
        <v>202</v>
      </c>
      <c r="D64" s="164" t="s">
        <v>203</v>
      </c>
      <c r="E64" s="165"/>
      <c r="F64" s="165"/>
      <c r="G64" s="166"/>
      <c r="H64" s="36">
        <v>42.54</v>
      </c>
      <c r="I64" s="111"/>
    </row>
    <row r="65" spans="2:9" s="67" customFormat="1" x14ac:dyDescent="0.2">
      <c r="B65" s="13" t="s">
        <v>8</v>
      </c>
      <c r="C65" s="86" t="s">
        <v>326</v>
      </c>
      <c r="D65" s="164" t="s">
        <v>324</v>
      </c>
      <c r="E65" s="165"/>
      <c r="F65" s="165"/>
      <c r="G65" s="166"/>
      <c r="H65" s="215">
        <v>871.98</v>
      </c>
      <c r="I65" s="111"/>
    </row>
    <row r="66" spans="2:9" x14ac:dyDescent="0.2">
      <c r="B66" s="13" t="s">
        <v>134</v>
      </c>
      <c r="C66" s="230" t="s">
        <v>57</v>
      </c>
      <c r="D66" s="241"/>
      <c r="E66" s="241"/>
      <c r="F66" s="241"/>
      <c r="G66" s="75"/>
      <c r="H66" s="16">
        <f>SUM(H61:H65)</f>
        <v>2701.34</v>
      </c>
      <c r="I66" s="17"/>
    </row>
    <row r="67" spans="2:9" x14ac:dyDescent="0.2">
      <c r="B67" s="281"/>
      <c r="C67" s="282"/>
      <c r="D67" s="282"/>
      <c r="E67" s="282"/>
      <c r="F67" s="282"/>
      <c r="G67" s="282"/>
      <c r="H67" s="282"/>
      <c r="I67" s="92"/>
    </row>
    <row r="68" spans="2:9" x14ac:dyDescent="0.2">
      <c r="B68" s="297" t="s">
        <v>67</v>
      </c>
      <c r="C68" s="298"/>
      <c r="D68" s="298"/>
      <c r="E68" s="298"/>
      <c r="F68" s="298"/>
      <c r="G68" s="145"/>
      <c r="H68" s="145"/>
      <c r="I68" s="92"/>
    </row>
    <row r="69" spans="2:9" x14ac:dyDescent="0.2">
      <c r="B69" s="88">
        <v>2</v>
      </c>
      <c r="C69" s="230" t="s">
        <v>66</v>
      </c>
      <c r="D69" s="241"/>
      <c r="E69" s="241"/>
      <c r="F69" s="241"/>
      <c r="G69" s="75"/>
      <c r="H69" s="88" t="s">
        <v>47</v>
      </c>
      <c r="I69" s="93"/>
    </row>
    <row r="70" spans="2:9" x14ac:dyDescent="0.2">
      <c r="B70" s="13" t="s">
        <v>36</v>
      </c>
      <c r="C70" s="76" t="s">
        <v>25</v>
      </c>
      <c r="D70" s="164" t="s">
        <v>123</v>
      </c>
      <c r="E70" s="165"/>
      <c r="F70" s="165"/>
      <c r="G70" s="166"/>
      <c r="H70" s="19">
        <f>H44</f>
        <v>2410.69</v>
      </c>
      <c r="I70" s="99"/>
    </row>
    <row r="71" spans="2:9" x14ac:dyDescent="0.2">
      <c r="B71" s="13" t="s">
        <v>37</v>
      </c>
      <c r="C71" s="76" t="s">
        <v>26</v>
      </c>
      <c r="D71" s="164" t="s">
        <v>133</v>
      </c>
      <c r="E71" s="165"/>
      <c r="F71" s="165"/>
      <c r="G71" s="166"/>
      <c r="H71" s="19">
        <f>H57</f>
        <v>5893.78</v>
      </c>
      <c r="I71" s="99"/>
    </row>
    <row r="72" spans="2:9" x14ac:dyDescent="0.2">
      <c r="B72" s="13" t="s">
        <v>38</v>
      </c>
      <c r="C72" s="76" t="s">
        <v>39</v>
      </c>
      <c r="D72" s="164" t="s">
        <v>134</v>
      </c>
      <c r="E72" s="165"/>
      <c r="F72" s="165"/>
      <c r="G72" s="166"/>
      <c r="H72" s="19">
        <f>H66</f>
        <v>2701.34</v>
      </c>
      <c r="I72" s="99"/>
    </row>
    <row r="73" spans="2:9" x14ac:dyDescent="0.2">
      <c r="B73" s="13" t="s">
        <v>135</v>
      </c>
      <c r="C73" s="230" t="s">
        <v>57</v>
      </c>
      <c r="D73" s="241"/>
      <c r="E73" s="241"/>
      <c r="F73" s="241"/>
      <c r="G73" s="75"/>
      <c r="H73" s="16">
        <f>SUM(H70:H72)</f>
        <v>11005.81</v>
      </c>
      <c r="I73" s="17"/>
    </row>
    <row r="74" spans="2:9" x14ac:dyDescent="0.2">
      <c r="B74" s="282"/>
      <c r="C74" s="282"/>
      <c r="D74" s="282"/>
      <c r="E74" s="282"/>
      <c r="F74" s="282"/>
      <c r="G74" s="282"/>
      <c r="H74" s="282"/>
      <c r="I74" s="93"/>
    </row>
    <row r="75" spans="2:9" x14ac:dyDescent="0.2">
      <c r="B75" s="92"/>
      <c r="C75" s="92"/>
      <c r="D75" s="92"/>
      <c r="E75" s="92"/>
      <c r="F75" s="92"/>
      <c r="G75" s="92"/>
      <c r="H75" s="92"/>
      <c r="I75" s="93"/>
    </row>
    <row r="76" spans="2:9" x14ac:dyDescent="0.2">
      <c r="B76" s="269" t="s">
        <v>68</v>
      </c>
      <c r="C76" s="270"/>
      <c r="D76" s="270"/>
      <c r="E76" s="270"/>
      <c r="F76" s="271"/>
      <c r="G76" s="138"/>
      <c r="H76" s="139"/>
      <c r="I76" s="93"/>
    </row>
    <row r="77" spans="2:9" x14ac:dyDescent="0.2">
      <c r="B77" s="88">
        <v>3</v>
      </c>
      <c r="C77" s="230" t="s">
        <v>58</v>
      </c>
      <c r="D77" s="241"/>
      <c r="E77" s="241"/>
      <c r="F77" s="231"/>
      <c r="G77" s="88" t="s">
        <v>1</v>
      </c>
      <c r="H77" s="88" t="s">
        <v>47</v>
      </c>
      <c r="I77" s="93"/>
    </row>
    <row r="78" spans="2:9" x14ac:dyDescent="0.2">
      <c r="B78" s="13" t="s">
        <v>4</v>
      </c>
      <c r="C78" s="86" t="s">
        <v>185</v>
      </c>
      <c r="D78" s="245" t="s">
        <v>160</v>
      </c>
      <c r="E78" s="247"/>
      <c r="F78" s="181">
        <f>TRUNC(H$56*0.4,2)</f>
        <v>473.87</v>
      </c>
      <c r="G78" s="182"/>
      <c r="H78" s="183"/>
      <c r="I78" s="17"/>
    </row>
    <row r="79" spans="2:9" x14ac:dyDescent="0.2">
      <c r="B79" s="13" t="s">
        <v>5</v>
      </c>
      <c r="C79" s="86" t="s">
        <v>94</v>
      </c>
      <c r="D79" s="299" t="s">
        <v>168</v>
      </c>
      <c r="E79" s="300"/>
      <c r="F79" s="181">
        <f>TRUNC((H$33+H$44+H$56+H$66-H61)/12,2)</f>
        <v>1557.88</v>
      </c>
      <c r="G79" s="184"/>
      <c r="H79" s="182"/>
      <c r="I79" s="99"/>
    </row>
    <row r="80" spans="2:9" x14ac:dyDescent="0.2">
      <c r="B80" s="13" t="s">
        <v>6</v>
      </c>
      <c r="C80" s="77" t="s">
        <v>93</v>
      </c>
      <c r="D80" s="164" t="s">
        <v>186</v>
      </c>
      <c r="E80" s="165"/>
      <c r="F80" s="185"/>
      <c r="G80" s="37">
        <v>0.5</v>
      </c>
      <c r="H80" s="22">
        <f>TRUNC((F$79+F78)*$G80,2)</f>
        <v>1015.87</v>
      </c>
      <c r="I80" s="186"/>
    </row>
    <row r="81" spans="2:9" x14ac:dyDescent="0.2">
      <c r="B81" s="13" t="s">
        <v>7</v>
      </c>
      <c r="C81" s="77" t="s">
        <v>95</v>
      </c>
      <c r="D81" s="164" t="s">
        <v>187</v>
      </c>
      <c r="E81" s="165"/>
      <c r="F81" s="166"/>
      <c r="G81" s="176">
        <f>1-G80</f>
        <v>0.5</v>
      </c>
      <c r="H81" s="80">
        <f>(TRUNC(F$78*$G81,2))</f>
        <v>236.93</v>
      </c>
      <c r="I81" s="99"/>
    </row>
    <row r="82" spans="2:9" x14ac:dyDescent="0.2">
      <c r="B82" s="13" t="s">
        <v>8</v>
      </c>
      <c r="C82" s="77" t="s">
        <v>165</v>
      </c>
      <c r="D82" s="299" t="s">
        <v>182</v>
      </c>
      <c r="E82" s="300"/>
      <c r="F82" s="38">
        <v>12</v>
      </c>
      <c r="G82" s="38">
        <v>3</v>
      </c>
      <c r="H82" s="19">
        <f>TRUNC(((H$33+H$44+H$57)/30)*$G82/$F82,2)</f>
        <v>172.51</v>
      </c>
      <c r="I82" s="99"/>
    </row>
    <row r="83" spans="2:9" x14ac:dyDescent="0.2">
      <c r="B83" s="13" t="s">
        <v>137</v>
      </c>
      <c r="C83" s="230" t="s">
        <v>57</v>
      </c>
      <c r="D83" s="241"/>
      <c r="E83" s="241"/>
      <c r="F83" s="241"/>
      <c r="G83" s="75"/>
      <c r="H83" s="16">
        <f>H$80+H$81+H$82</f>
        <v>1425.31</v>
      </c>
      <c r="I83" s="17"/>
    </row>
    <row r="84" spans="2:9" x14ac:dyDescent="0.2">
      <c r="B84" s="89"/>
      <c r="C84" s="89"/>
      <c r="D84" s="89"/>
      <c r="E84" s="89"/>
      <c r="F84" s="89"/>
      <c r="G84" s="89"/>
      <c r="H84" s="89"/>
      <c r="I84" s="89"/>
    </row>
    <row r="85" spans="2:9" x14ac:dyDescent="0.2">
      <c r="B85" s="92"/>
      <c r="C85" s="92"/>
      <c r="D85" s="92"/>
      <c r="E85" s="92"/>
      <c r="F85" s="92"/>
      <c r="G85" s="92"/>
      <c r="H85" s="92"/>
      <c r="I85" s="93"/>
    </row>
    <row r="86" spans="2:9" x14ac:dyDescent="0.2">
      <c r="B86" s="269" t="s">
        <v>69</v>
      </c>
      <c r="C86" s="270"/>
      <c r="D86" s="270"/>
      <c r="E86" s="270"/>
      <c r="F86" s="271"/>
      <c r="G86" s="138"/>
      <c r="H86" s="139"/>
      <c r="I86" s="93"/>
    </row>
    <row r="87" spans="2:9" x14ac:dyDescent="0.2">
      <c r="B87" s="272" t="s">
        <v>87</v>
      </c>
      <c r="C87" s="273"/>
      <c r="D87" s="273"/>
      <c r="E87" s="273"/>
      <c r="F87" s="273"/>
      <c r="G87" s="146"/>
      <c r="H87" s="147"/>
      <c r="I87" s="93"/>
    </row>
    <row r="88" spans="2:9" x14ac:dyDescent="0.2">
      <c r="B88" s="88" t="s">
        <v>12</v>
      </c>
      <c r="C88" s="230" t="s">
        <v>88</v>
      </c>
      <c r="D88" s="241"/>
      <c r="E88" s="241"/>
      <c r="F88" s="231"/>
      <c r="G88" s="88" t="s">
        <v>99</v>
      </c>
      <c r="H88" s="88" t="s">
        <v>47</v>
      </c>
      <c r="I88" s="93"/>
    </row>
    <row r="89" spans="2:9" x14ac:dyDescent="0.2">
      <c r="B89" s="13" t="s">
        <v>4</v>
      </c>
      <c r="C89" s="86" t="s">
        <v>184</v>
      </c>
      <c r="D89" s="164" t="s">
        <v>143</v>
      </c>
      <c r="E89" s="165"/>
      <c r="F89" s="166"/>
      <c r="G89" s="38">
        <v>30</v>
      </c>
      <c r="H89" s="19">
        <f>TRUNC((F$91*$G89)/12,2)</f>
        <v>2069.0700000000002</v>
      </c>
      <c r="I89" s="99"/>
    </row>
    <row r="90" spans="2:9" ht="22.5" x14ac:dyDescent="0.2">
      <c r="B90" s="13" t="s">
        <v>5</v>
      </c>
      <c r="C90" s="78" t="s">
        <v>149</v>
      </c>
      <c r="D90" s="167" t="s">
        <v>150</v>
      </c>
      <c r="E90" s="168"/>
      <c r="F90" s="169"/>
      <c r="G90" s="54">
        <v>8</v>
      </c>
      <c r="H90" s="19">
        <f>TRUNC((F$91*$G90)/12,2)</f>
        <v>551.75</v>
      </c>
      <c r="I90" s="99"/>
    </row>
    <row r="91" spans="2:9" x14ac:dyDescent="0.2">
      <c r="B91" s="13" t="s">
        <v>6</v>
      </c>
      <c r="C91" s="86" t="s">
        <v>106</v>
      </c>
      <c r="D91" s="164" t="s">
        <v>136</v>
      </c>
      <c r="E91" s="165"/>
      <c r="F91" s="180">
        <f>TRUNC((H$33+H$73+H$83)/30,2)</f>
        <v>827.63</v>
      </c>
      <c r="G91" s="179"/>
      <c r="H91" s="178"/>
      <c r="I91" s="177"/>
    </row>
    <row r="92" spans="2:9" x14ac:dyDescent="0.2">
      <c r="B92" s="13" t="s">
        <v>7</v>
      </c>
      <c r="C92" s="76" t="s">
        <v>289</v>
      </c>
      <c r="D92" s="245" t="s">
        <v>330</v>
      </c>
      <c r="E92" s="246"/>
      <c r="F92" s="246"/>
      <c r="G92" s="179"/>
      <c r="H92" s="19">
        <f>2*F91/12</f>
        <v>137.93833333333333</v>
      </c>
      <c r="I92" s="177"/>
    </row>
    <row r="93" spans="2:9" x14ac:dyDescent="0.2">
      <c r="B93" s="13" t="s">
        <v>138</v>
      </c>
      <c r="C93" s="230" t="s">
        <v>57</v>
      </c>
      <c r="D93" s="241"/>
      <c r="E93" s="241"/>
      <c r="F93" s="241"/>
      <c r="G93" s="75"/>
      <c r="H93" s="16">
        <f>SUM(H89:H92)</f>
        <v>2758.7583333333337</v>
      </c>
      <c r="I93" s="17"/>
    </row>
    <row r="94" spans="2:9" x14ac:dyDescent="0.2">
      <c r="B94" s="68"/>
      <c r="C94" s="69"/>
      <c r="D94" s="69"/>
      <c r="E94" s="69"/>
      <c r="F94" s="69"/>
      <c r="G94" s="69"/>
      <c r="H94" s="70"/>
      <c r="I94" s="23"/>
    </row>
    <row r="95" spans="2:9" x14ac:dyDescent="0.2">
      <c r="B95" s="297" t="s">
        <v>89</v>
      </c>
      <c r="C95" s="298"/>
      <c r="D95" s="298"/>
      <c r="E95" s="298"/>
      <c r="F95" s="298"/>
      <c r="G95" s="148"/>
      <c r="H95" s="149"/>
      <c r="I95" s="93"/>
    </row>
    <row r="96" spans="2:9" x14ac:dyDescent="0.2">
      <c r="B96" s="88" t="s">
        <v>13</v>
      </c>
      <c r="C96" s="230" t="s">
        <v>90</v>
      </c>
      <c r="D96" s="241"/>
      <c r="E96" s="241"/>
      <c r="F96" s="231"/>
      <c r="G96" s="88" t="s">
        <v>99</v>
      </c>
      <c r="H96" s="88" t="s">
        <v>47</v>
      </c>
      <c r="I96" s="93"/>
    </row>
    <row r="97" spans="2:9" ht="22.5" x14ac:dyDescent="0.2">
      <c r="B97" s="13" t="s">
        <v>4</v>
      </c>
      <c r="C97" s="78" t="s">
        <v>91</v>
      </c>
      <c r="D97" s="164" t="s">
        <v>170</v>
      </c>
      <c r="E97" s="165"/>
      <c r="F97" s="165"/>
      <c r="G97" s="38"/>
      <c r="H97" s="19">
        <f>TRUNC(((H$33+H73+H83)/220)*(1+50%)*G97,2)</f>
        <v>0</v>
      </c>
      <c r="I97" s="99"/>
    </row>
    <row r="98" spans="2:9" x14ac:dyDescent="0.2">
      <c r="B98" s="13" t="s">
        <v>139</v>
      </c>
      <c r="C98" s="230" t="s">
        <v>57</v>
      </c>
      <c r="D98" s="241"/>
      <c r="E98" s="241"/>
      <c r="F98" s="241"/>
      <c r="G98" s="124"/>
      <c r="H98" s="16">
        <f>H97</f>
        <v>0</v>
      </c>
      <c r="I98" s="99"/>
    </row>
    <row r="99" spans="2:9" x14ac:dyDescent="0.2">
      <c r="B99" s="91"/>
      <c r="C99" s="90"/>
      <c r="D99" s="90"/>
      <c r="E99" s="90"/>
      <c r="F99" s="90"/>
      <c r="G99" s="92"/>
      <c r="H99" s="163"/>
      <c r="I99" s="114"/>
    </row>
    <row r="100" spans="2:9" x14ac:dyDescent="0.2">
      <c r="B100" s="297" t="s">
        <v>70</v>
      </c>
      <c r="C100" s="298"/>
      <c r="D100" s="298"/>
      <c r="E100" s="298"/>
      <c r="F100" s="298"/>
      <c r="G100" s="148"/>
      <c r="H100" s="149"/>
      <c r="I100" s="93"/>
    </row>
    <row r="101" spans="2:9" x14ac:dyDescent="0.2">
      <c r="B101" s="88">
        <v>4</v>
      </c>
      <c r="C101" s="230" t="s">
        <v>71</v>
      </c>
      <c r="D101" s="241"/>
      <c r="E101" s="241"/>
      <c r="F101" s="241"/>
      <c r="G101" s="231"/>
      <c r="H101" s="88" t="s">
        <v>47</v>
      </c>
      <c r="I101" s="93"/>
    </row>
    <row r="102" spans="2:9" x14ac:dyDescent="0.2">
      <c r="B102" s="13" t="s">
        <v>12</v>
      </c>
      <c r="C102" s="86" t="s">
        <v>40</v>
      </c>
      <c r="D102" s="164" t="s">
        <v>138</v>
      </c>
      <c r="E102" s="165"/>
      <c r="F102" s="165"/>
      <c r="G102" s="166"/>
      <c r="H102" s="19">
        <f>H93</f>
        <v>2758.7583333333337</v>
      </c>
      <c r="I102" s="99"/>
    </row>
    <row r="103" spans="2:9" x14ac:dyDescent="0.2">
      <c r="B103" s="13" t="s">
        <v>13</v>
      </c>
      <c r="C103" s="86" t="s">
        <v>42</v>
      </c>
      <c r="D103" s="164" t="s">
        <v>139</v>
      </c>
      <c r="E103" s="165"/>
      <c r="F103" s="165"/>
      <c r="G103" s="166"/>
      <c r="H103" s="19">
        <f>H98</f>
        <v>0</v>
      </c>
      <c r="I103" s="99"/>
    </row>
    <row r="104" spans="2:9" x14ac:dyDescent="0.2">
      <c r="B104" s="13" t="s">
        <v>140</v>
      </c>
      <c r="C104" s="230" t="s">
        <v>57</v>
      </c>
      <c r="D104" s="241"/>
      <c r="E104" s="241"/>
      <c r="F104" s="241"/>
      <c r="G104" s="75"/>
      <c r="H104" s="16">
        <f>SUM(H102:H103)</f>
        <v>2758.7583333333337</v>
      </c>
      <c r="I104" s="17"/>
    </row>
    <row r="105" spans="2:9" x14ac:dyDescent="0.2">
      <c r="B105" s="92"/>
      <c r="C105" s="92"/>
      <c r="D105" s="92"/>
      <c r="E105" s="92"/>
      <c r="F105" s="92"/>
      <c r="G105" s="92"/>
      <c r="H105" s="92"/>
      <c r="I105" s="93"/>
    </row>
    <row r="106" spans="2:9" x14ac:dyDescent="0.2">
      <c r="B106" s="92"/>
      <c r="C106" s="92"/>
      <c r="D106" s="92"/>
      <c r="E106" s="92"/>
      <c r="F106" s="92"/>
      <c r="G106" s="92"/>
      <c r="H106" s="92"/>
      <c r="I106" s="93"/>
    </row>
    <row r="107" spans="2:9" x14ac:dyDescent="0.2">
      <c r="B107" s="269" t="s">
        <v>72</v>
      </c>
      <c r="C107" s="270"/>
      <c r="D107" s="270"/>
      <c r="E107" s="270"/>
      <c r="F107" s="271"/>
      <c r="G107" s="138"/>
      <c r="H107" s="139"/>
      <c r="I107" s="93"/>
    </row>
    <row r="108" spans="2:9" x14ac:dyDescent="0.2">
      <c r="B108" s="88">
        <v>5</v>
      </c>
      <c r="C108" s="301" t="s">
        <v>59</v>
      </c>
      <c r="D108" s="302"/>
      <c r="E108" s="302"/>
      <c r="F108" s="302"/>
      <c r="G108" s="303"/>
      <c r="H108" s="88" t="s">
        <v>47</v>
      </c>
      <c r="I108" s="93"/>
    </row>
    <row r="109" spans="2:9" x14ac:dyDescent="0.2">
      <c r="B109" s="13" t="s">
        <v>4</v>
      </c>
      <c r="C109" s="62" t="s">
        <v>43</v>
      </c>
      <c r="D109" s="63"/>
      <c r="E109" s="63"/>
      <c r="F109" s="63"/>
      <c r="G109" s="64"/>
      <c r="H109" s="65">
        <v>0</v>
      </c>
      <c r="I109" s="99"/>
    </row>
    <row r="110" spans="2:9" x14ac:dyDescent="0.2">
      <c r="B110" s="13" t="s">
        <v>5</v>
      </c>
      <c r="C110" s="62" t="s">
        <v>285</v>
      </c>
      <c r="D110" s="63"/>
      <c r="E110" s="63"/>
      <c r="F110" s="63"/>
      <c r="G110" s="64"/>
      <c r="H110" s="65">
        <f>Insumos!E24</f>
        <v>5.0783333333333331</v>
      </c>
      <c r="I110" s="99"/>
    </row>
    <row r="111" spans="2:9" x14ac:dyDescent="0.2">
      <c r="B111" s="13" t="s">
        <v>6</v>
      </c>
      <c r="C111" s="62" t="s">
        <v>2</v>
      </c>
      <c r="D111" s="63"/>
      <c r="E111" s="63"/>
      <c r="F111" s="63"/>
      <c r="G111" s="64"/>
      <c r="H111" s="65"/>
      <c r="I111" s="99"/>
    </row>
    <row r="112" spans="2:9" x14ac:dyDescent="0.2">
      <c r="B112" s="13" t="s">
        <v>141</v>
      </c>
      <c r="C112" s="230" t="s">
        <v>57</v>
      </c>
      <c r="D112" s="241"/>
      <c r="E112" s="241"/>
      <c r="F112" s="241"/>
      <c r="G112" s="75"/>
      <c r="H112" s="16">
        <f>SUM(H109:H111)</f>
        <v>5.0783333333333331</v>
      </c>
      <c r="I112" s="17"/>
    </row>
    <row r="113" spans="2:9" x14ac:dyDescent="0.2">
      <c r="B113" s="92"/>
      <c r="C113" s="92"/>
      <c r="D113" s="92"/>
      <c r="E113" s="92"/>
      <c r="F113" s="92"/>
      <c r="G113" s="71"/>
      <c r="H113" s="66"/>
      <c r="I113" s="17"/>
    </row>
    <row r="114" spans="2:9" x14ac:dyDescent="0.2">
      <c r="B114" s="92"/>
      <c r="C114" s="92"/>
      <c r="D114" s="92"/>
      <c r="E114" s="92"/>
      <c r="F114" s="92"/>
      <c r="G114" s="92"/>
      <c r="H114" s="92"/>
      <c r="I114" s="93"/>
    </row>
    <row r="115" spans="2:9" x14ac:dyDescent="0.2">
      <c r="B115" s="269" t="s">
        <v>73</v>
      </c>
      <c r="C115" s="270"/>
      <c r="D115" s="270"/>
      <c r="E115" s="270"/>
      <c r="F115" s="271"/>
      <c r="G115" s="138"/>
      <c r="H115" s="139"/>
      <c r="I115" s="93"/>
    </row>
    <row r="116" spans="2:9" x14ac:dyDescent="0.2">
      <c r="B116" s="88">
        <v>6</v>
      </c>
      <c r="C116" s="230" t="s">
        <v>60</v>
      </c>
      <c r="D116" s="241"/>
      <c r="E116" s="241"/>
      <c r="F116" s="231"/>
      <c r="G116" s="88" t="s">
        <v>1</v>
      </c>
      <c r="H116" s="88" t="s">
        <v>47</v>
      </c>
      <c r="I116" s="93"/>
    </row>
    <row r="117" spans="2:9" x14ac:dyDescent="0.2">
      <c r="B117" s="13" t="s">
        <v>4</v>
      </c>
      <c r="C117" s="86" t="s">
        <v>14</v>
      </c>
      <c r="D117" s="245" t="s">
        <v>151</v>
      </c>
      <c r="E117" s="246"/>
      <c r="F117" s="247"/>
      <c r="G117" s="43">
        <v>0.05</v>
      </c>
      <c r="H117" s="19">
        <f>TRUNC(H$134*$G117,2)</f>
        <v>1379.64</v>
      </c>
      <c r="I117" s="99"/>
    </row>
    <row r="118" spans="2:9" x14ac:dyDescent="0.2">
      <c r="B118" s="13" t="s">
        <v>5</v>
      </c>
      <c r="C118" s="86" t="s">
        <v>3</v>
      </c>
      <c r="D118" s="245" t="s">
        <v>152</v>
      </c>
      <c r="E118" s="246"/>
      <c r="F118" s="247"/>
      <c r="G118" s="43">
        <v>0.1</v>
      </c>
      <c r="H118" s="19">
        <f>TRUNC((H$134+H$117)*$G118,2)</f>
        <v>2897.25</v>
      </c>
      <c r="I118" s="99"/>
    </row>
    <row r="119" spans="2:9" x14ac:dyDescent="0.2">
      <c r="B119" s="13" t="s">
        <v>6</v>
      </c>
      <c r="C119" s="86" t="s">
        <v>110</v>
      </c>
      <c r="D119" s="245" t="s">
        <v>153</v>
      </c>
      <c r="E119" s="246"/>
      <c r="F119" s="247"/>
      <c r="G119" s="45">
        <f>1-(G120+G121+G122)</f>
        <v>0.85749999999999993</v>
      </c>
      <c r="H119" s="24">
        <f>TRUNC(((H$134+H$117+H$118)/$G119),2)</f>
        <v>37165.89</v>
      </c>
      <c r="I119" s="101"/>
    </row>
    <row r="120" spans="2:9" x14ac:dyDescent="0.2">
      <c r="B120" s="13" t="s">
        <v>19</v>
      </c>
      <c r="C120" s="86" t="s">
        <v>16</v>
      </c>
      <c r="D120" s="245" t="s">
        <v>154</v>
      </c>
      <c r="E120" s="246"/>
      <c r="F120" s="247"/>
      <c r="G120" s="44">
        <v>1.6500000000000001E-2</v>
      </c>
      <c r="H120" s="19">
        <f>TRUNC(H$119*$G120,2)</f>
        <v>613.23</v>
      </c>
      <c r="I120" s="99"/>
    </row>
    <row r="121" spans="2:9" x14ac:dyDescent="0.2">
      <c r="B121" s="13" t="s">
        <v>20</v>
      </c>
      <c r="C121" s="86" t="s">
        <v>17</v>
      </c>
      <c r="D121" s="245" t="s">
        <v>154</v>
      </c>
      <c r="E121" s="246"/>
      <c r="F121" s="247"/>
      <c r="G121" s="44">
        <v>7.5999999999999998E-2</v>
      </c>
      <c r="H121" s="19">
        <f>TRUNC(H$119*$G121,2)</f>
        <v>2824.6</v>
      </c>
      <c r="I121" s="99"/>
    </row>
    <row r="122" spans="2:9" x14ac:dyDescent="0.2">
      <c r="B122" s="13" t="s">
        <v>21</v>
      </c>
      <c r="C122" s="86" t="s">
        <v>18</v>
      </c>
      <c r="D122" s="245" t="s">
        <v>154</v>
      </c>
      <c r="E122" s="246"/>
      <c r="F122" s="247"/>
      <c r="G122" s="44">
        <v>0.05</v>
      </c>
      <c r="H122" s="19">
        <f>TRUNC(H$119*$G122,2)</f>
        <v>1858.29</v>
      </c>
      <c r="I122" s="99"/>
    </row>
    <row r="123" spans="2:9" x14ac:dyDescent="0.2">
      <c r="B123" s="13" t="s">
        <v>142</v>
      </c>
      <c r="C123" s="82" t="s">
        <v>57</v>
      </c>
      <c r="D123" s="307" t="s">
        <v>144</v>
      </c>
      <c r="E123" s="307"/>
      <c r="F123" s="307"/>
      <c r="G123" s="162"/>
      <c r="H123" s="16">
        <f>SUM(H117:H122)-H119</f>
        <v>9573.010000000002</v>
      </c>
      <c r="I123" s="17"/>
    </row>
    <row r="124" spans="2:9" x14ac:dyDescent="0.2">
      <c r="B124" s="60"/>
      <c r="C124" s="60"/>
      <c r="D124" s="60"/>
      <c r="E124" s="60"/>
      <c r="F124" s="60"/>
      <c r="G124" s="60"/>
      <c r="H124" s="72"/>
      <c r="I124" s="25"/>
    </row>
    <row r="125" spans="2:9" x14ac:dyDescent="0.2">
      <c r="B125" s="304" t="s">
        <v>177</v>
      </c>
      <c r="C125" s="304"/>
      <c r="D125" s="304"/>
      <c r="E125" s="304"/>
      <c r="F125" s="304"/>
      <c r="G125" s="304"/>
      <c r="H125" s="304"/>
      <c r="I125" s="108"/>
    </row>
    <row r="126" spans="2:9" x14ac:dyDescent="0.2">
      <c r="B126" s="85"/>
      <c r="C126" s="85"/>
      <c r="D126" s="85"/>
      <c r="E126" s="85"/>
      <c r="F126" s="85"/>
      <c r="G126" s="85"/>
      <c r="H126" s="85"/>
      <c r="I126" s="108"/>
    </row>
    <row r="127" spans="2:9" x14ac:dyDescent="0.2">
      <c r="B127" s="269" t="s">
        <v>178</v>
      </c>
      <c r="C127" s="270"/>
      <c r="D127" s="270"/>
      <c r="E127" s="270"/>
      <c r="F127" s="270"/>
      <c r="G127" s="156"/>
      <c r="H127" s="139"/>
      <c r="I127" s="93"/>
    </row>
    <row r="128" spans="2:9" ht="12.75" customHeight="1" x14ac:dyDescent="0.2">
      <c r="B128" s="154"/>
      <c r="C128" s="305" t="s">
        <v>111</v>
      </c>
      <c r="D128" s="306"/>
      <c r="E128" s="306"/>
      <c r="F128" s="306"/>
      <c r="G128" s="155"/>
      <c r="H128" s="137" t="s">
        <v>47</v>
      </c>
      <c r="I128" s="93"/>
    </row>
    <row r="129" spans="2:9" x14ac:dyDescent="0.2">
      <c r="B129" s="13" t="s">
        <v>4</v>
      </c>
      <c r="C129" s="78" t="s">
        <v>75</v>
      </c>
      <c r="D129" s="164" t="s">
        <v>121</v>
      </c>
      <c r="E129" s="165"/>
      <c r="F129" s="165"/>
      <c r="G129" s="166"/>
      <c r="H129" s="19">
        <f>H33</f>
        <v>12397.91</v>
      </c>
      <c r="I129" s="99"/>
    </row>
    <row r="130" spans="2:9" x14ac:dyDescent="0.2">
      <c r="B130" s="13" t="s">
        <v>5</v>
      </c>
      <c r="C130" s="78" t="s">
        <v>76</v>
      </c>
      <c r="D130" s="164" t="s">
        <v>135</v>
      </c>
      <c r="E130" s="165"/>
      <c r="F130" s="165"/>
      <c r="G130" s="166"/>
      <c r="H130" s="19">
        <f>H73</f>
        <v>11005.81</v>
      </c>
      <c r="I130" s="99"/>
    </row>
    <row r="131" spans="2:9" x14ac:dyDescent="0.2">
      <c r="B131" s="13" t="s">
        <v>6</v>
      </c>
      <c r="C131" s="78" t="s">
        <v>77</v>
      </c>
      <c r="D131" s="164" t="s">
        <v>137</v>
      </c>
      <c r="E131" s="165"/>
      <c r="F131" s="165"/>
      <c r="G131" s="166"/>
      <c r="H131" s="19">
        <f>H83</f>
        <v>1425.31</v>
      </c>
      <c r="I131" s="99"/>
    </row>
    <row r="132" spans="2:9" x14ac:dyDescent="0.2">
      <c r="B132" s="13" t="s">
        <v>7</v>
      </c>
      <c r="C132" s="78" t="s">
        <v>41</v>
      </c>
      <c r="D132" s="164" t="s">
        <v>140</v>
      </c>
      <c r="E132" s="165"/>
      <c r="F132" s="165"/>
      <c r="G132" s="166"/>
      <c r="H132" s="19">
        <f>H104</f>
        <v>2758.7583333333337</v>
      </c>
      <c r="I132" s="99"/>
    </row>
    <row r="133" spans="2:9" x14ac:dyDescent="0.2">
      <c r="B133" s="13" t="s">
        <v>8</v>
      </c>
      <c r="C133" s="78" t="s">
        <v>78</v>
      </c>
      <c r="D133" s="164" t="s">
        <v>141</v>
      </c>
      <c r="E133" s="165"/>
      <c r="F133" s="165"/>
      <c r="G133" s="166"/>
      <c r="H133" s="19">
        <f>H112</f>
        <v>5.0783333333333331</v>
      </c>
      <c r="I133" s="99"/>
    </row>
    <row r="134" spans="2:9" x14ac:dyDescent="0.2">
      <c r="B134" s="84" t="s">
        <v>9</v>
      </c>
      <c r="C134" s="77" t="s">
        <v>44</v>
      </c>
      <c r="D134" s="170" t="s">
        <v>158</v>
      </c>
      <c r="E134" s="171"/>
      <c r="F134" s="171"/>
      <c r="G134" s="172"/>
      <c r="H134" s="22">
        <f>SUM(H129:H133)</f>
        <v>27592.866666666672</v>
      </c>
      <c r="I134" s="17"/>
    </row>
    <row r="135" spans="2:9" x14ac:dyDescent="0.2">
      <c r="B135" s="13" t="s">
        <v>10</v>
      </c>
      <c r="C135" s="86" t="s">
        <v>79</v>
      </c>
      <c r="D135" s="164" t="s">
        <v>142</v>
      </c>
      <c r="E135" s="165"/>
      <c r="F135" s="165"/>
      <c r="G135" s="166"/>
      <c r="H135" s="19">
        <f>H123</f>
        <v>9573.010000000002</v>
      </c>
      <c r="I135" s="99"/>
    </row>
    <row r="136" spans="2:9" x14ac:dyDescent="0.2">
      <c r="B136" s="13" t="s">
        <v>145</v>
      </c>
      <c r="C136" s="81" t="s">
        <v>74</v>
      </c>
      <c r="D136" s="173" t="s">
        <v>157</v>
      </c>
      <c r="E136" s="161"/>
      <c r="F136" s="161"/>
      <c r="G136" s="162"/>
      <c r="H136" s="27">
        <f>SUM(H134:H135)</f>
        <v>37165.876666666678</v>
      </c>
      <c r="I136" s="112"/>
    </row>
    <row r="137" spans="2:9" ht="12.75" customHeight="1" x14ac:dyDescent="0.2">
      <c r="B137" s="11"/>
      <c r="C137" s="11"/>
      <c r="D137" s="11"/>
      <c r="E137" s="11"/>
      <c r="F137" s="11"/>
      <c r="G137" s="11"/>
      <c r="H137" s="28"/>
      <c r="I137" s="28"/>
    </row>
    <row r="138" spans="2:9" x14ac:dyDescent="0.2">
      <c r="B138" s="304" t="s">
        <v>179</v>
      </c>
      <c r="C138" s="304"/>
      <c r="D138" s="304"/>
      <c r="E138" s="304"/>
      <c r="F138" s="304"/>
      <c r="I138" s="11"/>
    </row>
    <row r="139" spans="2:9" x14ac:dyDescent="0.2">
      <c r="B139" s="73"/>
      <c r="C139" s="73"/>
      <c r="D139" s="73"/>
      <c r="E139" s="67"/>
      <c r="F139" s="67"/>
      <c r="I139" s="11"/>
    </row>
    <row r="140" spans="2:9" x14ac:dyDescent="0.2">
      <c r="B140" s="248" t="s">
        <v>180</v>
      </c>
      <c r="C140" s="249"/>
      <c r="D140" s="249"/>
      <c r="E140" s="249"/>
      <c r="F140" s="249"/>
      <c r="G140" s="156"/>
      <c r="H140" s="139"/>
      <c r="I140" s="109"/>
    </row>
    <row r="141" spans="2:9" x14ac:dyDescent="0.2">
      <c r="B141" s="125" t="s">
        <v>4</v>
      </c>
      <c r="C141" s="157" t="s">
        <v>100</v>
      </c>
      <c r="D141" s="314" t="s">
        <v>145</v>
      </c>
      <c r="E141" s="315"/>
      <c r="F141" s="315"/>
      <c r="G141" s="158"/>
      <c r="H141" s="159">
        <f>H136</f>
        <v>37165.876666666678</v>
      </c>
      <c r="I141" s="107"/>
    </row>
    <row r="142" spans="2:9" x14ac:dyDescent="0.2">
      <c r="B142" s="13" t="s">
        <v>5</v>
      </c>
      <c r="C142" s="79" t="s">
        <v>147</v>
      </c>
      <c r="D142" s="314" t="s">
        <v>148</v>
      </c>
      <c r="E142" s="315"/>
      <c r="F142" s="315"/>
      <c r="G142" s="152"/>
      <c r="H142" s="9">
        <f>H44+H83+H102</f>
        <v>6594.7583333333332</v>
      </c>
      <c r="I142" s="102"/>
    </row>
    <row r="143" spans="2:9" x14ac:dyDescent="0.2">
      <c r="B143" s="13" t="s">
        <v>6</v>
      </c>
      <c r="C143" s="79" t="s">
        <v>161</v>
      </c>
      <c r="D143" s="314" t="s">
        <v>169</v>
      </c>
      <c r="E143" s="315"/>
      <c r="F143" s="315"/>
      <c r="G143" s="153"/>
      <c r="H143" s="106">
        <f>TRUNC((H$44*$G57),2)</f>
        <v>959.45</v>
      </c>
      <c r="I143" s="107"/>
    </row>
    <row r="144" spans="2:9" ht="12.75" customHeight="1" x14ac:dyDescent="0.2">
      <c r="B144" s="13" t="s">
        <v>7</v>
      </c>
      <c r="C144" s="79" t="s">
        <v>14</v>
      </c>
      <c r="D144" s="308" t="s">
        <v>155</v>
      </c>
      <c r="E144" s="309"/>
      <c r="F144" s="310"/>
      <c r="G144" s="10">
        <f>G117</f>
        <v>0.05</v>
      </c>
      <c r="H144" s="9">
        <f>TRUNC((H$142+H$143)*$G144,2)</f>
        <v>377.71</v>
      </c>
      <c r="I144" s="102"/>
    </row>
    <row r="145" spans="2:9" ht="12.75" customHeight="1" x14ac:dyDescent="0.2">
      <c r="B145" s="13" t="s">
        <v>8</v>
      </c>
      <c r="C145" s="79" t="s">
        <v>3</v>
      </c>
      <c r="D145" s="308" t="s">
        <v>156</v>
      </c>
      <c r="E145" s="309"/>
      <c r="F145" s="310"/>
      <c r="G145" s="10">
        <f>G118</f>
        <v>0.1</v>
      </c>
      <c r="H145" s="9">
        <f>TRUNC((H$142+H$143+H$144)*$G145,2)</f>
        <v>793.19</v>
      </c>
      <c r="I145" s="102"/>
    </row>
    <row r="146" spans="2:9" ht="12.75" customHeight="1" x14ac:dyDescent="0.2">
      <c r="B146" s="13" t="s">
        <v>9</v>
      </c>
      <c r="C146" s="79" t="s">
        <v>101</v>
      </c>
      <c r="D146" s="308" t="s">
        <v>163</v>
      </c>
      <c r="E146" s="309"/>
      <c r="F146" s="310"/>
      <c r="G146" s="10">
        <f>G120+G121+G122</f>
        <v>0.14250000000000002</v>
      </c>
      <c r="H146" s="9">
        <f>TRUNC((H$142+H$143+H$144+H$145)/(1-$G146)-(H$142+H$143+H$144+H$145),2)</f>
        <v>1449.94</v>
      </c>
      <c r="I146" s="102"/>
    </row>
    <row r="147" spans="2:9" x14ac:dyDescent="0.2">
      <c r="B147" s="13" t="s">
        <v>10</v>
      </c>
      <c r="C147" s="126" t="s">
        <v>102</v>
      </c>
      <c r="D147" s="150" t="s">
        <v>164</v>
      </c>
      <c r="E147" s="151"/>
      <c r="F147" s="151"/>
      <c r="G147" s="152"/>
      <c r="H147" s="127">
        <f>SUM(H142:H146)</f>
        <v>10175.048333333334</v>
      </c>
      <c r="I147" s="103"/>
    </row>
    <row r="148" spans="2:9" x14ac:dyDescent="0.2">
      <c r="B148" s="13" t="s">
        <v>146</v>
      </c>
      <c r="C148" s="83" t="s">
        <v>118</v>
      </c>
      <c r="D148" s="316" t="s">
        <v>162</v>
      </c>
      <c r="E148" s="317"/>
      <c r="F148" s="317"/>
      <c r="G148" s="160"/>
      <c r="H148" s="29">
        <f>H141-H147</f>
        <v>26990.828333333346</v>
      </c>
      <c r="I148" s="113"/>
    </row>
    <row r="149" spans="2:9" ht="45" customHeight="1" x14ac:dyDescent="0.2">
      <c r="B149" s="311" t="s">
        <v>117</v>
      </c>
      <c r="C149" s="312"/>
      <c r="D149" s="312"/>
      <c r="E149" s="312"/>
      <c r="F149" s="312"/>
      <c r="G149" s="313"/>
      <c r="H149" s="136"/>
      <c r="I149" s="104"/>
    </row>
  </sheetData>
  <mergeCells count="107">
    <mergeCell ref="C128:F128"/>
    <mergeCell ref="D123:F123"/>
    <mergeCell ref="D144:F144"/>
    <mergeCell ref="D145:F145"/>
    <mergeCell ref="D146:F146"/>
    <mergeCell ref="B138:F138"/>
    <mergeCell ref="B149:G149"/>
    <mergeCell ref="B140:F140"/>
    <mergeCell ref="D141:F141"/>
    <mergeCell ref="D142:F142"/>
    <mergeCell ref="D143:F143"/>
    <mergeCell ref="D148:F148"/>
    <mergeCell ref="D122:F122"/>
    <mergeCell ref="B125:H125"/>
    <mergeCell ref="C116:F116"/>
    <mergeCell ref="D117:F117"/>
    <mergeCell ref="D118:F118"/>
    <mergeCell ref="D119:F119"/>
    <mergeCell ref="D120:F120"/>
    <mergeCell ref="D121:F121"/>
    <mergeCell ref="B127:F127"/>
    <mergeCell ref="C93:F93"/>
    <mergeCell ref="C83:F83"/>
    <mergeCell ref="C108:G108"/>
    <mergeCell ref="C96:F96"/>
    <mergeCell ref="C101:G101"/>
    <mergeCell ref="B107:F107"/>
    <mergeCell ref="B115:F115"/>
    <mergeCell ref="B95:F95"/>
    <mergeCell ref="B100:F100"/>
    <mergeCell ref="C112:F112"/>
    <mergeCell ref="C104:F104"/>
    <mergeCell ref="C98:F98"/>
    <mergeCell ref="D92:F92"/>
    <mergeCell ref="C66:F66"/>
    <mergeCell ref="B74:H74"/>
    <mergeCell ref="C77:F77"/>
    <mergeCell ref="B67:H67"/>
    <mergeCell ref="B76:F76"/>
    <mergeCell ref="B68:F68"/>
    <mergeCell ref="C69:F69"/>
    <mergeCell ref="C73:F73"/>
    <mergeCell ref="C88:F88"/>
    <mergeCell ref="D82:E82"/>
    <mergeCell ref="B86:F86"/>
    <mergeCell ref="B87:F87"/>
    <mergeCell ref="D78:E78"/>
    <mergeCell ref="D79:E79"/>
    <mergeCell ref="D52:F52"/>
    <mergeCell ref="D53:F53"/>
    <mergeCell ref="D54:F54"/>
    <mergeCell ref="C47:F47"/>
    <mergeCell ref="D48:F48"/>
    <mergeCell ref="D49:F49"/>
    <mergeCell ref="B59:F59"/>
    <mergeCell ref="C60:F60"/>
    <mergeCell ref="D55:F55"/>
    <mergeCell ref="D56:F56"/>
    <mergeCell ref="C57:F57"/>
    <mergeCell ref="B58:H58"/>
    <mergeCell ref="B40:F40"/>
    <mergeCell ref="B39:F39"/>
    <mergeCell ref="B50:B51"/>
    <mergeCell ref="C50:C51"/>
    <mergeCell ref="D50:D51"/>
    <mergeCell ref="C41:F41"/>
    <mergeCell ref="D42:F42"/>
    <mergeCell ref="D43:F43"/>
    <mergeCell ref="C44:F44"/>
    <mergeCell ref="B45:H45"/>
    <mergeCell ref="G50:G51"/>
    <mergeCell ref="H50:H51"/>
    <mergeCell ref="B46:F46"/>
    <mergeCell ref="C33:F33"/>
    <mergeCell ref="C34:F35"/>
    <mergeCell ref="D25:F25"/>
    <mergeCell ref="D26:F26"/>
    <mergeCell ref="D28:F28"/>
    <mergeCell ref="D29:F29"/>
    <mergeCell ref="D31:F31"/>
    <mergeCell ref="B23:F23"/>
    <mergeCell ref="B38:F38"/>
    <mergeCell ref="D30:F30"/>
    <mergeCell ref="B2:H2"/>
    <mergeCell ref="B3:H3"/>
    <mergeCell ref="B9:B10"/>
    <mergeCell ref="B19:B20"/>
    <mergeCell ref="C24:F24"/>
    <mergeCell ref="B15:B16"/>
    <mergeCell ref="D6:F6"/>
    <mergeCell ref="B17:B18"/>
    <mergeCell ref="D32:F32"/>
    <mergeCell ref="B8:F8"/>
    <mergeCell ref="C9:F9"/>
    <mergeCell ref="C10:F10"/>
    <mergeCell ref="C20:F20"/>
    <mergeCell ref="C19:F19"/>
    <mergeCell ref="C18:F18"/>
    <mergeCell ref="C17:F17"/>
    <mergeCell ref="C16:F16"/>
    <mergeCell ref="C15:F15"/>
    <mergeCell ref="C14:F14"/>
    <mergeCell ref="C13:F13"/>
    <mergeCell ref="C12:F12"/>
    <mergeCell ref="C11:F11"/>
    <mergeCell ref="B11:B12"/>
    <mergeCell ref="B13:B14"/>
  </mergeCells>
  <dataValidations count="11">
    <dataValidation type="list" allowBlank="1" showInputMessage="1" showErrorMessage="1" sqref="G82" xr:uid="{1911A840-427F-4456-B640-C09E4050FD3A}">
      <formula1>"3,6,9,12,15"</formula1>
    </dataValidation>
    <dataValidation type="custom" allowBlank="1" showInputMessage="1" showErrorMessage="1" sqref="G119" xr:uid="{00000000-0002-0000-0100-000001000000}">
      <formula1>1-(G120+G121+G122)</formula1>
    </dataValidation>
    <dataValidation type="whole" allowBlank="1" showInputMessage="1" showErrorMessage="1" errorTitle="Valor errado" error="Quantidade fixa de dias. Prencher com 30" sqref="G89" xr:uid="{00000000-0002-0000-0100-000003000000}">
      <formula1>30</formula1>
      <formula2>30</formula2>
    </dataValidation>
    <dataValidation type="list" allowBlank="1" showInputMessage="1" showErrorMessage="1" sqref="G30:G31" xr:uid="{00000000-0002-0000-0100-000004000000}">
      <formula1>"0, 50%, 100%"</formula1>
    </dataValidation>
    <dataValidation type="list" allowBlank="1" showInputMessage="1" showErrorMessage="1" sqref="G120" xr:uid="{00000000-0002-0000-0100-000005000000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21" xr:uid="{00000000-0002-0000-0100-000006000000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8:G29" xr:uid="{00000000-0002-0000-0100-000007000000}">
      <formula1>"0, 20%"</formula1>
    </dataValidation>
    <dataValidation type="list" allowBlank="1" showInputMessage="1" showErrorMessage="1" sqref="E51" xr:uid="{00000000-0002-0000-0100-000008000000}">
      <formula1>"1%, 2%, 3%"</formula1>
    </dataValidation>
    <dataValidation type="list" allowBlank="1" showInputMessage="1" showErrorMessage="1" sqref="G27" xr:uid="{00000000-0002-0000-0100-000009000000}">
      <formula1>"0%, 10%, 20%, 40%"</formula1>
    </dataValidation>
    <dataValidation type="list" allowBlank="1" showInputMessage="1" showErrorMessage="1" sqref="G26" xr:uid="{00000000-0002-0000-0100-00000A000000}">
      <formula1>"0%, 30%"</formula1>
    </dataValidation>
    <dataValidation operator="equal" allowBlank="1" showInputMessage="1" showErrorMessage="1" errorTitle="Valor errado" error="Percentual fixo. Preencher com 40%." sqref="F78" xr:uid="{C85FB702-9BCC-41D9-A2DC-2B2AA8B28BEB}"/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4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FAD1-0D08-4D90-AA11-361AEBF24C2C}">
  <sheetPr>
    <tabColor theme="9"/>
  </sheetPr>
  <dimension ref="B1:I148"/>
  <sheetViews>
    <sheetView showGridLines="0" topLeftCell="A132" zoomScaleNormal="100" workbookViewId="0">
      <selection activeCell="B99" sqref="B99:H148"/>
    </sheetView>
  </sheetViews>
  <sheetFormatPr defaultColWidth="9.140625" defaultRowHeight="12.75" x14ac:dyDescent="0.2"/>
  <cols>
    <col min="1" max="1" width="3.5703125" style="56" customWidth="1"/>
    <col min="2" max="2" width="8.28515625" style="56" customWidth="1"/>
    <col min="3" max="3" width="50.5703125" style="56" customWidth="1"/>
    <col min="4" max="4" width="29.140625" style="56" customWidth="1"/>
    <col min="5" max="5" width="8.140625" style="56" customWidth="1"/>
    <col min="6" max="6" width="10.7109375" style="56" bestFit="1" customWidth="1"/>
    <col min="7" max="7" width="9.140625" style="56" customWidth="1"/>
    <col min="8" max="9" width="15.28515625" style="56" customWidth="1"/>
    <col min="10" max="16384" width="9.140625" style="56"/>
  </cols>
  <sheetData>
    <row r="1" spans="2:9" x14ac:dyDescent="0.2">
      <c r="C1" s="105"/>
      <c r="D1" s="11"/>
      <c r="E1" s="11"/>
      <c r="F1" s="11"/>
      <c r="G1" s="11"/>
      <c r="H1" s="11"/>
      <c r="I1" s="11"/>
    </row>
    <row r="2" spans="2:9" x14ac:dyDescent="0.2">
      <c r="B2" s="237" t="s">
        <v>48</v>
      </c>
      <c r="C2" s="237"/>
      <c r="D2" s="237"/>
      <c r="E2" s="237"/>
      <c r="F2" s="237"/>
      <c r="G2" s="237"/>
      <c r="H2" s="237"/>
      <c r="I2" s="92"/>
    </row>
    <row r="3" spans="2:9" x14ac:dyDescent="0.2">
      <c r="B3" s="238" t="s">
        <v>176</v>
      </c>
      <c r="C3" s="238"/>
      <c r="D3" s="238"/>
      <c r="E3" s="238"/>
      <c r="F3" s="238"/>
      <c r="G3" s="238"/>
      <c r="H3" s="238"/>
      <c r="I3" s="94"/>
    </row>
    <row r="4" spans="2:9" x14ac:dyDescent="0.2">
      <c r="B4" s="58"/>
      <c r="C4" s="58"/>
      <c r="D4" s="58"/>
      <c r="E4" s="58"/>
      <c r="F4" s="58"/>
      <c r="G4" s="58"/>
      <c r="H4" s="58"/>
      <c r="I4" s="58"/>
    </row>
    <row r="5" spans="2:9" x14ac:dyDescent="0.2">
      <c r="B5" s="58"/>
      <c r="C5" s="58"/>
      <c r="D5" s="58"/>
      <c r="E5" s="58"/>
      <c r="F5" s="58"/>
      <c r="G5" s="58"/>
      <c r="H5" s="58"/>
      <c r="I5" s="58"/>
    </row>
    <row r="6" spans="2:9" x14ac:dyDescent="0.2">
      <c r="B6" s="134" t="s">
        <v>119</v>
      </c>
      <c r="C6" s="134"/>
      <c r="D6" s="242" t="s">
        <v>192</v>
      </c>
      <c r="E6" s="243"/>
      <c r="F6" s="244"/>
      <c r="I6" s="12"/>
    </row>
    <row r="7" spans="2:9" x14ac:dyDescent="0.2">
      <c r="B7" s="58"/>
      <c r="C7" s="58"/>
      <c r="D7" s="58"/>
      <c r="E7" s="58"/>
      <c r="F7" s="58"/>
      <c r="G7" s="58"/>
      <c r="H7" s="58"/>
      <c r="I7" s="11"/>
    </row>
    <row r="8" spans="2:9" x14ac:dyDescent="0.2">
      <c r="B8" s="248" t="s">
        <v>49</v>
      </c>
      <c r="C8" s="249"/>
      <c r="D8" s="249"/>
      <c r="E8" s="249"/>
      <c r="F8" s="250"/>
      <c r="G8" s="135"/>
      <c r="H8" s="135"/>
      <c r="I8" s="57"/>
    </row>
    <row r="9" spans="2:9" x14ac:dyDescent="0.2">
      <c r="B9" s="239">
        <v>1</v>
      </c>
      <c r="C9" s="251" t="s">
        <v>50</v>
      </c>
      <c r="D9" s="252"/>
      <c r="E9" s="252"/>
      <c r="F9" s="253"/>
      <c r="G9" s="135"/>
      <c r="H9" s="135"/>
      <c r="I9" s="57"/>
    </row>
    <row r="10" spans="2:9" x14ac:dyDescent="0.2">
      <c r="B10" s="240"/>
      <c r="C10" s="254"/>
      <c r="D10" s="255"/>
      <c r="E10" s="255"/>
      <c r="F10" s="256"/>
      <c r="G10" s="135"/>
      <c r="H10" s="135"/>
      <c r="I10" s="57"/>
    </row>
    <row r="11" spans="2:9" x14ac:dyDescent="0.2">
      <c r="B11" s="239">
        <v>2</v>
      </c>
      <c r="C11" s="251" t="s">
        <v>51</v>
      </c>
      <c r="D11" s="252"/>
      <c r="E11" s="252"/>
      <c r="F11" s="253"/>
      <c r="G11" s="135"/>
      <c r="H11" s="135"/>
      <c r="I11" s="57"/>
    </row>
    <row r="12" spans="2:9" x14ac:dyDescent="0.2">
      <c r="B12" s="240"/>
      <c r="C12" s="254"/>
      <c r="D12" s="255"/>
      <c r="E12" s="255"/>
      <c r="F12" s="256"/>
      <c r="G12" s="135"/>
      <c r="H12" s="135"/>
      <c r="I12" s="57"/>
    </row>
    <row r="13" spans="2:9" x14ac:dyDescent="0.2">
      <c r="B13" s="239">
        <v>3</v>
      </c>
      <c r="C13" s="251" t="s">
        <v>52</v>
      </c>
      <c r="D13" s="252"/>
      <c r="E13" s="252"/>
      <c r="F13" s="253"/>
      <c r="G13" s="135"/>
      <c r="H13" s="135"/>
      <c r="I13" s="57"/>
    </row>
    <row r="14" spans="2:9" x14ac:dyDescent="0.2">
      <c r="B14" s="240"/>
      <c r="C14" s="257"/>
      <c r="D14" s="258"/>
      <c r="E14" s="258"/>
      <c r="F14" s="259"/>
      <c r="G14" s="135"/>
      <c r="H14" s="135"/>
      <c r="I14" s="57"/>
    </row>
    <row r="15" spans="2:9" x14ac:dyDescent="0.2">
      <c r="B15" s="239">
        <v>4</v>
      </c>
      <c r="C15" s="251" t="s">
        <v>53</v>
      </c>
      <c r="D15" s="252"/>
      <c r="E15" s="252"/>
      <c r="F15" s="253"/>
      <c r="G15" s="135"/>
      <c r="H15" s="135"/>
      <c r="I15" s="57"/>
    </row>
    <row r="16" spans="2:9" x14ac:dyDescent="0.2">
      <c r="B16" s="240"/>
      <c r="C16" s="254"/>
      <c r="D16" s="255"/>
      <c r="E16" s="255"/>
      <c r="F16" s="256"/>
      <c r="G16" s="135"/>
      <c r="H16" s="135"/>
      <c r="I16" s="57"/>
    </row>
    <row r="17" spans="2:9" x14ac:dyDescent="0.2">
      <c r="B17" s="239">
        <v>5</v>
      </c>
      <c r="C17" s="251" t="s">
        <v>54</v>
      </c>
      <c r="D17" s="252"/>
      <c r="E17" s="252"/>
      <c r="F17" s="253"/>
      <c r="G17" s="135"/>
      <c r="H17" s="135"/>
      <c r="I17" s="57"/>
    </row>
    <row r="18" spans="2:9" x14ac:dyDescent="0.2">
      <c r="B18" s="240"/>
      <c r="C18" s="254"/>
      <c r="D18" s="255"/>
      <c r="E18" s="255"/>
      <c r="F18" s="256"/>
      <c r="G18" s="135"/>
      <c r="H18" s="135"/>
      <c r="I18" s="57"/>
    </row>
    <row r="19" spans="2:9" x14ac:dyDescent="0.2">
      <c r="B19" s="239">
        <v>6</v>
      </c>
      <c r="C19" s="251" t="s">
        <v>55</v>
      </c>
      <c r="D19" s="252"/>
      <c r="E19" s="252"/>
      <c r="F19" s="253"/>
      <c r="G19" s="135"/>
      <c r="H19" s="135"/>
      <c r="I19" s="57"/>
    </row>
    <row r="20" spans="2:9" x14ac:dyDescent="0.2">
      <c r="B20" s="240"/>
      <c r="C20" s="254"/>
      <c r="D20" s="255"/>
      <c r="E20" s="255"/>
      <c r="F20" s="256"/>
      <c r="G20" s="135"/>
      <c r="H20" s="135"/>
      <c r="I20" s="57"/>
    </row>
    <row r="21" spans="2:9" x14ac:dyDescent="0.2">
      <c r="B21" s="59"/>
      <c r="C21" s="59"/>
      <c r="D21" s="59"/>
      <c r="E21" s="59"/>
      <c r="F21" s="59"/>
      <c r="G21" s="60"/>
      <c r="H21" s="60"/>
      <c r="I21" s="57"/>
    </row>
    <row r="22" spans="2:9" x14ac:dyDescent="0.2">
      <c r="B22" s="61"/>
      <c r="C22" s="61"/>
      <c r="D22" s="61"/>
      <c r="E22" s="61"/>
      <c r="F22" s="61"/>
      <c r="G22" s="61"/>
      <c r="H22" s="140" t="s">
        <v>181</v>
      </c>
    </row>
    <row r="23" spans="2:9" x14ac:dyDescent="0.2">
      <c r="B23" s="269" t="s">
        <v>62</v>
      </c>
      <c r="C23" s="270"/>
      <c r="D23" s="270"/>
      <c r="E23" s="270"/>
      <c r="F23" s="271"/>
      <c r="G23" s="138"/>
      <c r="H23" s="139"/>
      <c r="I23" s="93"/>
    </row>
    <row r="24" spans="2:9" x14ac:dyDescent="0.2">
      <c r="B24" s="88">
        <v>1</v>
      </c>
      <c r="C24" s="230" t="s">
        <v>56</v>
      </c>
      <c r="D24" s="241"/>
      <c r="E24" s="241"/>
      <c r="F24" s="231"/>
      <c r="G24" s="137" t="s">
        <v>1</v>
      </c>
      <c r="H24" s="137" t="s">
        <v>47</v>
      </c>
      <c r="I24" s="93"/>
    </row>
    <row r="25" spans="2:9" ht="12.75" customHeight="1" x14ac:dyDescent="0.2">
      <c r="B25" s="13" t="s">
        <v>4</v>
      </c>
      <c r="C25" s="86" t="s">
        <v>15</v>
      </c>
      <c r="D25" s="245"/>
      <c r="E25" s="246"/>
      <c r="F25" s="247"/>
      <c r="G25" s="14"/>
      <c r="H25" s="196">
        <v>3632.2</v>
      </c>
      <c r="I25" s="99"/>
    </row>
    <row r="26" spans="2:9" x14ac:dyDescent="0.2">
      <c r="B26" s="13" t="s">
        <v>5</v>
      </c>
      <c r="C26" s="86" t="s">
        <v>22</v>
      </c>
      <c r="D26" s="245" t="s">
        <v>120</v>
      </c>
      <c r="E26" s="246"/>
      <c r="F26" s="247"/>
      <c r="G26" s="31"/>
      <c r="H26" s="15">
        <f>TRUNC(H$25*$G26,2)</f>
        <v>0</v>
      </c>
      <c r="I26" s="95"/>
    </row>
    <row r="27" spans="2:9" x14ac:dyDescent="0.2">
      <c r="B27" s="13" t="s">
        <v>6</v>
      </c>
      <c r="C27" s="87" t="s">
        <v>23</v>
      </c>
      <c r="D27" s="164" t="s">
        <v>159</v>
      </c>
      <c r="E27" s="175" t="s">
        <v>183</v>
      </c>
      <c r="F27" s="174">
        <v>1621</v>
      </c>
      <c r="G27" s="31"/>
      <c r="H27" s="15">
        <f>TRUNC(F$27*$G27,2)</f>
        <v>0</v>
      </c>
      <c r="I27" s="95"/>
    </row>
    <row r="28" spans="2:9" x14ac:dyDescent="0.2">
      <c r="B28" s="13" t="s">
        <v>7</v>
      </c>
      <c r="C28" s="87" t="s">
        <v>0</v>
      </c>
      <c r="D28" s="245" t="s">
        <v>166</v>
      </c>
      <c r="E28" s="246"/>
      <c r="F28" s="247"/>
      <c r="G28" s="32"/>
      <c r="H28" s="65">
        <f>TRUNC(((H$25+H26)*$G28)/220*8*15,2)</f>
        <v>0</v>
      </c>
      <c r="I28" s="96"/>
    </row>
    <row r="29" spans="2:9" x14ac:dyDescent="0.2">
      <c r="B29" s="115" t="s">
        <v>8</v>
      </c>
      <c r="C29" s="116" t="s">
        <v>24</v>
      </c>
      <c r="D29" s="266" t="s">
        <v>166</v>
      </c>
      <c r="E29" s="267"/>
      <c r="F29" s="268"/>
      <c r="G29" s="117"/>
      <c r="H29" s="118">
        <f>TRUNC(((H25+H26)*$G29)/220*1*15,2)</f>
        <v>0</v>
      </c>
      <c r="I29" s="119" t="s">
        <v>171</v>
      </c>
    </row>
    <row r="30" spans="2:9" x14ac:dyDescent="0.2">
      <c r="B30" s="13" t="s">
        <v>9</v>
      </c>
      <c r="C30" s="87" t="s">
        <v>2</v>
      </c>
      <c r="D30" s="245"/>
      <c r="E30" s="246"/>
      <c r="F30" s="247"/>
      <c r="G30" s="32"/>
      <c r="H30" s="46"/>
      <c r="I30" s="97"/>
    </row>
    <row r="31" spans="2:9" x14ac:dyDescent="0.2">
      <c r="B31" s="13" t="s">
        <v>121</v>
      </c>
      <c r="C31" s="230" t="s">
        <v>57</v>
      </c>
      <c r="D31" s="241"/>
      <c r="E31" s="241"/>
      <c r="F31" s="231"/>
      <c r="G31" s="26"/>
      <c r="H31" s="16">
        <f>SUM(H25:H30)</f>
        <v>3632.2</v>
      </c>
      <c r="I31" s="17"/>
    </row>
    <row r="32" spans="2:9" ht="22.5" x14ac:dyDescent="0.2">
      <c r="B32" s="92"/>
      <c r="C32" s="260" t="s">
        <v>112</v>
      </c>
      <c r="D32" s="261"/>
      <c r="E32" s="261"/>
      <c r="F32" s="262"/>
      <c r="G32" s="49" t="s">
        <v>104</v>
      </c>
      <c r="H32" s="48" t="s">
        <v>114</v>
      </c>
      <c r="I32" s="2"/>
    </row>
    <row r="33" spans="2:9" x14ac:dyDescent="0.2">
      <c r="B33" s="92"/>
      <c r="C33" s="263"/>
      <c r="D33" s="264"/>
      <c r="E33" s="264"/>
      <c r="F33" s="265"/>
      <c r="G33" s="47"/>
      <c r="H33" s="33">
        <f>IF($G$33="",0,TRUNC((H25+H26+H27)/220,2))</f>
        <v>0</v>
      </c>
      <c r="I33" s="98"/>
    </row>
    <row r="34" spans="2:9" x14ac:dyDescent="0.2">
      <c r="B34" s="92"/>
      <c r="C34" s="92"/>
      <c r="D34" s="92"/>
      <c r="E34" s="92"/>
      <c r="F34" s="92"/>
      <c r="G34" s="92"/>
      <c r="H34" s="66"/>
      <c r="I34" s="17"/>
    </row>
    <row r="35" spans="2:9" x14ac:dyDescent="0.2">
      <c r="B35" s="92"/>
      <c r="C35" s="92"/>
      <c r="D35" s="92"/>
      <c r="E35" s="92"/>
      <c r="F35" s="92"/>
      <c r="G35" s="92"/>
      <c r="H35" s="66"/>
      <c r="I35" s="17"/>
    </row>
    <row r="36" spans="2:9" ht="12.75" customHeight="1" x14ac:dyDescent="0.2">
      <c r="B36" s="269" t="s">
        <v>63</v>
      </c>
      <c r="C36" s="270"/>
      <c r="D36" s="270"/>
      <c r="E36" s="270"/>
      <c r="F36" s="271"/>
      <c r="G36" s="138"/>
      <c r="H36" s="139"/>
      <c r="I36" s="93"/>
    </row>
    <row r="37" spans="2:9" x14ac:dyDescent="0.2">
      <c r="B37" s="272"/>
      <c r="C37" s="273"/>
      <c r="D37" s="273"/>
      <c r="E37" s="273"/>
      <c r="F37" s="273"/>
      <c r="G37" s="55"/>
      <c r="H37" s="55"/>
      <c r="I37" s="93"/>
    </row>
    <row r="38" spans="2:9" x14ac:dyDescent="0.2">
      <c r="B38" s="272" t="s">
        <v>34</v>
      </c>
      <c r="C38" s="273"/>
      <c r="D38" s="273"/>
      <c r="E38" s="273"/>
      <c r="F38" s="274"/>
      <c r="G38" s="55"/>
      <c r="H38" s="55"/>
      <c r="I38" s="93"/>
    </row>
    <row r="39" spans="2:9" x14ac:dyDescent="0.2">
      <c r="B39" s="137" t="s">
        <v>36</v>
      </c>
      <c r="C39" s="230" t="s">
        <v>25</v>
      </c>
      <c r="D39" s="241"/>
      <c r="E39" s="241"/>
      <c r="F39" s="231"/>
      <c r="G39" s="88" t="s">
        <v>1</v>
      </c>
      <c r="H39" s="88" t="s">
        <v>47</v>
      </c>
      <c r="I39" s="93"/>
    </row>
    <row r="40" spans="2:9" x14ac:dyDescent="0.2">
      <c r="B40" s="13" t="s">
        <v>4</v>
      </c>
      <c r="C40" s="86" t="s">
        <v>105</v>
      </c>
      <c r="D40" s="245" t="s">
        <v>122</v>
      </c>
      <c r="E40" s="246"/>
      <c r="F40" s="247"/>
      <c r="G40" s="143">
        <f>1/12</f>
        <v>8.3333333333333329E-2</v>
      </c>
      <c r="H40" s="144">
        <f>TRUNC((H$31*$G40),2)</f>
        <v>302.68</v>
      </c>
      <c r="I40" s="99"/>
    </row>
    <row r="41" spans="2:9" x14ac:dyDescent="0.2">
      <c r="B41" s="13" t="s">
        <v>5</v>
      </c>
      <c r="C41" s="86" t="s">
        <v>61</v>
      </c>
      <c r="D41" s="245" t="s">
        <v>124</v>
      </c>
      <c r="E41" s="246"/>
      <c r="F41" s="247"/>
      <c r="G41" s="18">
        <f>(1/12)+(1/3/12)</f>
        <v>0.1111111111111111</v>
      </c>
      <c r="H41" s="19">
        <f>TRUNC((H$31*$G41),2)</f>
        <v>403.57</v>
      </c>
      <c r="I41" s="99"/>
    </row>
    <row r="42" spans="2:9" x14ac:dyDescent="0.2">
      <c r="B42" s="13" t="s">
        <v>123</v>
      </c>
      <c r="C42" s="230" t="s">
        <v>57</v>
      </c>
      <c r="D42" s="241"/>
      <c r="E42" s="241"/>
      <c r="F42" s="231"/>
      <c r="G42" s="20">
        <f>TRUNC(SUM(G40:G41),4)</f>
        <v>0.19439999999999999</v>
      </c>
      <c r="H42" s="16">
        <f>SUM(H40:H41)</f>
        <v>706.25</v>
      </c>
      <c r="I42" s="17"/>
    </row>
    <row r="43" spans="2:9" x14ac:dyDescent="0.2">
      <c r="B43" s="281"/>
      <c r="C43" s="282"/>
      <c r="D43" s="282"/>
      <c r="E43" s="282"/>
      <c r="F43" s="282"/>
      <c r="G43" s="282"/>
      <c r="H43" s="283"/>
      <c r="I43" s="92"/>
    </row>
    <row r="44" spans="2:9" ht="30" customHeight="1" x14ac:dyDescent="0.2">
      <c r="B44" s="288" t="s">
        <v>64</v>
      </c>
      <c r="C44" s="289"/>
      <c r="D44" s="289"/>
      <c r="E44" s="289"/>
      <c r="F44" s="290"/>
      <c r="G44" s="141"/>
      <c r="H44" s="142"/>
      <c r="I44" s="100"/>
    </row>
    <row r="45" spans="2:9" x14ac:dyDescent="0.2">
      <c r="B45" s="88" t="s">
        <v>37</v>
      </c>
      <c r="C45" s="230" t="s">
        <v>65</v>
      </c>
      <c r="D45" s="241"/>
      <c r="E45" s="241"/>
      <c r="F45" s="231"/>
      <c r="G45" s="88" t="s">
        <v>1</v>
      </c>
      <c r="H45" s="88" t="s">
        <v>47</v>
      </c>
      <c r="I45" s="93"/>
    </row>
    <row r="46" spans="2:9" x14ac:dyDescent="0.2">
      <c r="B46" s="13" t="s">
        <v>4</v>
      </c>
      <c r="C46" s="86" t="s">
        <v>28</v>
      </c>
      <c r="D46" s="245" t="s">
        <v>125</v>
      </c>
      <c r="E46" s="246"/>
      <c r="F46" s="247"/>
      <c r="G46" s="18">
        <v>0.2</v>
      </c>
      <c r="H46" s="19">
        <f>TRUNC((H$31+H$42)*$G46,2)</f>
        <v>867.69</v>
      </c>
      <c r="I46" s="99"/>
    </row>
    <row r="47" spans="2:9" x14ac:dyDescent="0.2">
      <c r="B47" s="13" t="s">
        <v>5</v>
      </c>
      <c r="C47" s="74" t="s">
        <v>29</v>
      </c>
      <c r="D47" s="291" t="s">
        <v>126</v>
      </c>
      <c r="E47" s="292"/>
      <c r="F47" s="293"/>
      <c r="G47" s="18">
        <v>2.5000000000000001E-2</v>
      </c>
      <c r="H47" s="19">
        <f>TRUNC((H$31+H$42)*$G47,2)</f>
        <v>108.46</v>
      </c>
      <c r="I47" s="99"/>
    </row>
    <row r="48" spans="2:9" x14ac:dyDescent="0.2">
      <c r="B48" s="275" t="s">
        <v>6</v>
      </c>
      <c r="C48" s="277" t="s">
        <v>97</v>
      </c>
      <c r="D48" s="279" t="s">
        <v>132</v>
      </c>
      <c r="E48" s="8" t="s">
        <v>98</v>
      </c>
      <c r="F48" s="8" t="s">
        <v>96</v>
      </c>
      <c r="G48" s="284">
        <f>E49*F49</f>
        <v>0.06</v>
      </c>
      <c r="H48" s="286">
        <f>TRUNC((H$31+H$42)*$G48,2)</f>
        <v>260.3</v>
      </c>
      <c r="I48" s="101"/>
    </row>
    <row r="49" spans="2:9" x14ac:dyDescent="0.2">
      <c r="B49" s="276"/>
      <c r="C49" s="278"/>
      <c r="D49" s="280"/>
      <c r="E49" s="34">
        <v>0.03</v>
      </c>
      <c r="F49" s="35">
        <v>2</v>
      </c>
      <c r="G49" s="285"/>
      <c r="H49" s="287"/>
      <c r="I49" s="101"/>
    </row>
    <row r="50" spans="2:9" x14ac:dyDescent="0.2">
      <c r="B50" s="13" t="s">
        <v>7</v>
      </c>
      <c r="C50" s="86" t="s">
        <v>27</v>
      </c>
      <c r="D50" s="245" t="s">
        <v>127</v>
      </c>
      <c r="E50" s="246"/>
      <c r="F50" s="247"/>
      <c r="G50" s="18">
        <v>1.4999999999999999E-2</v>
      </c>
      <c r="H50" s="19">
        <f>TRUNC((H$31+H$42)*$G50,2)</f>
        <v>65.069999999999993</v>
      </c>
      <c r="I50" s="99"/>
    </row>
    <row r="51" spans="2:9" x14ac:dyDescent="0.2">
      <c r="B51" s="13" t="s">
        <v>8</v>
      </c>
      <c r="C51" s="86" t="s">
        <v>30</v>
      </c>
      <c r="D51" s="245" t="s">
        <v>128</v>
      </c>
      <c r="E51" s="246"/>
      <c r="F51" s="247"/>
      <c r="G51" s="18">
        <v>0.01</v>
      </c>
      <c r="H51" s="19">
        <f>TRUNC((H$31+H$42)*$G51,2)</f>
        <v>43.38</v>
      </c>
      <c r="I51" s="99"/>
    </row>
    <row r="52" spans="2:9" x14ac:dyDescent="0.2">
      <c r="B52" s="13" t="s">
        <v>9</v>
      </c>
      <c r="C52" s="86" t="s">
        <v>31</v>
      </c>
      <c r="D52" s="245" t="s">
        <v>129</v>
      </c>
      <c r="E52" s="246"/>
      <c r="F52" s="247"/>
      <c r="G52" s="18">
        <v>6.0000000000000001E-3</v>
      </c>
      <c r="H52" s="19">
        <f>TRUNC((H$31+H$42)*$G52,2)</f>
        <v>26.03</v>
      </c>
      <c r="I52" s="99"/>
    </row>
    <row r="53" spans="2:9" x14ac:dyDescent="0.2">
      <c r="B53" s="13" t="s">
        <v>10</v>
      </c>
      <c r="C53" s="86" t="s">
        <v>32</v>
      </c>
      <c r="D53" s="245" t="s">
        <v>130</v>
      </c>
      <c r="E53" s="246"/>
      <c r="F53" s="247"/>
      <c r="G53" s="18">
        <v>2E-3</v>
      </c>
      <c r="H53" s="19">
        <f>TRUNC((H$31+H$42)*$G53,2)</f>
        <v>8.67</v>
      </c>
      <c r="I53" s="99"/>
    </row>
    <row r="54" spans="2:9" x14ac:dyDescent="0.2">
      <c r="B54" s="13" t="s">
        <v>11</v>
      </c>
      <c r="C54" s="86" t="s">
        <v>33</v>
      </c>
      <c r="D54" s="245" t="s">
        <v>131</v>
      </c>
      <c r="E54" s="246"/>
      <c r="F54" s="247"/>
      <c r="G54" s="18">
        <v>0.08</v>
      </c>
      <c r="H54" s="19">
        <f>TRUNC((H$31+H$42)*$G54,2)</f>
        <v>347.07</v>
      </c>
      <c r="I54" s="99"/>
    </row>
    <row r="55" spans="2:9" x14ac:dyDescent="0.2">
      <c r="B55" s="13" t="s">
        <v>133</v>
      </c>
      <c r="C55" s="230" t="s">
        <v>57</v>
      </c>
      <c r="D55" s="241"/>
      <c r="E55" s="241"/>
      <c r="F55" s="231"/>
      <c r="G55" s="21">
        <f>SUM(G46:G54)</f>
        <v>0.39800000000000008</v>
      </c>
      <c r="H55" s="16">
        <f>SUM(H46:H54)</f>
        <v>1726.67</v>
      </c>
      <c r="I55" s="17"/>
    </row>
    <row r="56" spans="2:9" x14ac:dyDescent="0.2">
      <c r="B56" s="294"/>
      <c r="C56" s="295"/>
      <c r="D56" s="295"/>
      <c r="E56" s="295"/>
      <c r="F56" s="295"/>
      <c r="G56" s="295"/>
      <c r="H56" s="296"/>
      <c r="I56" s="110"/>
    </row>
    <row r="57" spans="2:9" ht="12.75" customHeight="1" x14ac:dyDescent="0.2">
      <c r="B57" s="288" t="s">
        <v>35</v>
      </c>
      <c r="C57" s="289"/>
      <c r="D57" s="289"/>
      <c r="E57" s="289"/>
      <c r="F57" s="290"/>
      <c r="G57" s="141"/>
      <c r="H57" s="142"/>
      <c r="I57" s="110"/>
    </row>
    <row r="58" spans="2:9" x14ac:dyDescent="0.2">
      <c r="B58" s="88" t="s">
        <v>38</v>
      </c>
      <c r="C58" s="230" t="s">
        <v>39</v>
      </c>
      <c r="D58" s="241"/>
      <c r="E58" s="241"/>
      <c r="F58" s="241"/>
      <c r="G58" s="75"/>
      <c r="H58" s="88" t="s">
        <v>47</v>
      </c>
      <c r="I58" s="93"/>
    </row>
    <row r="59" spans="2:9" ht="12.75" customHeight="1" x14ac:dyDescent="0.2">
      <c r="B59" s="13" t="s">
        <v>4</v>
      </c>
      <c r="C59" s="86" t="s">
        <v>45</v>
      </c>
      <c r="D59" s="164" t="s">
        <v>327</v>
      </c>
      <c r="E59" s="165"/>
      <c r="F59" s="165"/>
      <c r="G59" s="166"/>
      <c r="H59" s="215">
        <f>IF((TRUNC((9.4*2*22)-(H$25*6%),2))&lt;0,"0,00",(TRUNC((9.4*2*22)-(H$25*6%),2)))</f>
        <v>195.66</v>
      </c>
      <c r="I59" s="111"/>
    </row>
    <row r="60" spans="2:9" ht="12.75" customHeight="1" x14ac:dyDescent="0.2">
      <c r="B60" s="13" t="s">
        <v>5</v>
      </c>
      <c r="C60" s="86" t="s">
        <v>46</v>
      </c>
      <c r="D60" s="164" t="s">
        <v>325</v>
      </c>
      <c r="E60" s="165"/>
      <c r="F60" s="165"/>
      <c r="G60" s="166"/>
      <c r="H60" s="215">
        <v>1114.74</v>
      </c>
      <c r="I60" s="111"/>
    </row>
    <row r="61" spans="2:9" x14ac:dyDescent="0.2">
      <c r="B61" s="13" t="s">
        <v>6</v>
      </c>
      <c r="C61" s="86" t="s">
        <v>193</v>
      </c>
      <c r="D61" s="164" t="s">
        <v>194</v>
      </c>
      <c r="E61" s="165"/>
      <c r="F61" s="165"/>
      <c r="G61" s="166"/>
      <c r="H61" s="36">
        <v>110</v>
      </c>
      <c r="I61" s="111"/>
    </row>
    <row r="62" spans="2:9" x14ac:dyDescent="0.2">
      <c r="B62" s="13" t="s">
        <v>7</v>
      </c>
      <c r="C62" s="86" t="s">
        <v>204</v>
      </c>
      <c r="D62" s="164" t="s">
        <v>201</v>
      </c>
      <c r="E62" s="165"/>
      <c r="F62" s="165"/>
      <c r="G62" s="166"/>
      <c r="H62" s="36">
        <v>44.69</v>
      </c>
      <c r="I62" s="111"/>
    </row>
    <row r="63" spans="2:9" x14ac:dyDescent="0.2">
      <c r="B63" s="13" t="s">
        <v>8</v>
      </c>
      <c r="C63" s="86" t="s">
        <v>326</v>
      </c>
      <c r="D63" s="164" t="s">
        <v>324</v>
      </c>
      <c r="E63" s="165"/>
      <c r="F63" s="165"/>
      <c r="G63" s="166"/>
      <c r="H63" s="215">
        <v>871.98</v>
      </c>
      <c r="I63" s="111"/>
    </row>
    <row r="64" spans="2:9" s="67" customFormat="1" x14ac:dyDescent="0.2">
      <c r="B64" s="13" t="s">
        <v>9</v>
      </c>
      <c r="C64" s="86" t="s">
        <v>195</v>
      </c>
      <c r="D64" s="164" t="s">
        <v>196</v>
      </c>
      <c r="E64" s="165"/>
      <c r="F64" s="165"/>
      <c r="G64" s="166"/>
      <c r="H64" s="36">
        <v>325</v>
      </c>
      <c r="I64" s="111"/>
    </row>
    <row r="65" spans="2:9" x14ac:dyDescent="0.2">
      <c r="B65" s="13" t="s">
        <v>134</v>
      </c>
      <c r="C65" s="230" t="s">
        <v>57</v>
      </c>
      <c r="D65" s="241"/>
      <c r="E65" s="241"/>
      <c r="F65" s="241"/>
      <c r="G65" s="75"/>
      <c r="H65" s="16">
        <f>SUM(H59:H64)</f>
        <v>2662.07</v>
      </c>
      <c r="I65" s="17"/>
    </row>
    <row r="66" spans="2:9" x14ac:dyDescent="0.2">
      <c r="B66" s="281"/>
      <c r="C66" s="282"/>
      <c r="D66" s="282"/>
      <c r="E66" s="282"/>
      <c r="F66" s="282"/>
      <c r="G66" s="282"/>
      <c r="H66" s="282"/>
      <c r="I66" s="92"/>
    </row>
    <row r="67" spans="2:9" x14ac:dyDescent="0.2">
      <c r="B67" s="297" t="s">
        <v>67</v>
      </c>
      <c r="C67" s="298"/>
      <c r="D67" s="298"/>
      <c r="E67" s="298"/>
      <c r="F67" s="298"/>
      <c r="G67" s="145"/>
      <c r="H67" s="145"/>
      <c r="I67" s="92"/>
    </row>
    <row r="68" spans="2:9" x14ac:dyDescent="0.2">
      <c r="B68" s="88">
        <v>2</v>
      </c>
      <c r="C68" s="230" t="s">
        <v>66</v>
      </c>
      <c r="D68" s="241"/>
      <c r="E68" s="241"/>
      <c r="F68" s="241"/>
      <c r="G68" s="75"/>
      <c r="H68" s="88" t="s">
        <v>47</v>
      </c>
      <c r="I68" s="93"/>
    </row>
    <row r="69" spans="2:9" x14ac:dyDescent="0.2">
      <c r="B69" s="13" t="s">
        <v>36</v>
      </c>
      <c r="C69" s="76" t="s">
        <v>25</v>
      </c>
      <c r="D69" s="164" t="s">
        <v>123</v>
      </c>
      <c r="E69" s="165"/>
      <c r="F69" s="165"/>
      <c r="G69" s="166"/>
      <c r="H69" s="19">
        <f>H42</f>
        <v>706.25</v>
      </c>
      <c r="I69" s="99"/>
    </row>
    <row r="70" spans="2:9" x14ac:dyDescent="0.2">
      <c r="B70" s="13" t="s">
        <v>37</v>
      </c>
      <c r="C70" s="76" t="s">
        <v>26</v>
      </c>
      <c r="D70" s="164" t="s">
        <v>133</v>
      </c>
      <c r="E70" s="165"/>
      <c r="F70" s="165"/>
      <c r="G70" s="166"/>
      <c r="H70" s="19">
        <f>H55</f>
        <v>1726.67</v>
      </c>
      <c r="I70" s="99"/>
    </row>
    <row r="71" spans="2:9" x14ac:dyDescent="0.2">
      <c r="B71" s="13" t="s">
        <v>38</v>
      </c>
      <c r="C71" s="76" t="s">
        <v>39</v>
      </c>
      <c r="D71" s="164" t="s">
        <v>134</v>
      </c>
      <c r="E71" s="165"/>
      <c r="F71" s="165"/>
      <c r="G71" s="166"/>
      <c r="H71" s="19">
        <f>H65</f>
        <v>2662.07</v>
      </c>
      <c r="I71" s="99"/>
    </row>
    <row r="72" spans="2:9" x14ac:dyDescent="0.2">
      <c r="B72" s="13" t="s">
        <v>135</v>
      </c>
      <c r="C72" s="230" t="s">
        <v>57</v>
      </c>
      <c r="D72" s="241"/>
      <c r="E72" s="241"/>
      <c r="F72" s="241"/>
      <c r="G72" s="75"/>
      <c r="H72" s="16">
        <f>SUM(H69:H71)</f>
        <v>5094.99</v>
      </c>
      <c r="I72" s="17"/>
    </row>
    <row r="73" spans="2:9" x14ac:dyDescent="0.2">
      <c r="B73" s="282"/>
      <c r="C73" s="282"/>
      <c r="D73" s="282"/>
      <c r="E73" s="282"/>
      <c r="F73" s="282"/>
      <c r="G73" s="282"/>
      <c r="H73" s="282"/>
      <c r="I73" s="93"/>
    </row>
    <row r="74" spans="2:9" x14ac:dyDescent="0.2">
      <c r="B74" s="92"/>
      <c r="C74" s="92"/>
      <c r="D74" s="92"/>
      <c r="E74" s="92"/>
      <c r="F74" s="92"/>
      <c r="G74" s="92"/>
      <c r="H74" s="92"/>
      <c r="I74" s="93"/>
    </row>
    <row r="75" spans="2:9" x14ac:dyDescent="0.2">
      <c r="B75" s="269" t="s">
        <v>68</v>
      </c>
      <c r="C75" s="270"/>
      <c r="D75" s="270"/>
      <c r="E75" s="270"/>
      <c r="F75" s="271"/>
      <c r="G75" s="138"/>
      <c r="H75" s="139"/>
      <c r="I75" s="93"/>
    </row>
    <row r="76" spans="2:9" x14ac:dyDescent="0.2">
      <c r="B76" s="88">
        <v>3</v>
      </c>
      <c r="C76" s="230" t="s">
        <v>58</v>
      </c>
      <c r="D76" s="241"/>
      <c r="E76" s="241"/>
      <c r="F76" s="231"/>
      <c r="G76" s="88" t="s">
        <v>1</v>
      </c>
      <c r="H76" s="88" t="s">
        <v>47</v>
      </c>
      <c r="I76" s="93"/>
    </row>
    <row r="77" spans="2:9" x14ac:dyDescent="0.2">
      <c r="B77" s="13" t="s">
        <v>4</v>
      </c>
      <c r="C77" s="86" t="s">
        <v>185</v>
      </c>
      <c r="D77" s="245" t="s">
        <v>160</v>
      </c>
      <c r="E77" s="247"/>
      <c r="F77" s="181">
        <f>TRUNC(H$54*0.4,2)</f>
        <v>138.82</v>
      </c>
      <c r="G77" s="182"/>
      <c r="H77" s="183"/>
      <c r="I77" s="17"/>
    </row>
    <row r="78" spans="2:9" x14ac:dyDescent="0.2">
      <c r="B78" s="13" t="s">
        <v>5</v>
      </c>
      <c r="C78" s="86" t="s">
        <v>94</v>
      </c>
      <c r="D78" s="299" t="s">
        <v>168</v>
      </c>
      <c r="E78" s="300"/>
      <c r="F78" s="181">
        <f>TRUNC((H$31+H$42+H$54+H$65-H59)/12,2)</f>
        <v>595.99</v>
      </c>
      <c r="G78" s="184"/>
      <c r="H78" s="182"/>
      <c r="I78" s="99"/>
    </row>
    <row r="79" spans="2:9" x14ac:dyDescent="0.2">
      <c r="B79" s="13" t="s">
        <v>6</v>
      </c>
      <c r="C79" s="77" t="s">
        <v>93</v>
      </c>
      <c r="D79" s="164" t="s">
        <v>186</v>
      </c>
      <c r="E79" s="165"/>
      <c r="F79" s="185"/>
      <c r="G79" s="37">
        <v>0.5</v>
      </c>
      <c r="H79" s="22">
        <f>TRUNC((F$78+F77)*$G79,2)</f>
        <v>367.4</v>
      </c>
      <c r="I79" s="186"/>
    </row>
    <row r="80" spans="2:9" x14ac:dyDescent="0.2">
      <c r="B80" s="13" t="s">
        <v>7</v>
      </c>
      <c r="C80" s="77" t="s">
        <v>95</v>
      </c>
      <c r="D80" s="164" t="s">
        <v>187</v>
      </c>
      <c r="E80" s="165"/>
      <c r="F80" s="166"/>
      <c r="G80" s="176">
        <f>1-G79</f>
        <v>0.5</v>
      </c>
      <c r="H80" s="80">
        <f>(TRUNC(F$77*$G80,2))</f>
        <v>69.41</v>
      </c>
      <c r="I80" s="99"/>
    </row>
    <row r="81" spans="2:9" x14ac:dyDescent="0.2">
      <c r="B81" s="13" t="s">
        <v>8</v>
      </c>
      <c r="C81" s="77" t="s">
        <v>165</v>
      </c>
      <c r="D81" s="299" t="s">
        <v>182</v>
      </c>
      <c r="E81" s="300"/>
      <c r="F81" s="38">
        <v>12</v>
      </c>
      <c r="G81" s="38">
        <v>3</v>
      </c>
      <c r="H81" s="19">
        <f>TRUNC(((H$31+H$42+H$55)/30)*$G81/$F81,2)</f>
        <v>50.54</v>
      </c>
      <c r="I81" s="99"/>
    </row>
    <row r="82" spans="2:9" x14ac:dyDescent="0.2">
      <c r="B82" s="13" t="s">
        <v>137</v>
      </c>
      <c r="C82" s="230" t="s">
        <v>57</v>
      </c>
      <c r="D82" s="241"/>
      <c r="E82" s="241"/>
      <c r="F82" s="241"/>
      <c r="G82" s="75"/>
      <c r="H82" s="16">
        <f>H$79+H$80+H$81</f>
        <v>487.34999999999997</v>
      </c>
      <c r="I82" s="17"/>
    </row>
    <row r="83" spans="2:9" x14ac:dyDescent="0.2">
      <c r="B83" s="89"/>
      <c r="C83" s="89"/>
      <c r="D83" s="89"/>
      <c r="E83" s="89"/>
      <c r="F83" s="89"/>
      <c r="G83" s="89"/>
      <c r="H83" s="89"/>
      <c r="I83" s="89"/>
    </row>
    <row r="84" spans="2:9" x14ac:dyDescent="0.2">
      <c r="B84" s="92"/>
      <c r="C84" s="92"/>
      <c r="D84" s="92"/>
      <c r="E84" s="92"/>
      <c r="F84" s="92"/>
      <c r="G84" s="92"/>
      <c r="H84" s="92"/>
      <c r="I84" s="93"/>
    </row>
    <row r="85" spans="2:9" x14ac:dyDescent="0.2">
      <c r="B85" s="269" t="s">
        <v>69</v>
      </c>
      <c r="C85" s="270"/>
      <c r="D85" s="270"/>
      <c r="E85" s="270"/>
      <c r="F85" s="271"/>
      <c r="G85" s="138"/>
      <c r="H85" s="139"/>
      <c r="I85" s="93"/>
    </row>
    <row r="86" spans="2:9" x14ac:dyDescent="0.2">
      <c r="B86" s="272" t="s">
        <v>87</v>
      </c>
      <c r="C86" s="273"/>
      <c r="D86" s="273"/>
      <c r="E86" s="273"/>
      <c r="F86" s="273"/>
      <c r="G86" s="146"/>
      <c r="H86" s="147"/>
      <c r="I86" s="93"/>
    </row>
    <row r="87" spans="2:9" x14ac:dyDescent="0.2">
      <c r="B87" s="88" t="s">
        <v>12</v>
      </c>
      <c r="C87" s="230" t="s">
        <v>88</v>
      </c>
      <c r="D87" s="241"/>
      <c r="E87" s="241"/>
      <c r="F87" s="231"/>
      <c r="G87" s="88" t="s">
        <v>99</v>
      </c>
      <c r="H87" s="88" t="s">
        <v>47</v>
      </c>
      <c r="I87" s="93"/>
    </row>
    <row r="88" spans="2:9" x14ac:dyDescent="0.2">
      <c r="B88" s="13" t="s">
        <v>4</v>
      </c>
      <c r="C88" s="86" t="s">
        <v>184</v>
      </c>
      <c r="D88" s="164" t="s">
        <v>143</v>
      </c>
      <c r="E88" s="165"/>
      <c r="F88" s="166"/>
      <c r="G88" s="38">
        <v>30</v>
      </c>
      <c r="H88" s="19">
        <f>TRUNC((F$90*$G88)/12,2)</f>
        <v>767.87</v>
      </c>
      <c r="I88" s="99"/>
    </row>
    <row r="89" spans="2:9" ht="22.5" x14ac:dyDescent="0.2">
      <c r="B89" s="13" t="s">
        <v>5</v>
      </c>
      <c r="C89" s="78" t="s">
        <v>149</v>
      </c>
      <c r="D89" s="167" t="s">
        <v>150</v>
      </c>
      <c r="E89" s="168"/>
      <c r="F89" s="169"/>
      <c r="G89" s="54">
        <v>8</v>
      </c>
      <c r="H89" s="19">
        <f>TRUNC((F$90*$G89)/12,2)</f>
        <v>204.76</v>
      </c>
      <c r="I89" s="99"/>
    </row>
    <row r="90" spans="2:9" x14ac:dyDescent="0.2">
      <c r="B90" s="13" t="s">
        <v>6</v>
      </c>
      <c r="C90" s="86" t="s">
        <v>106</v>
      </c>
      <c r="D90" s="164" t="s">
        <v>136</v>
      </c>
      <c r="E90" s="165"/>
      <c r="F90" s="180">
        <f>TRUNC((H$31+H$72+H$82)/30,2)</f>
        <v>307.14999999999998</v>
      </c>
      <c r="G90" s="179"/>
      <c r="H90" s="178"/>
      <c r="I90" s="177"/>
    </row>
    <row r="91" spans="2:9" x14ac:dyDescent="0.2">
      <c r="B91" s="13" t="s">
        <v>7</v>
      </c>
      <c r="C91" s="76" t="s">
        <v>289</v>
      </c>
      <c r="D91" s="245" t="s">
        <v>330</v>
      </c>
      <c r="E91" s="246"/>
      <c r="F91" s="246"/>
      <c r="G91" s="179"/>
      <c r="H91" s="19">
        <f>2*F90/12</f>
        <v>51.191666666666663</v>
      </c>
      <c r="I91" s="177"/>
    </row>
    <row r="92" spans="2:9" x14ac:dyDescent="0.2">
      <c r="B92" s="13" t="s">
        <v>138</v>
      </c>
      <c r="C92" s="230" t="s">
        <v>57</v>
      </c>
      <c r="D92" s="241"/>
      <c r="E92" s="241"/>
      <c r="F92" s="241"/>
      <c r="G92" s="75"/>
      <c r="H92" s="16">
        <f>SUM(H88:H91)</f>
        <v>1023.8216666666667</v>
      </c>
      <c r="I92" s="17"/>
    </row>
    <row r="93" spans="2:9" x14ac:dyDescent="0.2">
      <c r="B93" s="68"/>
      <c r="C93" s="69"/>
      <c r="D93" s="69"/>
      <c r="E93" s="69"/>
      <c r="F93" s="69"/>
      <c r="G93" s="69"/>
      <c r="H93" s="70"/>
      <c r="I93" s="23"/>
    </row>
    <row r="94" spans="2:9" x14ac:dyDescent="0.2">
      <c r="B94" s="297" t="s">
        <v>89</v>
      </c>
      <c r="C94" s="298"/>
      <c r="D94" s="298"/>
      <c r="E94" s="298"/>
      <c r="F94" s="298"/>
      <c r="G94" s="148"/>
      <c r="H94" s="149"/>
      <c r="I94" s="93"/>
    </row>
    <row r="95" spans="2:9" x14ac:dyDescent="0.2">
      <c r="B95" s="88" t="s">
        <v>13</v>
      </c>
      <c r="C95" s="230" t="s">
        <v>90</v>
      </c>
      <c r="D95" s="241"/>
      <c r="E95" s="241"/>
      <c r="F95" s="231"/>
      <c r="G95" s="88" t="s">
        <v>99</v>
      </c>
      <c r="H95" s="88" t="s">
        <v>47</v>
      </c>
      <c r="I95" s="93"/>
    </row>
    <row r="96" spans="2:9" ht="22.5" x14ac:dyDescent="0.2">
      <c r="B96" s="13" t="s">
        <v>4</v>
      </c>
      <c r="C96" s="78" t="s">
        <v>91</v>
      </c>
      <c r="D96" s="164" t="s">
        <v>170</v>
      </c>
      <c r="E96" s="165"/>
      <c r="F96" s="165"/>
      <c r="G96" s="38"/>
      <c r="H96" s="19">
        <f>TRUNC(((H$31+H72+H82)/220)*(1+50%)*G96,2)</f>
        <v>0</v>
      </c>
      <c r="I96" s="99"/>
    </row>
    <row r="97" spans="2:9" x14ac:dyDescent="0.2">
      <c r="B97" s="13" t="s">
        <v>139</v>
      </c>
      <c r="C97" s="230" t="s">
        <v>57</v>
      </c>
      <c r="D97" s="241"/>
      <c r="E97" s="241"/>
      <c r="F97" s="241"/>
      <c r="G97" s="124"/>
      <c r="H97" s="16">
        <f>H96</f>
        <v>0</v>
      </c>
      <c r="I97" s="99"/>
    </row>
    <row r="98" spans="2:9" x14ac:dyDescent="0.2">
      <c r="B98" s="91"/>
      <c r="C98" s="90"/>
      <c r="D98" s="90"/>
      <c r="E98" s="90"/>
      <c r="F98" s="90"/>
      <c r="G98" s="92"/>
      <c r="H98" s="163"/>
      <c r="I98" s="114"/>
    </row>
    <row r="99" spans="2:9" x14ac:dyDescent="0.2">
      <c r="B99" s="297" t="s">
        <v>70</v>
      </c>
      <c r="C99" s="298"/>
      <c r="D99" s="298"/>
      <c r="E99" s="298"/>
      <c r="F99" s="298"/>
      <c r="G99" s="148"/>
      <c r="H99" s="149"/>
      <c r="I99" s="93"/>
    </row>
    <row r="100" spans="2:9" x14ac:dyDescent="0.2">
      <c r="B100" s="88">
        <v>4</v>
      </c>
      <c r="C100" s="230" t="s">
        <v>71</v>
      </c>
      <c r="D100" s="241"/>
      <c r="E100" s="241"/>
      <c r="F100" s="241"/>
      <c r="G100" s="231"/>
      <c r="H100" s="88" t="s">
        <v>47</v>
      </c>
      <c r="I100" s="93"/>
    </row>
    <row r="101" spans="2:9" x14ac:dyDescent="0.2">
      <c r="B101" s="13" t="s">
        <v>12</v>
      </c>
      <c r="C101" s="86" t="s">
        <v>40</v>
      </c>
      <c r="D101" s="164" t="s">
        <v>138</v>
      </c>
      <c r="E101" s="165"/>
      <c r="F101" s="165"/>
      <c r="G101" s="166"/>
      <c r="H101" s="19">
        <f>H92</f>
        <v>1023.8216666666667</v>
      </c>
      <c r="I101" s="99"/>
    </row>
    <row r="102" spans="2:9" x14ac:dyDescent="0.2">
      <c r="B102" s="13" t="s">
        <v>13</v>
      </c>
      <c r="C102" s="86" t="s">
        <v>42</v>
      </c>
      <c r="D102" s="164" t="s">
        <v>139</v>
      </c>
      <c r="E102" s="165"/>
      <c r="F102" s="165"/>
      <c r="G102" s="166"/>
      <c r="H102" s="19">
        <f>H97</f>
        <v>0</v>
      </c>
      <c r="I102" s="99"/>
    </row>
    <row r="103" spans="2:9" x14ac:dyDescent="0.2">
      <c r="B103" s="13" t="s">
        <v>140</v>
      </c>
      <c r="C103" s="230" t="s">
        <v>57</v>
      </c>
      <c r="D103" s="241"/>
      <c r="E103" s="241"/>
      <c r="F103" s="241"/>
      <c r="G103" s="75"/>
      <c r="H103" s="16">
        <f>SUM(H101:H102)</f>
        <v>1023.8216666666667</v>
      </c>
      <c r="I103" s="17"/>
    </row>
    <row r="104" spans="2:9" x14ac:dyDescent="0.2">
      <c r="B104" s="92"/>
      <c r="C104" s="92"/>
      <c r="D104" s="92"/>
      <c r="E104" s="92"/>
      <c r="F104" s="92"/>
      <c r="G104" s="92"/>
      <c r="H104" s="92"/>
      <c r="I104" s="93"/>
    </row>
    <row r="105" spans="2:9" x14ac:dyDescent="0.2">
      <c r="B105" s="92"/>
      <c r="C105" s="92"/>
      <c r="D105" s="92"/>
      <c r="E105" s="92"/>
      <c r="F105" s="92"/>
      <c r="G105" s="92"/>
      <c r="H105" s="92"/>
      <c r="I105" s="93"/>
    </row>
    <row r="106" spans="2:9" x14ac:dyDescent="0.2">
      <c r="B106" s="269" t="s">
        <v>72</v>
      </c>
      <c r="C106" s="270"/>
      <c r="D106" s="270"/>
      <c r="E106" s="270"/>
      <c r="F106" s="271"/>
      <c r="G106" s="138"/>
      <c r="H106" s="139"/>
      <c r="I106" s="93"/>
    </row>
    <row r="107" spans="2:9" x14ac:dyDescent="0.2">
      <c r="B107" s="88">
        <v>5</v>
      </c>
      <c r="C107" s="301" t="s">
        <v>59</v>
      </c>
      <c r="D107" s="302"/>
      <c r="E107" s="302"/>
      <c r="F107" s="302"/>
      <c r="G107" s="303"/>
      <c r="H107" s="88" t="s">
        <v>47</v>
      </c>
      <c r="I107" s="93"/>
    </row>
    <row r="108" spans="2:9" x14ac:dyDescent="0.2">
      <c r="B108" s="13" t="s">
        <v>4</v>
      </c>
      <c r="C108" s="62" t="s">
        <v>43</v>
      </c>
      <c r="D108" s="63"/>
      <c r="E108" s="63"/>
      <c r="F108" s="63"/>
      <c r="G108" s="64"/>
      <c r="H108" s="65">
        <v>0</v>
      </c>
      <c r="I108" s="99"/>
    </row>
    <row r="109" spans="2:9" x14ac:dyDescent="0.2">
      <c r="B109" s="13" t="s">
        <v>5</v>
      </c>
      <c r="C109" s="62" t="s">
        <v>285</v>
      </c>
      <c r="D109" s="63"/>
      <c r="E109" s="63"/>
      <c r="F109" s="63"/>
      <c r="G109" s="64"/>
      <c r="H109" s="65">
        <f>Insumos!H26</f>
        <v>11.38</v>
      </c>
      <c r="I109" s="99"/>
    </row>
    <row r="110" spans="2:9" x14ac:dyDescent="0.2">
      <c r="B110" s="13" t="s">
        <v>6</v>
      </c>
      <c r="C110" s="62" t="s">
        <v>2</v>
      </c>
      <c r="D110" s="63"/>
      <c r="E110" s="63"/>
      <c r="F110" s="63"/>
      <c r="G110" s="64"/>
      <c r="H110" s="65"/>
      <c r="I110" s="99"/>
    </row>
    <row r="111" spans="2:9" x14ac:dyDescent="0.2">
      <c r="B111" s="13" t="s">
        <v>141</v>
      </c>
      <c r="C111" s="230" t="s">
        <v>57</v>
      </c>
      <c r="D111" s="241"/>
      <c r="E111" s="241"/>
      <c r="F111" s="241"/>
      <c r="G111" s="75"/>
      <c r="H111" s="16">
        <f>SUM(H108:H110)</f>
        <v>11.38</v>
      </c>
      <c r="I111" s="17"/>
    </row>
    <row r="112" spans="2:9" x14ac:dyDescent="0.2">
      <c r="B112" s="92"/>
      <c r="C112" s="92"/>
      <c r="D112" s="92"/>
      <c r="E112" s="92"/>
      <c r="F112" s="92"/>
      <c r="G112" s="71"/>
      <c r="H112" s="66"/>
      <c r="I112" s="17"/>
    </row>
    <row r="113" spans="2:9" x14ac:dyDescent="0.2">
      <c r="B113" s="92"/>
      <c r="C113" s="92"/>
      <c r="D113" s="92"/>
      <c r="E113" s="92"/>
      <c r="F113" s="92"/>
      <c r="G113" s="92"/>
      <c r="H113" s="92"/>
      <c r="I113" s="93"/>
    </row>
    <row r="114" spans="2:9" x14ac:dyDescent="0.2">
      <c r="B114" s="269" t="s">
        <v>73</v>
      </c>
      <c r="C114" s="270"/>
      <c r="D114" s="270"/>
      <c r="E114" s="270"/>
      <c r="F114" s="271"/>
      <c r="G114" s="138"/>
      <c r="H114" s="139"/>
      <c r="I114" s="93"/>
    </row>
    <row r="115" spans="2:9" x14ac:dyDescent="0.2">
      <c r="B115" s="88">
        <v>6</v>
      </c>
      <c r="C115" s="230" t="s">
        <v>60</v>
      </c>
      <c r="D115" s="241"/>
      <c r="E115" s="241"/>
      <c r="F115" s="231"/>
      <c r="G115" s="88" t="s">
        <v>1</v>
      </c>
      <c r="H115" s="88" t="s">
        <v>47</v>
      </c>
      <c r="I115" s="93"/>
    </row>
    <row r="116" spans="2:9" x14ac:dyDescent="0.2">
      <c r="B116" s="13" t="s">
        <v>4</v>
      </c>
      <c r="C116" s="86" t="s">
        <v>14</v>
      </c>
      <c r="D116" s="245" t="s">
        <v>151</v>
      </c>
      <c r="E116" s="246"/>
      <c r="F116" s="247"/>
      <c r="G116" s="43">
        <v>0.05</v>
      </c>
      <c r="H116" s="19">
        <f>TRUNC(H$133*$G116,2)</f>
        <v>512.48</v>
      </c>
      <c r="I116" s="99"/>
    </row>
    <row r="117" spans="2:9" x14ac:dyDescent="0.2">
      <c r="B117" s="13" t="s">
        <v>5</v>
      </c>
      <c r="C117" s="86" t="s">
        <v>3</v>
      </c>
      <c r="D117" s="245" t="s">
        <v>152</v>
      </c>
      <c r="E117" s="246"/>
      <c r="F117" s="247"/>
      <c r="G117" s="43">
        <v>0.1</v>
      </c>
      <c r="H117" s="19">
        <f>TRUNC((H$133+H$116)*$G117,2)</f>
        <v>1076.22</v>
      </c>
      <c r="I117" s="99"/>
    </row>
    <row r="118" spans="2:9" x14ac:dyDescent="0.2">
      <c r="B118" s="13" t="s">
        <v>6</v>
      </c>
      <c r="C118" s="86" t="s">
        <v>110</v>
      </c>
      <c r="D118" s="245" t="s">
        <v>153</v>
      </c>
      <c r="E118" s="246"/>
      <c r="F118" s="247"/>
      <c r="G118" s="45">
        <f>1-(G119+G120+G121)</f>
        <v>0.85749999999999993</v>
      </c>
      <c r="H118" s="24">
        <f>TRUNC(((H$133+H$116+H$117)/$G118),2)</f>
        <v>13805.76</v>
      </c>
      <c r="I118" s="101"/>
    </row>
    <row r="119" spans="2:9" x14ac:dyDescent="0.2">
      <c r="B119" s="13" t="s">
        <v>19</v>
      </c>
      <c r="C119" s="86" t="s">
        <v>16</v>
      </c>
      <c r="D119" s="245" t="s">
        <v>154</v>
      </c>
      <c r="E119" s="246"/>
      <c r="F119" s="247"/>
      <c r="G119" s="44">
        <v>1.6500000000000001E-2</v>
      </c>
      <c r="H119" s="19">
        <f>TRUNC(H$118*$G119,2)</f>
        <v>227.79</v>
      </c>
      <c r="I119" s="99"/>
    </row>
    <row r="120" spans="2:9" x14ac:dyDescent="0.2">
      <c r="B120" s="13" t="s">
        <v>20</v>
      </c>
      <c r="C120" s="86" t="s">
        <v>17</v>
      </c>
      <c r="D120" s="245" t="s">
        <v>154</v>
      </c>
      <c r="E120" s="246"/>
      <c r="F120" s="247"/>
      <c r="G120" s="44">
        <v>7.5999999999999998E-2</v>
      </c>
      <c r="H120" s="19">
        <f>TRUNC(H$118*$G120,2)</f>
        <v>1049.23</v>
      </c>
      <c r="I120" s="99"/>
    </row>
    <row r="121" spans="2:9" x14ac:dyDescent="0.2">
      <c r="B121" s="13" t="s">
        <v>21</v>
      </c>
      <c r="C121" s="86" t="s">
        <v>18</v>
      </c>
      <c r="D121" s="245" t="s">
        <v>154</v>
      </c>
      <c r="E121" s="246"/>
      <c r="F121" s="247"/>
      <c r="G121" s="44">
        <v>0.05</v>
      </c>
      <c r="H121" s="19">
        <f>TRUNC(H$118*$G121,2)</f>
        <v>690.28</v>
      </c>
      <c r="I121" s="99"/>
    </row>
    <row r="122" spans="2:9" x14ac:dyDescent="0.2">
      <c r="B122" s="13" t="s">
        <v>142</v>
      </c>
      <c r="C122" s="82" t="s">
        <v>57</v>
      </c>
      <c r="D122" s="307" t="s">
        <v>144</v>
      </c>
      <c r="E122" s="307"/>
      <c r="F122" s="307"/>
      <c r="G122" s="162"/>
      <c r="H122" s="16">
        <f>SUM(H116:H121)-H118</f>
        <v>3556.0000000000018</v>
      </c>
      <c r="I122" s="17"/>
    </row>
    <row r="123" spans="2:9" x14ac:dyDescent="0.2">
      <c r="B123" s="60"/>
      <c r="C123" s="60"/>
      <c r="D123" s="60"/>
      <c r="E123" s="60"/>
      <c r="F123" s="60"/>
      <c r="G123" s="60"/>
      <c r="H123" s="72"/>
      <c r="I123" s="25"/>
    </row>
    <row r="124" spans="2:9" x14ac:dyDescent="0.2">
      <c r="B124" s="304" t="s">
        <v>177</v>
      </c>
      <c r="C124" s="304"/>
      <c r="D124" s="304"/>
      <c r="E124" s="304"/>
      <c r="F124" s="304"/>
      <c r="G124" s="304"/>
      <c r="H124" s="304"/>
      <c r="I124" s="108"/>
    </row>
    <row r="125" spans="2:9" x14ac:dyDescent="0.2">
      <c r="B125" s="85"/>
      <c r="C125" s="85"/>
      <c r="D125" s="85"/>
      <c r="E125" s="85"/>
      <c r="F125" s="85"/>
      <c r="G125" s="85"/>
      <c r="H125" s="85"/>
      <c r="I125" s="108"/>
    </row>
    <row r="126" spans="2:9" x14ac:dyDescent="0.2">
      <c r="B126" s="269" t="s">
        <v>178</v>
      </c>
      <c r="C126" s="270"/>
      <c r="D126" s="270"/>
      <c r="E126" s="270"/>
      <c r="F126" s="270"/>
      <c r="G126" s="156"/>
      <c r="H126" s="139"/>
      <c r="I126" s="93"/>
    </row>
    <row r="127" spans="2:9" ht="12.75" customHeight="1" x14ac:dyDescent="0.2">
      <c r="B127" s="154"/>
      <c r="C127" s="305" t="s">
        <v>111</v>
      </c>
      <c r="D127" s="306"/>
      <c r="E127" s="306"/>
      <c r="F127" s="306"/>
      <c r="G127" s="155"/>
      <c r="H127" s="137" t="s">
        <v>47</v>
      </c>
      <c r="I127" s="93"/>
    </row>
    <row r="128" spans="2:9" x14ac:dyDescent="0.2">
      <c r="B128" s="13" t="s">
        <v>4</v>
      </c>
      <c r="C128" s="78" t="s">
        <v>75</v>
      </c>
      <c r="D128" s="164" t="s">
        <v>121</v>
      </c>
      <c r="E128" s="165"/>
      <c r="F128" s="165"/>
      <c r="G128" s="166"/>
      <c r="H128" s="19">
        <f>H31</f>
        <v>3632.2</v>
      </c>
      <c r="I128" s="99"/>
    </row>
    <row r="129" spans="2:9" x14ac:dyDescent="0.2">
      <c r="B129" s="13" t="s">
        <v>5</v>
      </c>
      <c r="C129" s="78" t="s">
        <v>76</v>
      </c>
      <c r="D129" s="164" t="s">
        <v>135</v>
      </c>
      <c r="E129" s="165"/>
      <c r="F129" s="165"/>
      <c r="G129" s="166"/>
      <c r="H129" s="19">
        <f>H72</f>
        <v>5094.99</v>
      </c>
      <c r="I129" s="99"/>
    </row>
    <row r="130" spans="2:9" x14ac:dyDescent="0.2">
      <c r="B130" s="13" t="s">
        <v>6</v>
      </c>
      <c r="C130" s="78" t="s">
        <v>77</v>
      </c>
      <c r="D130" s="164" t="s">
        <v>137</v>
      </c>
      <c r="E130" s="165"/>
      <c r="F130" s="165"/>
      <c r="G130" s="166"/>
      <c r="H130" s="19">
        <f>H82</f>
        <v>487.34999999999997</v>
      </c>
      <c r="I130" s="99"/>
    </row>
    <row r="131" spans="2:9" x14ac:dyDescent="0.2">
      <c r="B131" s="13" t="s">
        <v>7</v>
      </c>
      <c r="C131" s="78" t="s">
        <v>41</v>
      </c>
      <c r="D131" s="164" t="s">
        <v>140</v>
      </c>
      <c r="E131" s="165"/>
      <c r="F131" s="165"/>
      <c r="G131" s="166"/>
      <c r="H131" s="19">
        <f>H103</f>
        <v>1023.8216666666667</v>
      </c>
      <c r="I131" s="99"/>
    </row>
    <row r="132" spans="2:9" x14ac:dyDescent="0.2">
      <c r="B132" s="13" t="s">
        <v>8</v>
      </c>
      <c r="C132" s="78" t="s">
        <v>78</v>
      </c>
      <c r="D132" s="164" t="s">
        <v>141</v>
      </c>
      <c r="E132" s="165"/>
      <c r="F132" s="165"/>
      <c r="G132" s="166"/>
      <c r="H132" s="19">
        <f>H111</f>
        <v>11.38</v>
      </c>
      <c r="I132" s="99"/>
    </row>
    <row r="133" spans="2:9" x14ac:dyDescent="0.2">
      <c r="B133" s="84" t="s">
        <v>9</v>
      </c>
      <c r="C133" s="77" t="s">
        <v>44</v>
      </c>
      <c r="D133" s="170" t="s">
        <v>158</v>
      </c>
      <c r="E133" s="171"/>
      <c r="F133" s="171"/>
      <c r="G133" s="172"/>
      <c r="H133" s="22">
        <f>SUM(H128:H132)</f>
        <v>10249.741666666665</v>
      </c>
      <c r="I133" s="17"/>
    </row>
    <row r="134" spans="2:9" x14ac:dyDescent="0.2">
      <c r="B134" s="13" t="s">
        <v>10</v>
      </c>
      <c r="C134" s="86" t="s">
        <v>79</v>
      </c>
      <c r="D134" s="164" t="s">
        <v>142</v>
      </c>
      <c r="E134" s="165"/>
      <c r="F134" s="165"/>
      <c r="G134" s="166"/>
      <c r="H134" s="19">
        <f>H122</f>
        <v>3556.0000000000018</v>
      </c>
      <c r="I134" s="99"/>
    </row>
    <row r="135" spans="2:9" x14ac:dyDescent="0.2">
      <c r="B135" s="13" t="s">
        <v>145</v>
      </c>
      <c r="C135" s="81" t="s">
        <v>74</v>
      </c>
      <c r="D135" s="173" t="s">
        <v>157</v>
      </c>
      <c r="E135" s="161"/>
      <c r="F135" s="161"/>
      <c r="G135" s="162"/>
      <c r="H135" s="27">
        <f>SUM(H133:H134)</f>
        <v>13805.741666666667</v>
      </c>
      <c r="I135" s="112"/>
    </row>
    <row r="136" spans="2:9" ht="12.75" customHeight="1" x14ac:dyDescent="0.2">
      <c r="B136" s="11"/>
      <c r="C136" s="11"/>
      <c r="D136" s="11"/>
      <c r="E136" s="11"/>
      <c r="F136" s="11"/>
      <c r="G136" s="11"/>
      <c r="H136" s="28"/>
      <c r="I136" s="28"/>
    </row>
    <row r="137" spans="2:9" x14ac:dyDescent="0.2">
      <c r="B137" s="304" t="s">
        <v>179</v>
      </c>
      <c r="C137" s="304"/>
      <c r="D137" s="304"/>
      <c r="E137" s="304"/>
      <c r="F137" s="304"/>
      <c r="I137" s="11"/>
    </row>
    <row r="138" spans="2:9" x14ac:dyDescent="0.2">
      <c r="B138" s="73"/>
      <c r="C138" s="73"/>
      <c r="D138" s="73"/>
      <c r="E138" s="67"/>
      <c r="F138" s="67"/>
      <c r="I138" s="11"/>
    </row>
    <row r="139" spans="2:9" x14ac:dyDescent="0.2">
      <c r="B139" s="248" t="s">
        <v>180</v>
      </c>
      <c r="C139" s="249"/>
      <c r="D139" s="249"/>
      <c r="E139" s="249"/>
      <c r="F139" s="249"/>
      <c r="G139" s="156"/>
      <c r="H139" s="139"/>
      <c r="I139" s="109"/>
    </row>
    <row r="140" spans="2:9" x14ac:dyDescent="0.2">
      <c r="B140" s="125" t="s">
        <v>4</v>
      </c>
      <c r="C140" s="157" t="s">
        <v>100</v>
      </c>
      <c r="D140" s="314" t="s">
        <v>145</v>
      </c>
      <c r="E140" s="315"/>
      <c r="F140" s="315"/>
      <c r="G140" s="158"/>
      <c r="H140" s="159">
        <f>H135</f>
        <v>13805.741666666667</v>
      </c>
      <c r="I140" s="107"/>
    </row>
    <row r="141" spans="2:9" x14ac:dyDescent="0.2">
      <c r="B141" s="13" t="s">
        <v>5</v>
      </c>
      <c r="C141" s="79" t="s">
        <v>147</v>
      </c>
      <c r="D141" s="314" t="s">
        <v>148</v>
      </c>
      <c r="E141" s="315"/>
      <c r="F141" s="315"/>
      <c r="G141" s="152"/>
      <c r="H141" s="9">
        <f>H42+H82+H101</f>
        <v>2217.4216666666666</v>
      </c>
      <c r="I141" s="102"/>
    </row>
    <row r="142" spans="2:9" x14ac:dyDescent="0.2">
      <c r="B142" s="13" t="s">
        <v>6</v>
      </c>
      <c r="C142" s="79" t="s">
        <v>161</v>
      </c>
      <c r="D142" s="314" t="s">
        <v>169</v>
      </c>
      <c r="E142" s="315"/>
      <c r="F142" s="315"/>
      <c r="G142" s="153"/>
      <c r="H142" s="106">
        <f>TRUNC((H$42*$G55),2)</f>
        <v>281.08</v>
      </c>
      <c r="I142" s="107"/>
    </row>
    <row r="143" spans="2:9" ht="12.75" customHeight="1" x14ac:dyDescent="0.2">
      <c r="B143" s="13" t="s">
        <v>7</v>
      </c>
      <c r="C143" s="79" t="s">
        <v>14</v>
      </c>
      <c r="D143" s="308" t="s">
        <v>155</v>
      </c>
      <c r="E143" s="309"/>
      <c r="F143" s="310"/>
      <c r="G143" s="10">
        <f>G116</f>
        <v>0.05</v>
      </c>
      <c r="H143" s="9">
        <f>TRUNC((H$141+H$142)*$G143,2)</f>
        <v>124.92</v>
      </c>
      <c r="I143" s="102"/>
    </row>
    <row r="144" spans="2:9" ht="12.75" customHeight="1" x14ac:dyDescent="0.2">
      <c r="B144" s="13" t="s">
        <v>8</v>
      </c>
      <c r="C144" s="79" t="s">
        <v>3</v>
      </c>
      <c r="D144" s="308" t="s">
        <v>156</v>
      </c>
      <c r="E144" s="309"/>
      <c r="F144" s="310"/>
      <c r="G144" s="10">
        <f>G117</f>
        <v>0.1</v>
      </c>
      <c r="H144" s="9">
        <f>TRUNC((H$141+H$142+H$143)*$G144,2)</f>
        <v>262.33999999999997</v>
      </c>
      <c r="I144" s="102"/>
    </row>
    <row r="145" spans="2:9" ht="12.75" customHeight="1" x14ac:dyDescent="0.2">
      <c r="B145" s="13" t="s">
        <v>9</v>
      </c>
      <c r="C145" s="79" t="s">
        <v>101</v>
      </c>
      <c r="D145" s="308" t="s">
        <v>163</v>
      </c>
      <c r="E145" s="309"/>
      <c r="F145" s="310"/>
      <c r="G145" s="10">
        <f>G119+G120+G121</f>
        <v>0.14250000000000002</v>
      </c>
      <c r="H145" s="9">
        <f>TRUNC((H$141+H$142+H$143+H$144)/(1-$G145)-(H$141+H$142+H$143+H$144),2)</f>
        <v>479.55</v>
      </c>
      <c r="I145" s="102"/>
    </row>
    <row r="146" spans="2:9" x14ac:dyDescent="0.2">
      <c r="B146" s="13" t="s">
        <v>10</v>
      </c>
      <c r="C146" s="126" t="s">
        <v>102</v>
      </c>
      <c r="D146" s="150" t="s">
        <v>164</v>
      </c>
      <c r="E146" s="151"/>
      <c r="F146" s="151"/>
      <c r="G146" s="152"/>
      <c r="H146" s="127">
        <f>SUM(H141:H145)</f>
        <v>3365.311666666667</v>
      </c>
      <c r="I146" s="103"/>
    </row>
    <row r="147" spans="2:9" x14ac:dyDescent="0.2">
      <c r="B147" s="13" t="s">
        <v>146</v>
      </c>
      <c r="C147" s="83" t="s">
        <v>118</v>
      </c>
      <c r="D147" s="316" t="s">
        <v>162</v>
      </c>
      <c r="E147" s="317"/>
      <c r="F147" s="317"/>
      <c r="G147" s="160"/>
      <c r="H147" s="29">
        <f>H140-H146</f>
        <v>10440.43</v>
      </c>
      <c r="I147" s="113"/>
    </row>
    <row r="148" spans="2:9" ht="45" customHeight="1" x14ac:dyDescent="0.2">
      <c r="B148" s="311" t="s">
        <v>117</v>
      </c>
      <c r="C148" s="312"/>
      <c r="D148" s="312"/>
      <c r="E148" s="312"/>
      <c r="F148" s="312"/>
      <c r="G148" s="313"/>
      <c r="H148" s="136"/>
      <c r="I148" s="104"/>
    </row>
  </sheetData>
  <mergeCells count="105">
    <mergeCell ref="D144:F144"/>
    <mergeCell ref="D145:F145"/>
    <mergeCell ref="D147:F147"/>
    <mergeCell ref="B148:G148"/>
    <mergeCell ref="B137:F137"/>
    <mergeCell ref="B139:F139"/>
    <mergeCell ref="D140:F140"/>
    <mergeCell ref="D141:F141"/>
    <mergeCell ref="D142:F142"/>
    <mergeCell ref="D143:F143"/>
    <mergeCell ref="D120:F120"/>
    <mergeCell ref="D121:F121"/>
    <mergeCell ref="D122:F122"/>
    <mergeCell ref="B124:H124"/>
    <mergeCell ref="B126:F126"/>
    <mergeCell ref="C127:F127"/>
    <mergeCell ref="B114:F114"/>
    <mergeCell ref="C115:F115"/>
    <mergeCell ref="D116:F116"/>
    <mergeCell ref="D117:F117"/>
    <mergeCell ref="D118:F118"/>
    <mergeCell ref="D119:F119"/>
    <mergeCell ref="B99:F99"/>
    <mergeCell ref="C100:G100"/>
    <mergeCell ref="C103:F103"/>
    <mergeCell ref="B106:F106"/>
    <mergeCell ref="C107:G107"/>
    <mergeCell ref="C111:F111"/>
    <mergeCell ref="C87:F87"/>
    <mergeCell ref="D91:F91"/>
    <mergeCell ref="C92:F92"/>
    <mergeCell ref="B94:F94"/>
    <mergeCell ref="C95:F95"/>
    <mergeCell ref="C97:F97"/>
    <mergeCell ref="D77:E77"/>
    <mergeCell ref="D78:E78"/>
    <mergeCell ref="D81:E81"/>
    <mergeCell ref="C82:F82"/>
    <mergeCell ref="B85:F85"/>
    <mergeCell ref="B86:F86"/>
    <mergeCell ref="B67:F67"/>
    <mergeCell ref="C68:F68"/>
    <mergeCell ref="C72:F72"/>
    <mergeCell ref="B73:H73"/>
    <mergeCell ref="B75:F75"/>
    <mergeCell ref="C76:F76"/>
    <mergeCell ref="C55:F55"/>
    <mergeCell ref="B56:H56"/>
    <mergeCell ref="B57:F57"/>
    <mergeCell ref="C58:F58"/>
    <mergeCell ref="C65:F65"/>
    <mergeCell ref="B66:H66"/>
    <mergeCell ref="H48:H49"/>
    <mergeCell ref="D50:F50"/>
    <mergeCell ref="D51:F51"/>
    <mergeCell ref="D52:F52"/>
    <mergeCell ref="D53:F53"/>
    <mergeCell ref="D54:F54"/>
    <mergeCell ref="D46:F46"/>
    <mergeCell ref="D47:F47"/>
    <mergeCell ref="B48:B49"/>
    <mergeCell ref="C48:C49"/>
    <mergeCell ref="D48:D49"/>
    <mergeCell ref="G48:G49"/>
    <mergeCell ref="D40:F40"/>
    <mergeCell ref="D41:F41"/>
    <mergeCell ref="C42:F42"/>
    <mergeCell ref="B43:H43"/>
    <mergeCell ref="B44:F44"/>
    <mergeCell ref="C45:F45"/>
    <mergeCell ref="C31:F31"/>
    <mergeCell ref="C32:F33"/>
    <mergeCell ref="B36:F36"/>
    <mergeCell ref="B37:F37"/>
    <mergeCell ref="B38:F38"/>
    <mergeCell ref="C39:F39"/>
    <mergeCell ref="D26:F26"/>
    <mergeCell ref="D28:F28"/>
    <mergeCell ref="D29:F29"/>
    <mergeCell ref="D30:F30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</mergeCells>
  <dataValidations count="10">
    <dataValidation operator="equal" allowBlank="1" showInputMessage="1" showErrorMessage="1" errorTitle="Valor errado" error="Percentual fixo. Preencher com 40%." sqref="F77" xr:uid="{F99DFB7A-0C77-4CBD-B58B-AC6CF950A5F7}"/>
    <dataValidation type="list" allowBlank="1" showInputMessage="1" showErrorMessage="1" sqref="G26" xr:uid="{FEEEFA4D-A2CC-44C6-85A3-C99923C1FB61}">
      <formula1>"0%, 30%"</formula1>
    </dataValidation>
    <dataValidation type="list" allowBlank="1" showInputMessage="1" showErrorMessage="1" sqref="G27" xr:uid="{15846870-54BB-4D97-A977-B15358B8FD71}">
      <formula1>"0%, 10%, 20%, 40%"</formula1>
    </dataValidation>
    <dataValidation type="list" allowBlank="1" showInputMessage="1" showErrorMessage="1" sqref="E49" xr:uid="{587CBB23-2A77-4423-BE51-2330CC3440C2}">
      <formula1>"1%, 2%, 3%"</formula1>
    </dataValidation>
    <dataValidation type="list" allowBlank="1" showInputMessage="1" showErrorMessage="1" sqref="G28:G29" xr:uid="{C9D041E0-91B3-4901-8883-833961E13CD3}">
      <formula1>"0, 20%"</formula1>
    </dataValidation>
    <dataValidation type="list" allowBlank="1" showInputMessage="1" showErrorMessage="1" sqref="G120" xr:uid="{20A01696-6FCD-482C-987C-232BFD88FE25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19" xr:uid="{9414FFCA-CC4A-4EA9-A343-3FBC1B4F40ED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whole" allowBlank="1" showInputMessage="1" showErrorMessage="1" errorTitle="Valor errado" error="Quantidade fixa de dias. Prencher com 30" sqref="G88" xr:uid="{933BF2B5-0CB6-4869-B36E-1CC71B7CCDF1}">
      <formula1>30</formula1>
      <formula2>30</formula2>
    </dataValidation>
    <dataValidation type="custom" allowBlank="1" showInputMessage="1" showErrorMessage="1" sqref="G118" xr:uid="{68CC2A8B-AB2D-4744-9C5E-6B724676F70E}">
      <formula1>1-(G119+G120+G121)</formula1>
    </dataValidation>
    <dataValidation type="list" allowBlank="1" showInputMessage="1" showErrorMessage="1" sqref="G81" xr:uid="{8E75BCCC-6CD7-4A41-9325-630EE3278EBB}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3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2CC6D-33E0-4A14-A9EB-5115F0CC29E7}">
  <dimension ref="B1:I147"/>
  <sheetViews>
    <sheetView workbookViewId="0">
      <selection activeCell="B75" sqref="B75:H147"/>
    </sheetView>
  </sheetViews>
  <sheetFormatPr defaultColWidth="9.140625" defaultRowHeight="12.75" x14ac:dyDescent="0.2"/>
  <cols>
    <col min="1" max="1" width="3.5703125" style="56" customWidth="1"/>
    <col min="2" max="2" width="8.28515625" style="56" customWidth="1"/>
    <col min="3" max="3" width="39.140625" style="56" customWidth="1"/>
    <col min="4" max="4" width="29.140625" style="56" customWidth="1"/>
    <col min="5" max="5" width="8.140625" style="56" customWidth="1"/>
    <col min="6" max="6" width="10.7109375" style="56" bestFit="1" customWidth="1"/>
    <col min="7" max="7" width="9.140625" style="56"/>
    <col min="8" max="9" width="15.28515625" style="56" customWidth="1"/>
    <col min="10" max="16384" width="9.140625" style="56"/>
  </cols>
  <sheetData>
    <row r="1" spans="2:9" x14ac:dyDescent="0.2">
      <c r="C1" s="105"/>
      <c r="D1" s="11"/>
      <c r="E1" s="11"/>
      <c r="F1" s="11"/>
      <c r="G1" s="11"/>
      <c r="H1" s="11"/>
      <c r="I1" s="11"/>
    </row>
    <row r="2" spans="2:9" x14ac:dyDescent="0.2">
      <c r="B2" s="237" t="s">
        <v>48</v>
      </c>
      <c r="C2" s="237"/>
      <c r="D2" s="237"/>
      <c r="E2" s="237"/>
      <c r="F2" s="237"/>
      <c r="G2" s="237"/>
      <c r="H2" s="237"/>
      <c r="I2" s="92"/>
    </row>
    <row r="3" spans="2:9" x14ac:dyDescent="0.2">
      <c r="B3" s="238" t="s">
        <v>176</v>
      </c>
      <c r="C3" s="238"/>
      <c r="D3" s="238"/>
      <c r="E3" s="238"/>
      <c r="F3" s="238"/>
      <c r="G3" s="238"/>
      <c r="H3" s="238"/>
      <c r="I3" s="94"/>
    </row>
    <row r="4" spans="2:9" x14ac:dyDescent="0.2">
      <c r="B4" s="58"/>
      <c r="C4" s="58"/>
      <c r="D4" s="58"/>
      <c r="E4" s="58"/>
      <c r="F4" s="58"/>
      <c r="G4" s="58"/>
      <c r="H4" s="58"/>
      <c r="I4" s="58"/>
    </row>
    <row r="5" spans="2:9" x14ac:dyDescent="0.2">
      <c r="B5" s="58"/>
      <c r="C5" s="58"/>
      <c r="D5" s="58"/>
      <c r="E5" s="58"/>
      <c r="F5" s="58"/>
      <c r="G5" s="58"/>
      <c r="H5" s="58"/>
      <c r="I5" s="58"/>
    </row>
    <row r="6" spans="2:9" x14ac:dyDescent="0.2">
      <c r="B6" s="134" t="s">
        <v>119</v>
      </c>
      <c r="C6" s="134"/>
      <c r="D6" s="242" t="s">
        <v>197</v>
      </c>
      <c r="E6" s="243"/>
      <c r="F6" s="244"/>
      <c r="I6" s="12"/>
    </row>
    <row r="7" spans="2:9" x14ac:dyDescent="0.2">
      <c r="B7" s="58"/>
      <c r="C7" s="58"/>
      <c r="D7" s="58"/>
      <c r="E7" s="58"/>
      <c r="F7" s="58"/>
      <c r="G7" s="58"/>
      <c r="H7" s="58"/>
      <c r="I7" s="11"/>
    </row>
    <row r="8" spans="2:9" x14ac:dyDescent="0.2">
      <c r="B8" s="322" t="s">
        <v>49</v>
      </c>
      <c r="C8" s="322"/>
      <c r="D8" s="322"/>
      <c r="E8" s="322"/>
      <c r="F8" s="322"/>
      <c r="G8" s="135"/>
      <c r="H8" s="135"/>
      <c r="I8" s="57"/>
    </row>
    <row r="9" spans="2:9" x14ac:dyDescent="0.2">
      <c r="B9" s="318">
        <v>1</v>
      </c>
      <c r="C9" s="319" t="s">
        <v>50</v>
      </c>
      <c r="D9" s="319"/>
      <c r="E9" s="319"/>
      <c r="F9" s="319"/>
      <c r="G9" s="135"/>
      <c r="H9" s="135"/>
      <c r="I9" s="57"/>
    </row>
    <row r="10" spans="2:9" x14ac:dyDescent="0.2">
      <c r="B10" s="318"/>
      <c r="C10" s="320"/>
      <c r="D10" s="320"/>
      <c r="E10" s="320"/>
      <c r="F10" s="320"/>
      <c r="G10" s="135"/>
      <c r="H10" s="135"/>
      <c r="I10" s="57"/>
    </row>
    <row r="11" spans="2:9" x14ac:dyDescent="0.2">
      <c r="B11" s="318">
        <v>2</v>
      </c>
      <c r="C11" s="319" t="s">
        <v>51</v>
      </c>
      <c r="D11" s="319"/>
      <c r="E11" s="319"/>
      <c r="F11" s="319"/>
      <c r="G11" s="135"/>
      <c r="H11" s="135"/>
      <c r="I11" s="57"/>
    </row>
    <row r="12" spans="2:9" x14ac:dyDescent="0.2">
      <c r="B12" s="318"/>
      <c r="C12" s="320"/>
      <c r="D12" s="320"/>
      <c r="E12" s="320"/>
      <c r="F12" s="320"/>
      <c r="G12" s="135"/>
      <c r="H12" s="135"/>
      <c r="I12" s="57"/>
    </row>
    <row r="13" spans="2:9" x14ac:dyDescent="0.2">
      <c r="B13" s="318">
        <v>3</v>
      </c>
      <c r="C13" s="319" t="s">
        <v>52</v>
      </c>
      <c r="D13" s="319"/>
      <c r="E13" s="319"/>
      <c r="F13" s="319"/>
      <c r="G13" s="135"/>
      <c r="H13" s="135"/>
      <c r="I13" s="57"/>
    </row>
    <row r="14" spans="2:9" x14ac:dyDescent="0.2">
      <c r="B14" s="318"/>
      <c r="C14" s="321"/>
      <c r="D14" s="321"/>
      <c r="E14" s="321"/>
      <c r="F14" s="321"/>
      <c r="G14" s="135"/>
      <c r="H14" s="135"/>
      <c r="I14" s="57"/>
    </row>
    <row r="15" spans="2:9" x14ac:dyDescent="0.2">
      <c r="B15" s="318">
        <v>4</v>
      </c>
      <c r="C15" s="319" t="s">
        <v>53</v>
      </c>
      <c r="D15" s="319"/>
      <c r="E15" s="319"/>
      <c r="F15" s="319"/>
      <c r="G15" s="135"/>
      <c r="H15" s="135"/>
      <c r="I15" s="57"/>
    </row>
    <row r="16" spans="2:9" x14ac:dyDescent="0.2">
      <c r="B16" s="318"/>
      <c r="C16" s="320"/>
      <c r="D16" s="320"/>
      <c r="E16" s="320"/>
      <c r="F16" s="320"/>
      <c r="G16" s="135"/>
      <c r="H16" s="135"/>
      <c r="I16" s="57"/>
    </row>
    <row r="17" spans="2:9" x14ac:dyDescent="0.2">
      <c r="B17" s="318">
        <v>5</v>
      </c>
      <c r="C17" s="319" t="s">
        <v>54</v>
      </c>
      <c r="D17" s="319"/>
      <c r="E17" s="319"/>
      <c r="F17" s="319"/>
      <c r="G17" s="135"/>
      <c r="H17" s="135"/>
      <c r="I17" s="57"/>
    </row>
    <row r="18" spans="2:9" x14ac:dyDescent="0.2">
      <c r="B18" s="318"/>
      <c r="C18" s="320"/>
      <c r="D18" s="320"/>
      <c r="E18" s="320"/>
      <c r="F18" s="320"/>
      <c r="G18" s="135"/>
      <c r="H18" s="135"/>
      <c r="I18" s="57"/>
    </row>
    <row r="19" spans="2:9" x14ac:dyDescent="0.2">
      <c r="B19" s="318">
        <v>6</v>
      </c>
      <c r="C19" s="319" t="s">
        <v>55</v>
      </c>
      <c r="D19" s="319"/>
      <c r="E19" s="319"/>
      <c r="F19" s="319"/>
      <c r="G19" s="135"/>
      <c r="H19" s="135"/>
      <c r="I19" s="57"/>
    </row>
    <row r="20" spans="2:9" x14ac:dyDescent="0.2">
      <c r="B20" s="318"/>
      <c r="C20" s="320"/>
      <c r="D20" s="320"/>
      <c r="E20" s="320"/>
      <c r="F20" s="320"/>
      <c r="G20" s="135"/>
      <c r="H20" s="135"/>
      <c r="I20" s="57"/>
    </row>
    <row r="21" spans="2:9" x14ac:dyDescent="0.2">
      <c r="B21" s="59"/>
      <c r="C21" s="59"/>
      <c r="D21" s="59"/>
      <c r="E21" s="59"/>
      <c r="F21" s="59"/>
      <c r="G21" s="60"/>
      <c r="H21" s="60"/>
      <c r="I21" s="57"/>
    </row>
    <row r="22" spans="2:9" x14ac:dyDescent="0.2">
      <c r="B22" s="61"/>
      <c r="C22" s="61"/>
      <c r="D22" s="61"/>
      <c r="E22" s="61"/>
      <c r="F22" s="61"/>
      <c r="G22" s="61"/>
      <c r="H22" s="140" t="s">
        <v>181</v>
      </c>
    </row>
    <row r="23" spans="2:9" x14ac:dyDescent="0.2">
      <c r="B23" s="269" t="s">
        <v>62</v>
      </c>
      <c r="C23" s="270"/>
      <c r="D23" s="270"/>
      <c r="E23" s="270"/>
      <c r="F23" s="270"/>
      <c r="G23" s="138"/>
      <c r="H23" s="139"/>
      <c r="I23" s="93"/>
    </row>
    <row r="24" spans="2:9" x14ac:dyDescent="0.2">
      <c r="B24" s="88">
        <v>1</v>
      </c>
      <c r="C24" s="230" t="s">
        <v>56</v>
      </c>
      <c r="D24" s="241"/>
      <c r="E24" s="241"/>
      <c r="F24" s="231"/>
      <c r="G24" s="137" t="s">
        <v>1</v>
      </c>
      <c r="H24" s="137" t="s">
        <v>47</v>
      </c>
      <c r="I24" s="93"/>
    </row>
    <row r="25" spans="2:9" ht="12.75" customHeight="1" x14ac:dyDescent="0.2">
      <c r="B25" s="13" t="s">
        <v>4</v>
      </c>
      <c r="C25" s="86" t="s">
        <v>15</v>
      </c>
      <c r="D25" s="245"/>
      <c r="E25" s="246"/>
      <c r="F25" s="247"/>
      <c r="G25" s="14"/>
      <c r="H25" s="30">
        <v>4196.7700000000004</v>
      </c>
      <c r="I25" s="99"/>
    </row>
    <row r="26" spans="2:9" x14ac:dyDescent="0.2">
      <c r="B26" s="13" t="s">
        <v>5</v>
      </c>
      <c r="C26" s="86" t="s">
        <v>22</v>
      </c>
      <c r="D26" s="245" t="s">
        <v>120</v>
      </c>
      <c r="E26" s="246"/>
      <c r="F26" s="247"/>
      <c r="G26" s="31"/>
      <c r="H26" s="15">
        <f>TRUNC(H$25*$G26,2)</f>
        <v>0</v>
      </c>
      <c r="I26" s="95"/>
    </row>
    <row r="27" spans="2:9" x14ac:dyDescent="0.2">
      <c r="B27" s="13" t="s">
        <v>6</v>
      </c>
      <c r="C27" s="87" t="s">
        <v>23</v>
      </c>
      <c r="D27" s="164" t="s">
        <v>159</v>
      </c>
      <c r="E27" s="175" t="s">
        <v>183</v>
      </c>
      <c r="F27" s="174">
        <v>1621</v>
      </c>
      <c r="G27" s="31"/>
      <c r="H27" s="15">
        <f>TRUNC(F$27*$G27,2)</f>
        <v>0</v>
      </c>
      <c r="I27" s="95"/>
    </row>
    <row r="28" spans="2:9" x14ac:dyDescent="0.2">
      <c r="B28" s="13" t="s">
        <v>7</v>
      </c>
      <c r="C28" s="87" t="s">
        <v>0</v>
      </c>
      <c r="D28" s="245" t="s">
        <v>166</v>
      </c>
      <c r="E28" s="246"/>
      <c r="F28" s="247"/>
      <c r="G28" s="32"/>
      <c r="H28" s="65">
        <f>TRUNC(((H$25+H26)*$G28)/220*8*15,2)</f>
        <v>0</v>
      </c>
      <c r="I28" s="96"/>
    </row>
    <row r="29" spans="2:9" x14ac:dyDescent="0.2">
      <c r="B29" s="115" t="s">
        <v>8</v>
      </c>
      <c r="C29" s="116" t="s">
        <v>24</v>
      </c>
      <c r="D29" s="266" t="s">
        <v>166</v>
      </c>
      <c r="E29" s="267"/>
      <c r="F29" s="268"/>
      <c r="G29" s="117"/>
      <c r="H29" s="118">
        <f>TRUNC(((H25+H26)*$G29)/220*1*15,2)</f>
        <v>0</v>
      </c>
      <c r="I29" s="119" t="s">
        <v>171</v>
      </c>
    </row>
    <row r="30" spans="2:9" x14ac:dyDescent="0.2">
      <c r="B30" s="120" t="s">
        <v>9</v>
      </c>
      <c r="C30" s="116" t="s">
        <v>103</v>
      </c>
      <c r="D30" s="266" t="s">
        <v>167</v>
      </c>
      <c r="E30" s="267"/>
      <c r="F30" s="268"/>
      <c r="G30" s="121">
        <v>0.5</v>
      </c>
      <c r="H30" s="118">
        <f>TRUNC($G$34*H34*(1+$G$30),2)</f>
        <v>228.84</v>
      </c>
      <c r="I30" s="119"/>
    </row>
    <row r="31" spans="2:9" x14ac:dyDescent="0.2">
      <c r="B31" s="120" t="s">
        <v>10</v>
      </c>
      <c r="C31" s="116" t="s">
        <v>103</v>
      </c>
      <c r="D31" s="266" t="s">
        <v>167</v>
      </c>
      <c r="E31" s="267"/>
      <c r="F31" s="268"/>
      <c r="G31" s="121">
        <v>1</v>
      </c>
      <c r="H31" s="118">
        <f>TRUNC($G$34*H34*(1+$G$31),2)</f>
        <v>305.12</v>
      </c>
      <c r="I31" s="119"/>
    </row>
    <row r="32" spans="2:9" x14ac:dyDescent="0.2">
      <c r="B32" s="13" t="s">
        <v>121</v>
      </c>
      <c r="C32" s="230" t="s">
        <v>57</v>
      </c>
      <c r="D32" s="241"/>
      <c r="E32" s="241"/>
      <c r="F32" s="231"/>
      <c r="G32" s="26"/>
      <c r="H32" s="16">
        <f>SUM(H25:H31)</f>
        <v>4730.7300000000005</v>
      </c>
      <c r="I32" s="17"/>
    </row>
    <row r="33" spans="2:9" ht="22.5" x14ac:dyDescent="0.2">
      <c r="B33" s="92"/>
      <c r="C33" s="219" t="s">
        <v>112</v>
      </c>
      <c r="D33" s="219"/>
      <c r="E33" s="219"/>
      <c r="F33" s="219"/>
      <c r="G33" s="49" t="s">
        <v>104</v>
      </c>
      <c r="H33" s="48" t="s">
        <v>114</v>
      </c>
      <c r="I33" s="2"/>
    </row>
    <row r="34" spans="2:9" x14ac:dyDescent="0.2">
      <c r="B34" s="92"/>
      <c r="C34" s="219"/>
      <c r="D34" s="219"/>
      <c r="E34" s="219"/>
      <c r="F34" s="219"/>
      <c r="G34" s="47">
        <f>240/30</f>
        <v>8</v>
      </c>
      <c r="H34" s="33">
        <f>IF($G$34="",0,TRUNC((H25+H26+H27)/220,2))</f>
        <v>19.07</v>
      </c>
      <c r="I34" s="98"/>
    </row>
    <row r="35" spans="2:9" x14ac:dyDescent="0.2">
      <c r="B35" s="92"/>
      <c r="C35" s="92"/>
      <c r="D35" s="92"/>
      <c r="E35" s="92"/>
      <c r="F35" s="92"/>
      <c r="G35" s="92"/>
      <c r="H35" s="66"/>
      <c r="I35" s="17"/>
    </row>
    <row r="36" spans="2:9" x14ac:dyDescent="0.2">
      <c r="B36" s="92"/>
      <c r="C36" s="92"/>
      <c r="D36" s="92"/>
      <c r="E36" s="92"/>
      <c r="F36" s="92"/>
      <c r="G36" s="92"/>
      <c r="H36" s="66"/>
      <c r="I36" s="17"/>
    </row>
    <row r="37" spans="2:9" ht="12.75" customHeight="1" x14ac:dyDescent="0.2">
      <c r="B37" s="269" t="s">
        <v>63</v>
      </c>
      <c r="C37" s="270"/>
      <c r="D37" s="270"/>
      <c r="E37" s="270"/>
      <c r="F37" s="270"/>
      <c r="G37" s="138"/>
      <c r="H37" s="139"/>
      <c r="I37" s="93"/>
    </row>
    <row r="38" spans="2:9" x14ac:dyDescent="0.2">
      <c r="B38" s="323"/>
      <c r="C38" s="324"/>
      <c r="D38" s="324"/>
      <c r="E38" s="324"/>
      <c r="F38" s="324"/>
      <c r="G38" s="55"/>
      <c r="H38" s="55"/>
      <c r="I38" s="93"/>
    </row>
    <row r="39" spans="2:9" x14ac:dyDescent="0.2">
      <c r="B39" s="325" t="s">
        <v>34</v>
      </c>
      <c r="C39" s="325"/>
      <c r="D39" s="325"/>
      <c r="E39" s="325"/>
      <c r="F39" s="325"/>
      <c r="G39" s="55"/>
      <c r="H39" s="55"/>
      <c r="I39" s="93"/>
    </row>
    <row r="40" spans="2:9" x14ac:dyDescent="0.2">
      <c r="B40" s="137" t="s">
        <v>36</v>
      </c>
      <c r="C40" s="326" t="s">
        <v>25</v>
      </c>
      <c r="D40" s="327"/>
      <c r="E40" s="327"/>
      <c r="F40" s="328"/>
      <c r="G40" s="88" t="s">
        <v>1</v>
      </c>
      <c r="H40" s="88" t="s">
        <v>47</v>
      </c>
      <c r="I40" s="93"/>
    </row>
    <row r="41" spans="2:9" x14ac:dyDescent="0.2">
      <c r="B41" s="13" t="s">
        <v>4</v>
      </c>
      <c r="C41" s="86" t="s">
        <v>105</v>
      </c>
      <c r="D41" s="245" t="s">
        <v>122</v>
      </c>
      <c r="E41" s="246"/>
      <c r="F41" s="247"/>
      <c r="G41" s="143">
        <f>1/12</f>
        <v>8.3333333333333329E-2</v>
      </c>
      <c r="H41" s="144">
        <f>TRUNC((H$32*$G41),2)</f>
        <v>394.22</v>
      </c>
      <c r="I41" s="99"/>
    </row>
    <row r="42" spans="2:9" x14ac:dyDescent="0.2">
      <c r="B42" s="13" t="s">
        <v>5</v>
      </c>
      <c r="C42" s="86" t="s">
        <v>61</v>
      </c>
      <c r="D42" s="245" t="s">
        <v>124</v>
      </c>
      <c r="E42" s="246"/>
      <c r="F42" s="247"/>
      <c r="G42" s="18">
        <f>(1/12)+(1/3/12)</f>
        <v>0.1111111111111111</v>
      </c>
      <c r="H42" s="19">
        <f>TRUNC((H$32*$G42),2)</f>
        <v>525.63</v>
      </c>
      <c r="I42" s="99"/>
    </row>
    <row r="43" spans="2:9" x14ac:dyDescent="0.2">
      <c r="B43" s="13" t="s">
        <v>123</v>
      </c>
      <c r="C43" s="230" t="s">
        <v>57</v>
      </c>
      <c r="D43" s="241"/>
      <c r="E43" s="241"/>
      <c r="F43" s="231"/>
      <c r="G43" s="20">
        <f>TRUNC(SUM(G41:G42),4)</f>
        <v>0.19439999999999999</v>
      </c>
      <c r="H43" s="16">
        <f>SUM(H41:H42)</f>
        <v>919.85</v>
      </c>
      <c r="I43" s="17"/>
    </row>
    <row r="44" spans="2:9" x14ac:dyDescent="0.2">
      <c r="B44" s="281"/>
      <c r="C44" s="282"/>
      <c r="D44" s="282"/>
      <c r="E44" s="282"/>
      <c r="F44" s="282"/>
      <c r="G44" s="282"/>
      <c r="H44" s="283"/>
      <c r="I44" s="92"/>
    </row>
    <row r="45" spans="2:9" ht="30" customHeight="1" x14ac:dyDescent="0.2">
      <c r="B45" s="288" t="s">
        <v>64</v>
      </c>
      <c r="C45" s="289"/>
      <c r="D45" s="289"/>
      <c r="E45" s="289"/>
      <c r="F45" s="290"/>
      <c r="G45" s="141"/>
      <c r="H45" s="142"/>
      <c r="I45" s="100"/>
    </row>
    <row r="46" spans="2:9" x14ac:dyDescent="0.2">
      <c r="B46" s="88" t="s">
        <v>37</v>
      </c>
      <c r="C46" s="230" t="s">
        <v>65</v>
      </c>
      <c r="D46" s="241"/>
      <c r="E46" s="241"/>
      <c r="F46" s="231"/>
      <c r="G46" s="88" t="s">
        <v>1</v>
      </c>
      <c r="H46" s="88" t="s">
        <v>47</v>
      </c>
      <c r="I46" s="93"/>
    </row>
    <row r="47" spans="2:9" x14ac:dyDescent="0.2">
      <c r="B47" s="13" t="s">
        <v>4</v>
      </c>
      <c r="C47" s="86" t="s">
        <v>28</v>
      </c>
      <c r="D47" s="245" t="s">
        <v>125</v>
      </c>
      <c r="E47" s="246"/>
      <c r="F47" s="247"/>
      <c r="G47" s="18">
        <v>0.2</v>
      </c>
      <c r="H47" s="19">
        <f>TRUNC((H$32+H$43)*$G47,2)</f>
        <v>1130.1099999999999</v>
      </c>
      <c r="I47" s="99"/>
    </row>
    <row r="48" spans="2:9" x14ac:dyDescent="0.2">
      <c r="B48" s="13" t="s">
        <v>5</v>
      </c>
      <c r="C48" s="74" t="s">
        <v>29</v>
      </c>
      <c r="D48" s="245" t="s">
        <v>126</v>
      </c>
      <c r="E48" s="246"/>
      <c r="F48" s="247"/>
      <c r="G48" s="18">
        <v>2.5000000000000001E-2</v>
      </c>
      <c r="H48" s="19">
        <f>TRUNC((H$32+H$43)*$G48,2)</f>
        <v>141.26</v>
      </c>
      <c r="I48" s="99"/>
    </row>
    <row r="49" spans="2:9" x14ac:dyDescent="0.2">
      <c r="B49" s="275" t="s">
        <v>6</v>
      </c>
      <c r="C49" s="329" t="s">
        <v>97</v>
      </c>
      <c r="D49" s="331" t="s">
        <v>132</v>
      </c>
      <c r="E49" s="8" t="s">
        <v>98</v>
      </c>
      <c r="F49" s="8" t="s">
        <v>96</v>
      </c>
      <c r="G49" s="284">
        <f>E50*F50</f>
        <v>0.06</v>
      </c>
      <c r="H49" s="332">
        <f>TRUNC((H$32+H$43)*$G49,2)</f>
        <v>339.03</v>
      </c>
      <c r="I49" s="101"/>
    </row>
    <row r="50" spans="2:9" x14ac:dyDescent="0.2">
      <c r="B50" s="276"/>
      <c r="C50" s="330"/>
      <c r="D50" s="331"/>
      <c r="E50" s="34">
        <v>0.03</v>
      </c>
      <c r="F50" s="35">
        <v>2</v>
      </c>
      <c r="G50" s="285"/>
      <c r="H50" s="332"/>
      <c r="I50" s="101"/>
    </row>
    <row r="51" spans="2:9" x14ac:dyDescent="0.2">
      <c r="B51" s="13" t="s">
        <v>7</v>
      </c>
      <c r="C51" s="86" t="s">
        <v>27</v>
      </c>
      <c r="D51" s="245" t="s">
        <v>127</v>
      </c>
      <c r="E51" s="246"/>
      <c r="F51" s="247"/>
      <c r="G51" s="18">
        <v>1.4999999999999999E-2</v>
      </c>
      <c r="H51" s="19">
        <f>TRUNC((H$32+H$43)*$G51,2)</f>
        <v>84.75</v>
      </c>
      <c r="I51" s="99"/>
    </row>
    <row r="52" spans="2:9" x14ac:dyDescent="0.2">
      <c r="B52" s="13" t="s">
        <v>8</v>
      </c>
      <c r="C52" s="86" t="s">
        <v>30</v>
      </c>
      <c r="D52" s="245" t="s">
        <v>128</v>
      </c>
      <c r="E52" s="246"/>
      <c r="F52" s="247"/>
      <c r="G52" s="18">
        <v>0.01</v>
      </c>
      <c r="H52" s="19">
        <f>TRUNC((H$32+H$43)*$G52,2)</f>
        <v>56.5</v>
      </c>
      <c r="I52" s="99"/>
    </row>
    <row r="53" spans="2:9" x14ac:dyDescent="0.2">
      <c r="B53" s="13" t="s">
        <v>9</v>
      </c>
      <c r="C53" s="86" t="s">
        <v>31</v>
      </c>
      <c r="D53" s="245" t="s">
        <v>129</v>
      </c>
      <c r="E53" s="246"/>
      <c r="F53" s="247"/>
      <c r="G53" s="18">
        <v>6.0000000000000001E-3</v>
      </c>
      <c r="H53" s="19">
        <f>TRUNC((H$32+H$43)*$G53,2)</f>
        <v>33.9</v>
      </c>
      <c r="I53" s="99"/>
    </row>
    <row r="54" spans="2:9" x14ac:dyDescent="0.2">
      <c r="B54" s="13" t="s">
        <v>10</v>
      </c>
      <c r="C54" s="86" t="s">
        <v>32</v>
      </c>
      <c r="D54" s="245" t="s">
        <v>130</v>
      </c>
      <c r="E54" s="246"/>
      <c r="F54" s="247"/>
      <c r="G54" s="18">
        <v>2E-3</v>
      </c>
      <c r="H54" s="19">
        <f>TRUNC((H$32+H$43)*$G54,2)</f>
        <v>11.3</v>
      </c>
      <c r="I54" s="99"/>
    </row>
    <row r="55" spans="2:9" x14ac:dyDescent="0.2">
      <c r="B55" s="13" t="s">
        <v>11</v>
      </c>
      <c r="C55" s="86" t="s">
        <v>33</v>
      </c>
      <c r="D55" s="245" t="s">
        <v>131</v>
      </c>
      <c r="E55" s="246"/>
      <c r="F55" s="247"/>
      <c r="G55" s="18">
        <v>0.08</v>
      </c>
      <c r="H55" s="19">
        <f>TRUNC((H$32+H$43)*$G55,2)</f>
        <v>452.04</v>
      </c>
      <c r="I55" s="99"/>
    </row>
    <row r="56" spans="2:9" x14ac:dyDescent="0.2">
      <c r="B56" s="13" t="s">
        <v>133</v>
      </c>
      <c r="C56" s="230" t="s">
        <v>57</v>
      </c>
      <c r="D56" s="241"/>
      <c r="E56" s="241"/>
      <c r="F56" s="231"/>
      <c r="G56" s="21">
        <f>SUM(G47:G55)</f>
        <v>0.39800000000000008</v>
      </c>
      <c r="H56" s="16">
        <f>SUM(H47:H55)</f>
        <v>2248.89</v>
      </c>
      <c r="I56" s="17"/>
    </row>
    <row r="57" spans="2:9" x14ac:dyDescent="0.2">
      <c r="B57" s="294"/>
      <c r="C57" s="295"/>
      <c r="D57" s="295"/>
      <c r="E57" s="295"/>
      <c r="F57" s="295"/>
      <c r="G57" s="295"/>
      <c r="H57" s="296"/>
      <c r="I57" s="110"/>
    </row>
    <row r="58" spans="2:9" ht="12.75" customHeight="1" x14ac:dyDescent="0.2">
      <c r="B58" s="288" t="s">
        <v>35</v>
      </c>
      <c r="C58" s="289"/>
      <c r="D58" s="289"/>
      <c r="E58" s="289"/>
      <c r="F58" s="290"/>
      <c r="G58" s="141"/>
      <c r="H58" s="142"/>
      <c r="I58" s="110"/>
    </row>
    <row r="59" spans="2:9" x14ac:dyDescent="0.2">
      <c r="B59" s="88" t="s">
        <v>38</v>
      </c>
      <c r="C59" s="230" t="s">
        <v>39</v>
      </c>
      <c r="D59" s="241"/>
      <c r="E59" s="241"/>
      <c r="F59" s="241"/>
      <c r="G59" s="75"/>
      <c r="H59" s="88" t="s">
        <v>47</v>
      </c>
      <c r="I59" s="93"/>
    </row>
    <row r="60" spans="2:9" ht="12.75" customHeight="1" x14ac:dyDescent="0.2">
      <c r="B60" s="13" t="s">
        <v>4</v>
      </c>
      <c r="C60" s="86" t="s">
        <v>45</v>
      </c>
      <c r="D60" s="164" t="s">
        <v>328</v>
      </c>
      <c r="E60" s="165"/>
      <c r="F60" s="165"/>
      <c r="G60" s="166"/>
      <c r="H60" s="215">
        <f>IF((TRUNC((9.4*2*24)-(H$25*6%),2))&lt;0,"0,00",(TRUNC((9.4*2*24)-(H$25*6%),2)))</f>
        <v>199.39</v>
      </c>
      <c r="I60" s="111"/>
    </row>
    <row r="61" spans="2:9" ht="12.75" customHeight="1" x14ac:dyDescent="0.2">
      <c r="B61" s="13" t="s">
        <v>5</v>
      </c>
      <c r="C61" s="86" t="s">
        <v>46</v>
      </c>
      <c r="D61" s="164" t="s">
        <v>325</v>
      </c>
      <c r="E61" s="165"/>
      <c r="F61" s="165"/>
      <c r="G61" s="166"/>
      <c r="H61" s="215">
        <v>1114.74</v>
      </c>
      <c r="I61" s="111"/>
    </row>
    <row r="62" spans="2:9" x14ac:dyDescent="0.2">
      <c r="B62" s="13" t="s">
        <v>6</v>
      </c>
      <c r="C62" s="86" t="s">
        <v>198</v>
      </c>
      <c r="D62" s="164" t="s">
        <v>194</v>
      </c>
      <c r="E62" s="165"/>
      <c r="F62" s="165"/>
      <c r="G62" s="166"/>
      <c r="H62" s="36">
        <v>41.15</v>
      </c>
      <c r="I62" s="111"/>
    </row>
    <row r="63" spans="2:9" x14ac:dyDescent="0.2">
      <c r="B63" s="13" t="s">
        <v>7</v>
      </c>
      <c r="C63" s="86" t="s">
        <v>326</v>
      </c>
      <c r="D63" s="164" t="s">
        <v>324</v>
      </c>
      <c r="E63" s="165"/>
      <c r="F63" s="165"/>
      <c r="G63" s="166"/>
      <c r="H63" s="215">
        <v>871.98</v>
      </c>
      <c r="I63" s="111"/>
    </row>
    <row r="64" spans="2:9" s="67" customFormat="1" x14ac:dyDescent="0.2">
      <c r="B64" s="13" t="s">
        <v>8</v>
      </c>
      <c r="C64" s="86" t="s">
        <v>204</v>
      </c>
      <c r="D64" s="164" t="s">
        <v>201</v>
      </c>
      <c r="E64" s="165"/>
      <c r="F64" s="165"/>
      <c r="G64" s="166"/>
      <c r="H64" s="36">
        <v>110.26333333333332</v>
      </c>
      <c r="I64" s="111"/>
    </row>
    <row r="65" spans="2:9" x14ac:dyDescent="0.2">
      <c r="B65" s="13" t="s">
        <v>134</v>
      </c>
      <c r="C65" s="230" t="s">
        <v>57</v>
      </c>
      <c r="D65" s="241"/>
      <c r="E65" s="241"/>
      <c r="F65" s="241"/>
      <c r="G65" s="75"/>
      <c r="H65" s="16">
        <f>SUM(H60:H64)</f>
        <v>2337.5233333333335</v>
      </c>
      <c r="I65" s="17"/>
    </row>
    <row r="66" spans="2:9" x14ac:dyDescent="0.2">
      <c r="B66" s="281"/>
      <c r="C66" s="282"/>
      <c r="D66" s="282"/>
      <c r="E66" s="282"/>
      <c r="F66" s="282"/>
      <c r="G66" s="282"/>
      <c r="H66" s="282"/>
      <c r="I66" s="92"/>
    </row>
    <row r="67" spans="2:9" x14ac:dyDescent="0.2">
      <c r="B67" s="297" t="s">
        <v>67</v>
      </c>
      <c r="C67" s="298"/>
      <c r="D67" s="298"/>
      <c r="E67" s="298"/>
      <c r="F67" s="298"/>
      <c r="G67" s="145"/>
      <c r="H67" s="145"/>
      <c r="I67" s="92"/>
    </row>
    <row r="68" spans="2:9" x14ac:dyDescent="0.2">
      <c r="B68" s="88">
        <v>2</v>
      </c>
      <c r="C68" s="230" t="s">
        <v>66</v>
      </c>
      <c r="D68" s="241"/>
      <c r="E68" s="241"/>
      <c r="F68" s="241"/>
      <c r="G68" s="75"/>
      <c r="H68" s="88" t="s">
        <v>47</v>
      </c>
      <c r="I68" s="93"/>
    </row>
    <row r="69" spans="2:9" x14ac:dyDescent="0.2">
      <c r="B69" s="13" t="s">
        <v>36</v>
      </c>
      <c r="C69" s="76" t="s">
        <v>25</v>
      </c>
      <c r="D69" s="164" t="s">
        <v>123</v>
      </c>
      <c r="E69" s="165"/>
      <c r="F69" s="165"/>
      <c r="G69" s="166"/>
      <c r="H69" s="19">
        <f>H43</f>
        <v>919.85</v>
      </c>
      <c r="I69" s="99"/>
    </row>
    <row r="70" spans="2:9" x14ac:dyDescent="0.2">
      <c r="B70" s="13" t="s">
        <v>37</v>
      </c>
      <c r="C70" s="76" t="s">
        <v>26</v>
      </c>
      <c r="D70" s="164" t="s">
        <v>133</v>
      </c>
      <c r="E70" s="165"/>
      <c r="F70" s="165"/>
      <c r="G70" s="166"/>
      <c r="H70" s="19">
        <f>H56</f>
        <v>2248.89</v>
      </c>
      <c r="I70" s="99"/>
    </row>
    <row r="71" spans="2:9" x14ac:dyDescent="0.2">
      <c r="B71" s="13" t="s">
        <v>38</v>
      </c>
      <c r="C71" s="76" t="s">
        <v>39</v>
      </c>
      <c r="D71" s="164" t="s">
        <v>134</v>
      </c>
      <c r="E71" s="165"/>
      <c r="F71" s="165"/>
      <c r="G71" s="166"/>
      <c r="H71" s="19">
        <f>H65</f>
        <v>2337.5233333333335</v>
      </c>
      <c r="I71" s="99"/>
    </row>
    <row r="72" spans="2:9" x14ac:dyDescent="0.2">
      <c r="B72" s="13" t="s">
        <v>135</v>
      </c>
      <c r="C72" s="230" t="s">
        <v>57</v>
      </c>
      <c r="D72" s="241"/>
      <c r="E72" s="241"/>
      <c r="F72" s="241"/>
      <c r="G72" s="75"/>
      <c r="H72" s="16">
        <f>SUM(H69:H71)</f>
        <v>5506.2633333333333</v>
      </c>
      <c r="I72" s="17"/>
    </row>
    <row r="73" spans="2:9" x14ac:dyDescent="0.2">
      <c r="B73" s="282"/>
      <c r="C73" s="282"/>
      <c r="D73" s="282"/>
      <c r="E73" s="282"/>
      <c r="F73" s="282"/>
      <c r="G73" s="282"/>
      <c r="H73" s="282"/>
      <c r="I73" s="93"/>
    </row>
    <row r="74" spans="2:9" x14ac:dyDescent="0.2">
      <c r="B74" s="92"/>
      <c r="C74" s="92"/>
      <c r="D74" s="92"/>
      <c r="E74" s="92"/>
      <c r="F74" s="92"/>
      <c r="G74" s="92"/>
      <c r="H74" s="92"/>
      <c r="I74" s="93"/>
    </row>
    <row r="75" spans="2:9" x14ac:dyDescent="0.2">
      <c r="B75" s="269" t="s">
        <v>68</v>
      </c>
      <c r="C75" s="270"/>
      <c r="D75" s="270"/>
      <c r="E75" s="270"/>
      <c r="F75" s="271"/>
      <c r="G75" s="138"/>
      <c r="H75" s="139"/>
      <c r="I75" s="93"/>
    </row>
    <row r="76" spans="2:9" x14ac:dyDescent="0.2">
      <c r="B76" s="88">
        <v>3</v>
      </c>
      <c r="C76" s="230" t="s">
        <v>58</v>
      </c>
      <c r="D76" s="241"/>
      <c r="E76" s="241"/>
      <c r="F76" s="334"/>
      <c r="G76" s="88" t="s">
        <v>1</v>
      </c>
      <c r="H76" s="88" t="s">
        <v>47</v>
      </c>
      <c r="I76" s="93"/>
    </row>
    <row r="77" spans="2:9" x14ac:dyDescent="0.2">
      <c r="B77" s="13" t="s">
        <v>4</v>
      </c>
      <c r="C77" s="86" t="s">
        <v>185</v>
      </c>
      <c r="D77" s="245" t="s">
        <v>160</v>
      </c>
      <c r="E77" s="247"/>
      <c r="F77" s="181">
        <f>TRUNC(H$55*0.4,2)</f>
        <v>180.81</v>
      </c>
      <c r="G77" s="182"/>
      <c r="H77" s="183"/>
      <c r="I77" s="17"/>
    </row>
    <row r="78" spans="2:9" x14ac:dyDescent="0.2">
      <c r="B78" s="13" t="s">
        <v>5</v>
      </c>
      <c r="C78" s="86" t="s">
        <v>94</v>
      </c>
      <c r="D78" s="299" t="s">
        <v>168</v>
      </c>
      <c r="E78" s="333"/>
      <c r="F78" s="181">
        <f>TRUNC((H$32+H$43+H$55+H$65-H60)/12,2)</f>
        <v>686.72</v>
      </c>
      <c r="G78" s="184"/>
      <c r="H78" s="182"/>
      <c r="I78" s="99"/>
    </row>
    <row r="79" spans="2:9" x14ac:dyDescent="0.2">
      <c r="B79" s="13" t="s">
        <v>6</v>
      </c>
      <c r="C79" s="77" t="s">
        <v>93</v>
      </c>
      <c r="D79" s="164" t="s">
        <v>186</v>
      </c>
      <c r="E79" s="165"/>
      <c r="F79" s="185"/>
      <c r="G79" s="37">
        <v>0.5</v>
      </c>
      <c r="H79" s="22">
        <f>TRUNC((F$78+F77)*$G79,2)</f>
        <v>433.76</v>
      </c>
      <c r="I79" s="186"/>
    </row>
    <row r="80" spans="2:9" x14ac:dyDescent="0.2">
      <c r="B80" s="13" t="s">
        <v>7</v>
      </c>
      <c r="C80" s="77" t="s">
        <v>95</v>
      </c>
      <c r="D80" s="164" t="s">
        <v>187</v>
      </c>
      <c r="E80" s="165"/>
      <c r="F80" s="166"/>
      <c r="G80" s="176">
        <f>1-G79</f>
        <v>0.5</v>
      </c>
      <c r="H80" s="80">
        <f>(TRUNC(F$77*$G80,2))</f>
        <v>90.4</v>
      </c>
      <c r="I80" s="99"/>
    </row>
    <row r="81" spans="2:9" x14ac:dyDescent="0.2">
      <c r="B81" s="13" t="s">
        <v>8</v>
      </c>
      <c r="C81" s="77" t="s">
        <v>165</v>
      </c>
      <c r="D81" s="299" t="s">
        <v>182</v>
      </c>
      <c r="E81" s="300"/>
      <c r="F81" s="38">
        <v>12</v>
      </c>
      <c r="G81" s="38">
        <v>3</v>
      </c>
      <c r="H81" s="19">
        <f>TRUNC(((H$32+H$43+H$56)/30)*$G81/$F81,2)</f>
        <v>65.819999999999993</v>
      </c>
      <c r="I81" s="99"/>
    </row>
    <row r="82" spans="2:9" x14ac:dyDescent="0.2">
      <c r="B82" s="13" t="s">
        <v>137</v>
      </c>
      <c r="C82" s="230" t="s">
        <v>57</v>
      </c>
      <c r="D82" s="241"/>
      <c r="E82" s="241"/>
      <c r="F82" s="241"/>
      <c r="G82" s="75"/>
      <c r="H82" s="16">
        <f>H$79+H$80+H$81</f>
        <v>589.98</v>
      </c>
      <c r="I82" s="17"/>
    </row>
    <row r="83" spans="2:9" x14ac:dyDescent="0.2">
      <c r="B83" s="89"/>
      <c r="C83" s="89"/>
      <c r="D83" s="89"/>
      <c r="E83" s="89"/>
      <c r="F83" s="89"/>
      <c r="G83" s="89"/>
      <c r="H83" s="89"/>
      <c r="I83" s="89"/>
    </row>
    <row r="84" spans="2:9" x14ac:dyDescent="0.2">
      <c r="B84" s="92"/>
      <c r="C84" s="92"/>
      <c r="D84" s="92"/>
      <c r="E84" s="92"/>
      <c r="F84" s="92"/>
      <c r="G84" s="92"/>
      <c r="H84" s="92"/>
      <c r="I84" s="93"/>
    </row>
    <row r="85" spans="2:9" x14ac:dyDescent="0.2">
      <c r="B85" s="269" t="s">
        <v>69</v>
      </c>
      <c r="C85" s="270"/>
      <c r="D85" s="270"/>
      <c r="E85" s="270"/>
      <c r="F85" s="271"/>
      <c r="G85" s="138"/>
      <c r="H85" s="139"/>
      <c r="I85" s="93"/>
    </row>
    <row r="86" spans="2:9" x14ac:dyDescent="0.2">
      <c r="B86" s="272" t="s">
        <v>87</v>
      </c>
      <c r="C86" s="273"/>
      <c r="D86" s="273"/>
      <c r="E86" s="273"/>
      <c r="F86" s="273"/>
      <c r="G86" s="146"/>
      <c r="H86" s="147"/>
      <c r="I86" s="93"/>
    </row>
    <row r="87" spans="2:9" x14ac:dyDescent="0.2">
      <c r="B87" s="88" t="s">
        <v>12</v>
      </c>
      <c r="C87" s="230" t="s">
        <v>88</v>
      </c>
      <c r="D87" s="241"/>
      <c r="E87" s="241"/>
      <c r="F87" s="231"/>
      <c r="G87" s="88" t="s">
        <v>99</v>
      </c>
      <c r="H87" s="88" t="s">
        <v>47</v>
      </c>
      <c r="I87" s="93"/>
    </row>
    <row r="88" spans="2:9" x14ac:dyDescent="0.2">
      <c r="B88" s="13" t="s">
        <v>4</v>
      </c>
      <c r="C88" s="86" t="s">
        <v>184</v>
      </c>
      <c r="D88" s="164" t="s">
        <v>143</v>
      </c>
      <c r="E88" s="165"/>
      <c r="F88" s="166"/>
      <c r="G88" s="38">
        <v>30</v>
      </c>
      <c r="H88" s="19">
        <f>TRUNC((F$90*$G88)/12,2)</f>
        <v>902.22</v>
      </c>
      <c r="I88" s="99"/>
    </row>
    <row r="89" spans="2:9" ht="22.5" x14ac:dyDescent="0.2">
      <c r="B89" s="13" t="s">
        <v>5</v>
      </c>
      <c r="C89" s="78" t="s">
        <v>149</v>
      </c>
      <c r="D89" s="167" t="s">
        <v>150</v>
      </c>
      <c r="E89" s="168"/>
      <c r="F89" s="169"/>
      <c r="G89" s="54">
        <v>8</v>
      </c>
      <c r="H89" s="19">
        <f>TRUNC((F$90*$G89)/12,2)</f>
        <v>240.59</v>
      </c>
      <c r="I89" s="99"/>
    </row>
    <row r="90" spans="2:9" x14ac:dyDescent="0.2">
      <c r="B90" s="13" t="s">
        <v>6</v>
      </c>
      <c r="C90" s="86" t="s">
        <v>106</v>
      </c>
      <c r="D90" s="164" t="s">
        <v>136</v>
      </c>
      <c r="E90" s="165"/>
      <c r="F90" s="180">
        <f>TRUNC((H$32+H$72+H$82)/30,2)</f>
        <v>360.89</v>
      </c>
      <c r="G90" s="179"/>
      <c r="H90" s="178"/>
      <c r="I90" s="177"/>
    </row>
    <row r="91" spans="2:9" x14ac:dyDescent="0.2">
      <c r="B91" s="13" t="s">
        <v>138</v>
      </c>
      <c r="C91" s="230" t="s">
        <v>57</v>
      </c>
      <c r="D91" s="241"/>
      <c r="E91" s="241"/>
      <c r="F91" s="241"/>
      <c r="G91" s="75"/>
      <c r="H91" s="16">
        <f>TRUNC(H$88+H$89,2)</f>
        <v>1142.81</v>
      </c>
      <c r="I91" s="17"/>
    </row>
    <row r="92" spans="2:9" x14ac:dyDescent="0.2">
      <c r="B92" s="68"/>
      <c r="C92" s="69"/>
      <c r="D92" s="69"/>
      <c r="E92" s="69"/>
      <c r="F92" s="69"/>
      <c r="G92" s="69"/>
      <c r="H92" s="70"/>
      <c r="I92" s="23"/>
    </row>
    <row r="93" spans="2:9" x14ac:dyDescent="0.2">
      <c r="B93" s="297" t="s">
        <v>89</v>
      </c>
      <c r="C93" s="298"/>
      <c r="D93" s="298"/>
      <c r="E93" s="298"/>
      <c r="F93" s="298"/>
      <c r="G93" s="148"/>
      <c r="H93" s="149"/>
      <c r="I93" s="93"/>
    </row>
    <row r="94" spans="2:9" x14ac:dyDescent="0.2">
      <c r="B94" s="88" t="s">
        <v>13</v>
      </c>
      <c r="C94" s="230" t="s">
        <v>90</v>
      </c>
      <c r="D94" s="241"/>
      <c r="E94" s="241"/>
      <c r="F94" s="231"/>
      <c r="G94" s="88" t="s">
        <v>99</v>
      </c>
      <c r="H94" s="88" t="s">
        <v>47</v>
      </c>
      <c r="I94" s="93"/>
    </row>
    <row r="95" spans="2:9" ht="22.5" x14ac:dyDescent="0.2">
      <c r="B95" s="13" t="s">
        <v>4</v>
      </c>
      <c r="C95" s="78" t="s">
        <v>91</v>
      </c>
      <c r="D95" s="164" t="s">
        <v>170</v>
      </c>
      <c r="E95" s="165"/>
      <c r="F95" s="165"/>
      <c r="G95" s="38"/>
      <c r="H95" s="19">
        <f>TRUNC(((H$32+H72+H82)/220)*(1+50%)*G95,2)</f>
        <v>0</v>
      </c>
      <c r="I95" s="99"/>
    </row>
    <row r="96" spans="2:9" x14ac:dyDescent="0.2">
      <c r="B96" s="13" t="s">
        <v>139</v>
      </c>
      <c r="C96" s="230" t="s">
        <v>57</v>
      </c>
      <c r="D96" s="241"/>
      <c r="E96" s="241"/>
      <c r="F96" s="241"/>
      <c r="G96" s="124"/>
      <c r="H96" s="16">
        <f>H95</f>
        <v>0</v>
      </c>
      <c r="I96" s="99"/>
    </row>
    <row r="97" spans="2:9" x14ac:dyDescent="0.2">
      <c r="B97" s="91"/>
      <c r="C97" s="90"/>
      <c r="D97" s="90"/>
      <c r="E97" s="90"/>
      <c r="F97" s="90"/>
      <c r="G97" s="92"/>
      <c r="H97" s="163"/>
      <c r="I97" s="114"/>
    </row>
    <row r="98" spans="2:9" x14ac:dyDescent="0.2">
      <c r="B98" s="297" t="s">
        <v>70</v>
      </c>
      <c r="C98" s="298"/>
      <c r="D98" s="298"/>
      <c r="E98" s="298"/>
      <c r="F98" s="298"/>
      <c r="G98" s="148"/>
      <c r="H98" s="149"/>
      <c r="I98" s="93"/>
    </row>
    <row r="99" spans="2:9" x14ac:dyDescent="0.2">
      <c r="B99" s="88">
        <v>4</v>
      </c>
      <c r="C99" s="230" t="s">
        <v>71</v>
      </c>
      <c r="D99" s="241"/>
      <c r="E99" s="241"/>
      <c r="F99" s="241"/>
      <c r="G99" s="231"/>
      <c r="H99" s="88" t="s">
        <v>47</v>
      </c>
      <c r="I99" s="93"/>
    </row>
    <row r="100" spans="2:9" x14ac:dyDescent="0.2">
      <c r="B100" s="13" t="s">
        <v>12</v>
      </c>
      <c r="C100" s="86" t="s">
        <v>40</v>
      </c>
      <c r="D100" s="164" t="s">
        <v>138</v>
      </c>
      <c r="E100" s="165"/>
      <c r="F100" s="165"/>
      <c r="G100" s="166"/>
      <c r="H100" s="19">
        <f>H91</f>
        <v>1142.81</v>
      </c>
      <c r="I100" s="99"/>
    </row>
    <row r="101" spans="2:9" x14ac:dyDescent="0.2">
      <c r="B101" s="13" t="s">
        <v>13</v>
      </c>
      <c r="C101" s="86" t="s">
        <v>42</v>
      </c>
      <c r="D101" s="164" t="s">
        <v>139</v>
      </c>
      <c r="E101" s="165"/>
      <c r="F101" s="165"/>
      <c r="G101" s="166"/>
      <c r="H101" s="19">
        <f>H96</f>
        <v>0</v>
      </c>
      <c r="I101" s="99"/>
    </row>
    <row r="102" spans="2:9" x14ac:dyDescent="0.2">
      <c r="B102" s="13" t="s">
        <v>140</v>
      </c>
      <c r="C102" s="230" t="s">
        <v>57</v>
      </c>
      <c r="D102" s="241"/>
      <c r="E102" s="241"/>
      <c r="F102" s="241"/>
      <c r="G102" s="75"/>
      <c r="H102" s="16">
        <f>SUM(H100:H101)</f>
        <v>1142.81</v>
      </c>
      <c r="I102" s="17"/>
    </row>
    <row r="103" spans="2:9" x14ac:dyDescent="0.2">
      <c r="B103" s="92"/>
      <c r="C103" s="92"/>
      <c r="D103" s="92"/>
      <c r="E103" s="92"/>
      <c r="F103" s="92"/>
      <c r="G103" s="92"/>
      <c r="H103" s="92"/>
      <c r="I103" s="93"/>
    </row>
    <row r="104" spans="2:9" x14ac:dyDescent="0.2">
      <c r="B104" s="92"/>
      <c r="C104" s="92"/>
      <c r="D104" s="92"/>
      <c r="E104" s="92"/>
      <c r="F104" s="92"/>
      <c r="G104" s="92"/>
      <c r="H104" s="92"/>
      <c r="I104" s="93"/>
    </row>
    <row r="105" spans="2:9" x14ac:dyDescent="0.2">
      <c r="B105" s="269" t="s">
        <v>72</v>
      </c>
      <c r="C105" s="270"/>
      <c r="D105" s="270"/>
      <c r="E105" s="270"/>
      <c r="F105" s="271"/>
      <c r="G105" s="138"/>
      <c r="H105" s="139"/>
      <c r="I105" s="93"/>
    </row>
    <row r="106" spans="2:9" x14ac:dyDescent="0.2">
      <c r="B106" s="88">
        <v>5</v>
      </c>
      <c r="C106" s="301" t="s">
        <v>59</v>
      </c>
      <c r="D106" s="302"/>
      <c r="E106" s="302"/>
      <c r="F106" s="302"/>
      <c r="G106" s="303"/>
      <c r="H106" s="88" t="s">
        <v>47</v>
      </c>
      <c r="I106" s="93"/>
    </row>
    <row r="107" spans="2:9" x14ac:dyDescent="0.2">
      <c r="B107" s="13" t="s">
        <v>4</v>
      </c>
      <c r="C107" s="62" t="s">
        <v>43</v>
      </c>
      <c r="D107" s="63"/>
      <c r="E107" s="63"/>
      <c r="F107" s="63"/>
      <c r="G107" s="64"/>
      <c r="H107" s="65">
        <f>Insumos!G15</f>
        <v>134.83000000000001</v>
      </c>
      <c r="I107" s="99"/>
    </row>
    <row r="108" spans="2:9" x14ac:dyDescent="0.2">
      <c r="B108" s="13" t="s">
        <v>5</v>
      </c>
      <c r="C108" s="62" t="s">
        <v>285</v>
      </c>
      <c r="D108" s="63"/>
      <c r="E108" s="63"/>
      <c r="F108" s="63"/>
      <c r="G108" s="64"/>
      <c r="H108" s="65"/>
      <c r="I108" s="99"/>
    </row>
    <row r="109" spans="2:9" x14ac:dyDescent="0.2">
      <c r="B109" s="13" t="s">
        <v>6</v>
      </c>
      <c r="C109" s="62" t="s">
        <v>2</v>
      </c>
      <c r="D109" s="63"/>
      <c r="E109" s="63"/>
      <c r="F109" s="63"/>
      <c r="G109" s="64"/>
      <c r="H109" s="65"/>
      <c r="I109" s="99"/>
    </row>
    <row r="110" spans="2:9" x14ac:dyDescent="0.2">
      <c r="B110" s="13" t="s">
        <v>141</v>
      </c>
      <c r="C110" s="230" t="s">
        <v>57</v>
      </c>
      <c r="D110" s="241"/>
      <c r="E110" s="241"/>
      <c r="F110" s="241"/>
      <c r="G110" s="75"/>
      <c r="H110" s="16">
        <f>SUM(H107:H109)</f>
        <v>134.83000000000001</v>
      </c>
      <c r="I110" s="17"/>
    </row>
    <row r="111" spans="2:9" x14ac:dyDescent="0.2">
      <c r="B111" s="92"/>
      <c r="C111" s="92"/>
      <c r="D111" s="92"/>
      <c r="E111" s="92"/>
      <c r="F111" s="92"/>
      <c r="G111" s="71"/>
      <c r="H111" s="66"/>
      <c r="I111" s="17"/>
    </row>
    <row r="112" spans="2:9" x14ac:dyDescent="0.2">
      <c r="B112" s="92"/>
      <c r="C112" s="92"/>
      <c r="D112" s="92"/>
      <c r="E112" s="92"/>
      <c r="F112" s="92"/>
      <c r="G112" s="92"/>
      <c r="H112" s="92"/>
      <c r="I112" s="93"/>
    </row>
    <row r="113" spans="2:9" x14ac:dyDescent="0.2">
      <c r="B113" s="269" t="s">
        <v>73</v>
      </c>
      <c r="C113" s="270"/>
      <c r="D113" s="270"/>
      <c r="E113" s="270"/>
      <c r="F113" s="271"/>
      <c r="G113" s="138"/>
      <c r="H113" s="139"/>
      <c r="I113" s="93"/>
    </row>
    <row r="114" spans="2:9" x14ac:dyDescent="0.2">
      <c r="B114" s="88">
        <v>6</v>
      </c>
      <c r="C114" s="230" t="s">
        <v>60</v>
      </c>
      <c r="D114" s="241"/>
      <c r="E114" s="241"/>
      <c r="F114" s="231"/>
      <c r="G114" s="88" t="s">
        <v>1</v>
      </c>
      <c r="H114" s="88" t="s">
        <v>47</v>
      </c>
      <c r="I114" s="93"/>
    </row>
    <row r="115" spans="2:9" x14ac:dyDescent="0.2">
      <c r="B115" s="13" t="s">
        <v>4</v>
      </c>
      <c r="C115" s="86" t="s">
        <v>14</v>
      </c>
      <c r="D115" s="245" t="s">
        <v>151</v>
      </c>
      <c r="E115" s="246"/>
      <c r="F115" s="247"/>
      <c r="G115" s="43">
        <v>0.05</v>
      </c>
      <c r="H115" s="19">
        <f>TRUNC(H$132*$G115,2)</f>
        <v>605.23</v>
      </c>
      <c r="I115" s="99"/>
    </row>
    <row r="116" spans="2:9" x14ac:dyDescent="0.2">
      <c r="B116" s="13" t="s">
        <v>5</v>
      </c>
      <c r="C116" s="86" t="s">
        <v>3</v>
      </c>
      <c r="D116" s="245" t="s">
        <v>152</v>
      </c>
      <c r="E116" s="246"/>
      <c r="F116" s="247"/>
      <c r="G116" s="43">
        <v>0.1</v>
      </c>
      <c r="H116" s="19">
        <f>TRUNC((H$132+H$115)*$G116,2)</f>
        <v>1270.98</v>
      </c>
      <c r="I116" s="99"/>
    </row>
    <row r="117" spans="2:9" x14ac:dyDescent="0.2">
      <c r="B117" s="13" t="s">
        <v>6</v>
      </c>
      <c r="C117" s="86" t="s">
        <v>110</v>
      </c>
      <c r="D117" s="245" t="s">
        <v>153</v>
      </c>
      <c r="E117" s="246"/>
      <c r="F117" s="247"/>
      <c r="G117" s="45">
        <f>1-(G118+G119+G120)</f>
        <v>0.85749999999999993</v>
      </c>
      <c r="H117" s="24">
        <f>TRUNC(((H$132+H$115+H$116)/$G117),2)</f>
        <v>16304.16</v>
      </c>
      <c r="I117" s="101"/>
    </row>
    <row r="118" spans="2:9" x14ac:dyDescent="0.2">
      <c r="B118" s="13" t="s">
        <v>19</v>
      </c>
      <c r="C118" s="86" t="s">
        <v>16</v>
      </c>
      <c r="D118" s="245" t="s">
        <v>154</v>
      </c>
      <c r="E118" s="246"/>
      <c r="F118" s="247"/>
      <c r="G118" s="44">
        <v>1.6500000000000001E-2</v>
      </c>
      <c r="H118" s="19">
        <f>TRUNC(H$117*$G118,2)</f>
        <v>269.01</v>
      </c>
      <c r="I118" s="99"/>
    </row>
    <row r="119" spans="2:9" x14ac:dyDescent="0.2">
      <c r="B119" s="13" t="s">
        <v>20</v>
      </c>
      <c r="C119" s="86" t="s">
        <v>17</v>
      </c>
      <c r="D119" s="245" t="s">
        <v>154</v>
      </c>
      <c r="E119" s="246"/>
      <c r="F119" s="247"/>
      <c r="G119" s="44">
        <v>7.5999999999999998E-2</v>
      </c>
      <c r="H119" s="19">
        <f>TRUNC(H$117*$G119,2)</f>
        <v>1239.1099999999999</v>
      </c>
      <c r="I119" s="99"/>
    </row>
    <row r="120" spans="2:9" x14ac:dyDescent="0.2">
      <c r="B120" s="13" t="s">
        <v>21</v>
      </c>
      <c r="C120" s="86" t="s">
        <v>18</v>
      </c>
      <c r="D120" s="245" t="s">
        <v>154</v>
      </c>
      <c r="E120" s="246"/>
      <c r="F120" s="247"/>
      <c r="G120" s="44">
        <v>0.05</v>
      </c>
      <c r="H120" s="19">
        <f>TRUNC(H$117*$G120,2)</f>
        <v>815.2</v>
      </c>
      <c r="I120" s="99"/>
    </row>
    <row r="121" spans="2:9" x14ac:dyDescent="0.2">
      <c r="B121" s="13" t="s">
        <v>142</v>
      </c>
      <c r="C121" s="82" t="s">
        <v>57</v>
      </c>
      <c r="D121" s="307" t="s">
        <v>144</v>
      </c>
      <c r="E121" s="307"/>
      <c r="F121" s="307"/>
      <c r="G121" s="162"/>
      <c r="H121" s="16">
        <f>SUM(H115:H120)-H117</f>
        <v>4199.5299999999988</v>
      </c>
      <c r="I121" s="17"/>
    </row>
    <row r="122" spans="2:9" x14ac:dyDescent="0.2">
      <c r="B122" s="60"/>
      <c r="C122" s="60"/>
      <c r="D122" s="60"/>
      <c r="E122" s="60"/>
      <c r="F122" s="60"/>
      <c r="G122" s="60"/>
      <c r="H122" s="72"/>
      <c r="I122" s="25"/>
    </row>
    <row r="123" spans="2:9" x14ac:dyDescent="0.2">
      <c r="B123" s="304" t="s">
        <v>177</v>
      </c>
      <c r="C123" s="304"/>
      <c r="D123" s="304"/>
      <c r="E123" s="304"/>
      <c r="F123" s="304"/>
      <c r="G123" s="304"/>
      <c r="H123" s="304"/>
      <c r="I123" s="108"/>
    </row>
    <row r="124" spans="2:9" x14ac:dyDescent="0.2">
      <c r="B124" s="85"/>
      <c r="C124" s="85"/>
      <c r="D124" s="85"/>
      <c r="E124" s="85"/>
      <c r="F124" s="85"/>
      <c r="G124" s="85"/>
      <c r="H124" s="85"/>
      <c r="I124" s="108"/>
    </row>
    <row r="125" spans="2:9" x14ac:dyDescent="0.2">
      <c r="B125" s="269" t="s">
        <v>178</v>
      </c>
      <c r="C125" s="270"/>
      <c r="D125" s="270"/>
      <c r="E125" s="270"/>
      <c r="F125" s="270"/>
      <c r="G125" s="156"/>
      <c r="H125" s="139"/>
      <c r="I125" s="93"/>
    </row>
    <row r="126" spans="2:9" ht="12.75" customHeight="1" x14ac:dyDescent="0.2">
      <c r="B126" s="154"/>
      <c r="C126" s="335" t="s">
        <v>111</v>
      </c>
      <c r="D126" s="336"/>
      <c r="E126" s="336"/>
      <c r="F126" s="336"/>
      <c r="G126" s="155"/>
      <c r="H126" s="137" t="s">
        <v>47</v>
      </c>
      <c r="I126" s="93"/>
    </row>
    <row r="127" spans="2:9" x14ac:dyDescent="0.2">
      <c r="B127" s="13" t="s">
        <v>4</v>
      </c>
      <c r="C127" s="78" t="s">
        <v>75</v>
      </c>
      <c r="D127" s="164" t="s">
        <v>121</v>
      </c>
      <c r="E127" s="165"/>
      <c r="F127" s="165"/>
      <c r="G127" s="166"/>
      <c r="H127" s="19">
        <f>H32</f>
        <v>4730.7300000000005</v>
      </c>
      <c r="I127" s="99"/>
    </row>
    <row r="128" spans="2:9" ht="22.5" x14ac:dyDescent="0.2">
      <c r="B128" s="13" t="s">
        <v>5</v>
      </c>
      <c r="C128" s="78" t="s">
        <v>76</v>
      </c>
      <c r="D128" s="164" t="s">
        <v>135</v>
      </c>
      <c r="E128" s="165"/>
      <c r="F128" s="165"/>
      <c r="G128" s="166"/>
      <c r="H128" s="19">
        <f>H72</f>
        <v>5506.2633333333333</v>
      </c>
      <c r="I128" s="99"/>
    </row>
    <row r="129" spans="2:9" x14ac:dyDescent="0.2">
      <c r="B129" s="13" t="s">
        <v>6</v>
      </c>
      <c r="C129" s="78" t="s">
        <v>77</v>
      </c>
      <c r="D129" s="164" t="s">
        <v>137</v>
      </c>
      <c r="E129" s="165"/>
      <c r="F129" s="165"/>
      <c r="G129" s="166"/>
      <c r="H129" s="19">
        <f>H82</f>
        <v>589.98</v>
      </c>
      <c r="I129" s="99"/>
    </row>
    <row r="130" spans="2:9" ht="22.5" x14ac:dyDescent="0.2">
      <c r="B130" s="13" t="s">
        <v>7</v>
      </c>
      <c r="C130" s="78" t="s">
        <v>41</v>
      </c>
      <c r="D130" s="164" t="s">
        <v>140</v>
      </c>
      <c r="E130" s="165"/>
      <c r="F130" s="165"/>
      <c r="G130" s="166"/>
      <c r="H130" s="19">
        <f>H102</f>
        <v>1142.81</v>
      </c>
      <c r="I130" s="99"/>
    </row>
    <row r="131" spans="2:9" x14ac:dyDescent="0.2">
      <c r="B131" s="13" t="s">
        <v>8</v>
      </c>
      <c r="C131" s="78" t="s">
        <v>78</v>
      </c>
      <c r="D131" s="164" t="s">
        <v>141</v>
      </c>
      <c r="E131" s="165"/>
      <c r="F131" s="165"/>
      <c r="G131" s="166"/>
      <c r="H131" s="19">
        <f>H110</f>
        <v>134.83000000000001</v>
      </c>
      <c r="I131" s="99"/>
    </row>
    <row r="132" spans="2:9" x14ac:dyDescent="0.2">
      <c r="B132" s="84" t="s">
        <v>9</v>
      </c>
      <c r="C132" s="77" t="s">
        <v>44</v>
      </c>
      <c r="D132" s="170" t="s">
        <v>158</v>
      </c>
      <c r="E132" s="171"/>
      <c r="F132" s="171"/>
      <c r="G132" s="172"/>
      <c r="H132" s="22">
        <f>SUM(H127:H131)</f>
        <v>12104.613333333333</v>
      </c>
      <c r="I132" s="17"/>
    </row>
    <row r="133" spans="2:9" x14ac:dyDescent="0.2">
      <c r="B133" s="13" t="s">
        <v>10</v>
      </c>
      <c r="C133" s="86" t="s">
        <v>79</v>
      </c>
      <c r="D133" s="164" t="s">
        <v>142</v>
      </c>
      <c r="E133" s="165"/>
      <c r="F133" s="165"/>
      <c r="G133" s="166"/>
      <c r="H133" s="19">
        <f>H121</f>
        <v>4199.5299999999988</v>
      </c>
      <c r="I133" s="99"/>
    </row>
    <row r="134" spans="2:9" x14ac:dyDescent="0.2">
      <c r="B134" s="13" t="s">
        <v>145</v>
      </c>
      <c r="C134" s="81" t="s">
        <v>74</v>
      </c>
      <c r="D134" s="173" t="s">
        <v>157</v>
      </c>
      <c r="E134" s="161"/>
      <c r="F134" s="161"/>
      <c r="G134" s="162"/>
      <c r="H134" s="27">
        <f>SUM(H132:H133)</f>
        <v>16304.143333333332</v>
      </c>
      <c r="I134" s="112"/>
    </row>
    <row r="135" spans="2:9" ht="12.75" customHeight="1" x14ac:dyDescent="0.2">
      <c r="B135" s="11"/>
      <c r="C135" s="11"/>
      <c r="D135" s="11"/>
      <c r="E135" s="11"/>
      <c r="F135" s="11"/>
      <c r="G135" s="11"/>
      <c r="H135" s="28"/>
      <c r="I135" s="28"/>
    </row>
    <row r="136" spans="2:9" x14ac:dyDescent="0.2">
      <c r="B136" s="304" t="s">
        <v>179</v>
      </c>
      <c r="C136" s="304"/>
      <c r="D136" s="304"/>
      <c r="E136" s="304"/>
      <c r="F136" s="304"/>
      <c r="I136" s="11"/>
    </row>
    <row r="137" spans="2:9" x14ac:dyDescent="0.2">
      <c r="B137" s="73"/>
      <c r="C137" s="73"/>
      <c r="D137" s="73"/>
      <c r="E137" s="67"/>
      <c r="F137" s="67"/>
      <c r="I137" s="11"/>
    </row>
    <row r="138" spans="2:9" x14ac:dyDescent="0.2">
      <c r="B138" s="248" t="s">
        <v>180</v>
      </c>
      <c r="C138" s="249"/>
      <c r="D138" s="249"/>
      <c r="E138" s="249"/>
      <c r="F138" s="249"/>
      <c r="G138" s="156"/>
      <c r="H138" s="139"/>
      <c r="I138" s="109"/>
    </row>
    <row r="139" spans="2:9" x14ac:dyDescent="0.2">
      <c r="B139" s="125" t="s">
        <v>4</v>
      </c>
      <c r="C139" s="157" t="s">
        <v>100</v>
      </c>
      <c r="D139" s="337" t="s">
        <v>145</v>
      </c>
      <c r="E139" s="338"/>
      <c r="F139" s="338"/>
      <c r="G139" s="158"/>
      <c r="H139" s="159">
        <f>H134</f>
        <v>16304.143333333332</v>
      </c>
      <c r="I139" s="107"/>
    </row>
    <row r="140" spans="2:9" ht="22.5" x14ac:dyDescent="0.2">
      <c r="B140" s="13" t="s">
        <v>5</v>
      </c>
      <c r="C140" s="79" t="s">
        <v>147</v>
      </c>
      <c r="D140" s="314" t="s">
        <v>148</v>
      </c>
      <c r="E140" s="315"/>
      <c r="F140" s="315"/>
      <c r="G140" s="152"/>
      <c r="H140" s="9">
        <f>H43+H82+H100</f>
        <v>2652.64</v>
      </c>
      <c r="I140" s="102"/>
    </row>
    <row r="141" spans="2:9" ht="22.5" x14ac:dyDescent="0.2">
      <c r="B141" s="13" t="s">
        <v>6</v>
      </c>
      <c r="C141" s="79" t="s">
        <v>161</v>
      </c>
      <c r="D141" s="314" t="s">
        <v>169</v>
      </c>
      <c r="E141" s="315"/>
      <c r="F141" s="315"/>
      <c r="G141" s="153"/>
      <c r="H141" s="106">
        <f>TRUNC((H$43*$G56),2)</f>
        <v>366.1</v>
      </c>
      <c r="I141" s="107"/>
    </row>
    <row r="142" spans="2:9" ht="12.75" customHeight="1" x14ac:dyDescent="0.2">
      <c r="B142" s="13" t="s">
        <v>7</v>
      </c>
      <c r="C142" s="79" t="s">
        <v>14</v>
      </c>
      <c r="D142" s="308" t="s">
        <v>155</v>
      </c>
      <c r="E142" s="309"/>
      <c r="F142" s="310"/>
      <c r="G142" s="10">
        <f>G115</f>
        <v>0.05</v>
      </c>
      <c r="H142" s="9">
        <f>TRUNC((H$140+H$141)*$G142,2)</f>
        <v>150.93</v>
      </c>
      <c r="I142" s="102"/>
    </row>
    <row r="143" spans="2:9" ht="12.75" customHeight="1" x14ac:dyDescent="0.2">
      <c r="B143" s="13" t="s">
        <v>8</v>
      </c>
      <c r="C143" s="79" t="s">
        <v>3</v>
      </c>
      <c r="D143" s="308" t="s">
        <v>156</v>
      </c>
      <c r="E143" s="309"/>
      <c r="F143" s="310"/>
      <c r="G143" s="10">
        <f>G116</f>
        <v>0.1</v>
      </c>
      <c r="H143" s="9">
        <f>TRUNC((H$140+H$141+H$142)*$G143,2)</f>
        <v>316.95999999999998</v>
      </c>
      <c r="I143" s="102"/>
    </row>
    <row r="144" spans="2:9" ht="12.75" customHeight="1" x14ac:dyDescent="0.2">
      <c r="B144" s="13" t="s">
        <v>9</v>
      </c>
      <c r="C144" s="79" t="s">
        <v>101</v>
      </c>
      <c r="D144" s="308" t="s">
        <v>163</v>
      </c>
      <c r="E144" s="309"/>
      <c r="F144" s="310"/>
      <c r="G144" s="10">
        <f>G118+G119+G120</f>
        <v>0.14250000000000002</v>
      </c>
      <c r="H144" s="9">
        <f>TRUNC((H$140+H$141+H$142+H$143)/(1-$G144)-(H$140+H$141+H$142+H$143),2)</f>
        <v>579.41</v>
      </c>
      <c r="I144" s="102"/>
    </row>
    <row r="145" spans="2:9" ht="22.5" x14ac:dyDescent="0.2">
      <c r="B145" s="13" t="s">
        <v>10</v>
      </c>
      <c r="C145" s="126" t="s">
        <v>102</v>
      </c>
      <c r="D145" s="150" t="s">
        <v>164</v>
      </c>
      <c r="E145" s="151"/>
      <c r="F145" s="151"/>
      <c r="G145" s="152"/>
      <c r="H145" s="127">
        <f>SUM(H140:H144)</f>
        <v>4066.0399999999995</v>
      </c>
      <c r="I145" s="103"/>
    </row>
    <row r="146" spans="2:9" x14ac:dyDescent="0.2">
      <c r="B146" s="13" t="s">
        <v>146</v>
      </c>
      <c r="C146" s="83" t="s">
        <v>118</v>
      </c>
      <c r="D146" s="316" t="s">
        <v>162</v>
      </c>
      <c r="E146" s="317"/>
      <c r="F146" s="317"/>
      <c r="G146" s="160"/>
      <c r="H146" s="29">
        <f>H139-H145</f>
        <v>12238.103333333333</v>
      </c>
      <c r="I146" s="113"/>
    </row>
    <row r="147" spans="2:9" ht="45" customHeight="1" x14ac:dyDescent="0.2">
      <c r="B147" s="311" t="s">
        <v>117</v>
      </c>
      <c r="C147" s="312"/>
      <c r="D147" s="312"/>
      <c r="E147" s="312"/>
      <c r="F147" s="312"/>
      <c r="G147" s="313"/>
      <c r="H147" s="136"/>
      <c r="I147" s="104"/>
    </row>
  </sheetData>
  <mergeCells count="105">
    <mergeCell ref="D144:F144"/>
    <mergeCell ref="D146:F146"/>
    <mergeCell ref="B147:G147"/>
    <mergeCell ref="B138:F138"/>
    <mergeCell ref="D139:F139"/>
    <mergeCell ref="D140:F140"/>
    <mergeCell ref="D141:F141"/>
    <mergeCell ref="D142:F142"/>
    <mergeCell ref="D143:F143"/>
    <mergeCell ref="D120:F120"/>
    <mergeCell ref="D121:F121"/>
    <mergeCell ref="B123:H123"/>
    <mergeCell ref="B125:F125"/>
    <mergeCell ref="C126:F126"/>
    <mergeCell ref="B136:F136"/>
    <mergeCell ref="C114:F114"/>
    <mergeCell ref="D115:F115"/>
    <mergeCell ref="D116:F116"/>
    <mergeCell ref="D117:F117"/>
    <mergeCell ref="D118:F118"/>
    <mergeCell ref="D119:F119"/>
    <mergeCell ref="C99:G99"/>
    <mergeCell ref="C102:F102"/>
    <mergeCell ref="B105:F105"/>
    <mergeCell ref="C106:G106"/>
    <mergeCell ref="C110:F110"/>
    <mergeCell ref="B113:F113"/>
    <mergeCell ref="C87:F87"/>
    <mergeCell ref="C91:F91"/>
    <mergeCell ref="B93:F93"/>
    <mergeCell ref="C94:F94"/>
    <mergeCell ref="C96:F96"/>
    <mergeCell ref="B98:F98"/>
    <mergeCell ref="D77:E77"/>
    <mergeCell ref="D78:E78"/>
    <mergeCell ref="D81:E81"/>
    <mergeCell ref="C82:F82"/>
    <mergeCell ref="B85:F85"/>
    <mergeCell ref="B86:F86"/>
    <mergeCell ref="B67:F67"/>
    <mergeCell ref="C68:F68"/>
    <mergeCell ref="C72:F72"/>
    <mergeCell ref="B73:H73"/>
    <mergeCell ref="B75:F75"/>
    <mergeCell ref="C76:F76"/>
    <mergeCell ref="C56:F56"/>
    <mergeCell ref="B57:H57"/>
    <mergeCell ref="B58:F58"/>
    <mergeCell ref="C59:F59"/>
    <mergeCell ref="C65:F65"/>
    <mergeCell ref="B66:H66"/>
    <mergeCell ref="H49:H50"/>
    <mergeCell ref="D51:F51"/>
    <mergeCell ref="D52:F52"/>
    <mergeCell ref="D53:F53"/>
    <mergeCell ref="D54:F54"/>
    <mergeCell ref="D55:F55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32:F32"/>
    <mergeCell ref="C33:F34"/>
    <mergeCell ref="B37:F37"/>
    <mergeCell ref="B38:F38"/>
    <mergeCell ref="B39:F39"/>
    <mergeCell ref="C40:F40"/>
    <mergeCell ref="D26:F26"/>
    <mergeCell ref="D28:F28"/>
    <mergeCell ref="D29:F29"/>
    <mergeCell ref="D31:F31"/>
    <mergeCell ref="D30:F30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</mergeCells>
  <dataValidations count="11">
    <dataValidation operator="equal" allowBlank="1" showInputMessage="1" showErrorMessage="1" errorTitle="Valor errado" error="Percentual fixo. Preencher com 40%." sqref="F77" xr:uid="{BD39F856-68F1-4347-B4EA-647A2D163C83}"/>
    <dataValidation type="list" allowBlank="1" showInputMessage="1" showErrorMessage="1" sqref="G26" xr:uid="{15432AD6-F381-4670-A73D-A8B70DE1DA7F}">
      <formula1>"0%, 30%"</formula1>
    </dataValidation>
    <dataValidation type="list" allowBlank="1" showInputMessage="1" showErrorMessage="1" sqref="G27" xr:uid="{03AF0F34-EC86-4988-942D-9E053B791168}">
      <formula1>"0%, 10%, 20%, 40%"</formula1>
    </dataValidation>
    <dataValidation type="list" allowBlank="1" showInputMessage="1" showErrorMessage="1" sqref="E50" xr:uid="{75AF059A-9D42-4ED1-BC16-58E87E22F097}">
      <formula1>"1%, 2%, 3%"</formula1>
    </dataValidation>
    <dataValidation type="list" allowBlank="1" showInputMessage="1" showErrorMessage="1" sqref="G28:G29" xr:uid="{8351AC7E-5708-4B9A-B8A4-0B6D022FEFB2}">
      <formula1>"0, 20%"</formula1>
    </dataValidation>
    <dataValidation type="list" allowBlank="1" showInputMessage="1" showErrorMessage="1" sqref="G119" xr:uid="{9DF4F78C-D969-4C04-AD7A-953F7A98BAA9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18" xr:uid="{F070E130-1644-41F7-B4C7-7A9873FF26F5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:G31" xr:uid="{AAB428DE-292B-429B-8B83-CEB9CD77CA17}">
      <formula1>"0, 50%, 100%"</formula1>
    </dataValidation>
    <dataValidation type="whole" allowBlank="1" showInputMessage="1" showErrorMessage="1" errorTitle="Valor errado" error="Quantidade fixa de dias. Prencher com 30" sqref="G88" xr:uid="{516A2A46-6B5B-4E8C-AFC7-62FA133AB178}">
      <formula1>30</formula1>
      <formula2>30</formula2>
    </dataValidation>
    <dataValidation type="custom" allowBlank="1" showInputMessage="1" showErrorMessage="1" sqref="G117" xr:uid="{BA475913-C5A4-422B-B9BE-54A009489E84}">
      <formula1>1-(G118+G119+G120)</formula1>
    </dataValidation>
    <dataValidation type="list" allowBlank="1" showInputMessage="1" showErrorMessage="1" sqref="G81" xr:uid="{5838339F-21A5-4118-B26D-0C07BE1BFC6D}">
      <formula1>"3,6,9,12,15"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885E9-53F9-40C8-B7CA-5F5E9632771A}">
  <dimension ref="B1:J148"/>
  <sheetViews>
    <sheetView topLeftCell="A116" workbookViewId="0">
      <selection activeCell="B99" sqref="B99:H148"/>
    </sheetView>
  </sheetViews>
  <sheetFormatPr defaultColWidth="9.140625" defaultRowHeight="12.75" x14ac:dyDescent="0.2"/>
  <cols>
    <col min="1" max="1" width="3.5703125" style="56" customWidth="1"/>
    <col min="2" max="2" width="8.28515625" style="56" customWidth="1"/>
    <col min="3" max="3" width="39.140625" style="56" customWidth="1"/>
    <col min="4" max="4" width="29.140625" style="56" customWidth="1"/>
    <col min="5" max="5" width="8.140625" style="56" customWidth="1"/>
    <col min="6" max="6" width="10.7109375" style="56" bestFit="1" customWidth="1"/>
    <col min="7" max="7" width="9.140625" style="56"/>
    <col min="8" max="9" width="15.28515625" style="56" customWidth="1"/>
    <col min="10" max="16384" width="9.140625" style="56"/>
  </cols>
  <sheetData>
    <row r="1" spans="2:9" x14ac:dyDescent="0.2">
      <c r="C1" s="105"/>
      <c r="D1" s="11"/>
      <c r="E1" s="11"/>
      <c r="F1" s="11"/>
      <c r="G1" s="11"/>
      <c r="H1" s="11"/>
      <c r="I1" s="11"/>
    </row>
    <row r="2" spans="2:9" x14ac:dyDescent="0.2">
      <c r="B2" s="237" t="s">
        <v>48</v>
      </c>
      <c r="C2" s="237"/>
      <c r="D2" s="237"/>
      <c r="E2" s="237"/>
      <c r="F2" s="237"/>
      <c r="G2" s="237"/>
      <c r="H2" s="237"/>
      <c r="I2" s="92"/>
    </row>
    <row r="3" spans="2:9" x14ac:dyDescent="0.2">
      <c r="B3" s="238" t="s">
        <v>176</v>
      </c>
      <c r="C3" s="238"/>
      <c r="D3" s="238"/>
      <c r="E3" s="238"/>
      <c r="F3" s="238"/>
      <c r="G3" s="238"/>
      <c r="H3" s="238"/>
      <c r="I3" s="94"/>
    </row>
    <row r="4" spans="2:9" x14ac:dyDescent="0.2">
      <c r="B4" s="58"/>
      <c r="C4" s="58"/>
      <c r="D4" s="58"/>
      <c r="E4" s="58"/>
      <c r="F4" s="58"/>
      <c r="G4" s="58"/>
      <c r="H4" s="58"/>
      <c r="I4" s="58"/>
    </row>
    <row r="5" spans="2:9" x14ac:dyDescent="0.2">
      <c r="B5" s="58"/>
      <c r="C5" s="58"/>
      <c r="D5" s="58"/>
      <c r="E5" s="58"/>
      <c r="F5" s="58"/>
      <c r="G5" s="58"/>
      <c r="H5" s="58"/>
      <c r="I5" s="58"/>
    </row>
    <row r="6" spans="2:9" x14ac:dyDescent="0.2">
      <c r="B6" s="134" t="s">
        <v>119</v>
      </c>
      <c r="C6" s="134"/>
      <c r="D6" s="242" t="s">
        <v>199</v>
      </c>
      <c r="E6" s="243"/>
      <c r="F6" s="244"/>
      <c r="I6" s="12"/>
    </row>
    <row r="7" spans="2:9" x14ac:dyDescent="0.2">
      <c r="B7" s="58"/>
      <c r="C7" s="58"/>
      <c r="D7" s="58"/>
      <c r="E7" s="58"/>
      <c r="F7" s="58"/>
      <c r="G7" s="58"/>
      <c r="H7" s="58"/>
      <c r="I7" s="11"/>
    </row>
    <row r="8" spans="2:9" x14ac:dyDescent="0.2">
      <c r="B8" s="322" t="s">
        <v>49</v>
      </c>
      <c r="C8" s="322"/>
      <c r="D8" s="322"/>
      <c r="E8" s="322"/>
      <c r="F8" s="322"/>
      <c r="G8" s="135"/>
      <c r="H8" s="135"/>
      <c r="I8" s="57"/>
    </row>
    <row r="9" spans="2:9" x14ac:dyDescent="0.2">
      <c r="B9" s="318">
        <v>1</v>
      </c>
      <c r="C9" s="319" t="s">
        <v>50</v>
      </c>
      <c r="D9" s="319"/>
      <c r="E9" s="319"/>
      <c r="F9" s="319"/>
      <c r="G9" s="135"/>
      <c r="H9" s="135"/>
      <c r="I9" s="57"/>
    </row>
    <row r="10" spans="2:9" x14ac:dyDescent="0.2">
      <c r="B10" s="318"/>
      <c r="C10" s="320"/>
      <c r="D10" s="320"/>
      <c r="E10" s="320"/>
      <c r="F10" s="320"/>
      <c r="G10" s="135"/>
      <c r="H10" s="135"/>
      <c r="I10" s="57"/>
    </row>
    <row r="11" spans="2:9" x14ac:dyDescent="0.2">
      <c r="B11" s="318">
        <v>2</v>
      </c>
      <c r="C11" s="319" t="s">
        <v>51</v>
      </c>
      <c r="D11" s="319"/>
      <c r="E11" s="319"/>
      <c r="F11" s="319"/>
      <c r="G11" s="135"/>
      <c r="H11" s="135"/>
      <c r="I11" s="57"/>
    </row>
    <row r="12" spans="2:9" x14ac:dyDescent="0.2">
      <c r="B12" s="318"/>
      <c r="C12" s="320"/>
      <c r="D12" s="320"/>
      <c r="E12" s="320"/>
      <c r="F12" s="320"/>
      <c r="G12" s="135"/>
      <c r="H12" s="135"/>
      <c r="I12" s="57"/>
    </row>
    <row r="13" spans="2:9" x14ac:dyDescent="0.2">
      <c r="B13" s="318">
        <v>3</v>
      </c>
      <c r="C13" s="319" t="s">
        <v>52</v>
      </c>
      <c r="D13" s="319"/>
      <c r="E13" s="319"/>
      <c r="F13" s="319"/>
      <c r="G13" s="135"/>
      <c r="H13" s="135"/>
      <c r="I13" s="57"/>
    </row>
    <row r="14" spans="2:9" x14ac:dyDescent="0.2">
      <c r="B14" s="318"/>
      <c r="C14" s="321"/>
      <c r="D14" s="321"/>
      <c r="E14" s="321"/>
      <c r="F14" s="321"/>
      <c r="G14" s="135"/>
      <c r="H14" s="135"/>
      <c r="I14" s="57"/>
    </row>
    <row r="15" spans="2:9" x14ac:dyDescent="0.2">
      <c r="B15" s="318">
        <v>4</v>
      </c>
      <c r="C15" s="319" t="s">
        <v>53</v>
      </c>
      <c r="D15" s="319"/>
      <c r="E15" s="319"/>
      <c r="F15" s="319"/>
      <c r="G15" s="135"/>
      <c r="H15" s="135"/>
      <c r="I15" s="57"/>
    </row>
    <row r="16" spans="2:9" x14ac:dyDescent="0.2">
      <c r="B16" s="318"/>
      <c r="C16" s="320"/>
      <c r="D16" s="320"/>
      <c r="E16" s="320"/>
      <c r="F16" s="320"/>
      <c r="G16" s="135"/>
      <c r="H16" s="135"/>
      <c r="I16" s="57"/>
    </row>
    <row r="17" spans="2:9" x14ac:dyDescent="0.2">
      <c r="B17" s="318">
        <v>5</v>
      </c>
      <c r="C17" s="319" t="s">
        <v>54</v>
      </c>
      <c r="D17" s="319"/>
      <c r="E17" s="319"/>
      <c r="F17" s="319"/>
      <c r="G17" s="135"/>
      <c r="H17" s="135"/>
      <c r="I17" s="57"/>
    </row>
    <row r="18" spans="2:9" x14ac:dyDescent="0.2">
      <c r="B18" s="318"/>
      <c r="C18" s="320"/>
      <c r="D18" s="320"/>
      <c r="E18" s="320"/>
      <c r="F18" s="320"/>
      <c r="G18" s="135"/>
      <c r="H18" s="135"/>
      <c r="I18" s="57"/>
    </row>
    <row r="19" spans="2:9" x14ac:dyDescent="0.2">
      <c r="B19" s="318">
        <v>6</v>
      </c>
      <c r="C19" s="319" t="s">
        <v>55</v>
      </c>
      <c r="D19" s="319"/>
      <c r="E19" s="319"/>
      <c r="F19" s="319"/>
      <c r="G19" s="135"/>
      <c r="H19" s="135"/>
      <c r="I19" s="57"/>
    </row>
    <row r="20" spans="2:9" x14ac:dyDescent="0.2">
      <c r="B20" s="318"/>
      <c r="C20" s="320"/>
      <c r="D20" s="320"/>
      <c r="E20" s="320"/>
      <c r="F20" s="320"/>
      <c r="G20" s="135"/>
      <c r="H20" s="135"/>
      <c r="I20" s="57"/>
    </row>
    <row r="21" spans="2:9" x14ac:dyDescent="0.2">
      <c r="B21" s="59"/>
      <c r="C21" s="59"/>
      <c r="D21" s="59"/>
      <c r="E21" s="59"/>
      <c r="F21" s="59"/>
      <c r="G21" s="60"/>
      <c r="H21" s="60"/>
      <c r="I21" s="57"/>
    </row>
    <row r="22" spans="2:9" x14ac:dyDescent="0.2">
      <c r="B22" s="61"/>
      <c r="C22" s="61"/>
      <c r="D22" s="61"/>
      <c r="E22" s="61"/>
      <c r="F22" s="61"/>
      <c r="G22" s="61"/>
      <c r="H22" s="140" t="s">
        <v>181</v>
      </c>
    </row>
    <row r="23" spans="2:9" x14ac:dyDescent="0.2">
      <c r="B23" s="269" t="s">
        <v>62</v>
      </c>
      <c r="C23" s="270"/>
      <c r="D23" s="270"/>
      <c r="E23" s="270"/>
      <c r="F23" s="270"/>
      <c r="G23" s="138"/>
      <c r="H23" s="139"/>
      <c r="I23" s="93"/>
    </row>
    <row r="24" spans="2:9" x14ac:dyDescent="0.2">
      <c r="B24" s="88">
        <v>1</v>
      </c>
      <c r="C24" s="230" t="s">
        <v>56</v>
      </c>
      <c r="D24" s="241"/>
      <c r="E24" s="241"/>
      <c r="F24" s="231"/>
      <c r="G24" s="137" t="s">
        <v>1</v>
      </c>
      <c r="H24" s="137" t="s">
        <v>47</v>
      </c>
      <c r="I24" s="93"/>
    </row>
    <row r="25" spans="2:9" ht="12.75" customHeight="1" x14ac:dyDescent="0.2">
      <c r="B25" s="13" t="s">
        <v>4</v>
      </c>
      <c r="C25" s="86" t="s">
        <v>15</v>
      </c>
      <c r="D25" s="245"/>
      <c r="E25" s="246"/>
      <c r="F25" s="247"/>
      <c r="G25" s="14"/>
      <c r="H25" s="30">
        <v>3415.12</v>
      </c>
      <c r="I25" s="99"/>
    </row>
    <row r="26" spans="2:9" x14ac:dyDescent="0.2">
      <c r="B26" s="13" t="s">
        <v>5</v>
      </c>
      <c r="C26" s="86" t="s">
        <v>22</v>
      </c>
      <c r="D26" s="245" t="s">
        <v>120</v>
      </c>
      <c r="E26" s="246"/>
      <c r="F26" s="247"/>
      <c r="G26" s="31"/>
      <c r="H26" s="15">
        <f>TRUNC(H$25*$G26,2)</f>
        <v>0</v>
      </c>
      <c r="I26" s="95"/>
    </row>
    <row r="27" spans="2:9" x14ac:dyDescent="0.2">
      <c r="B27" s="13" t="s">
        <v>6</v>
      </c>
      <c r="C27" s="87" t="s">
        <v>23</v>
      </c>
      <c r="D27" s="164" t="s">
        <v>159</v>
      </c>
      <c r="E27" s="175" t="s">
        <v>183</v>
      </c>
      <c r="F27" s="174">
        <v>1621</v>
      </c>
      <c r="G27" s="31"/>
      <c r="H27" s="15">
        <f>TRUNC(F$27*$G27,2)</f>
        <v>0</v>
      </c>
      <c r="I27" s="95"/>
    </row>
    <row r="28" spans="2:9" x14ac:dyDescent="0.2">
      <c r="B28" s="13" t="s">
        <v>7</v>
      </c>
      <c r="C28" s="87" t="s">
        <v>0</v>
      </c>
      <c r="D28" s="245" t="s">
        <v>166</v>
      </c>
      <c r="E28" s="246"/>
      <c r="F28" s="247"/>
      <c r="G28" s="32"/>
      <c r="H28" s="65">
        <f>TRUNC(((H$25+H26)*$G28)/220*8*15,2)</f>
        <v>0</v>
      </c>
      <c r="I28" s="96"/>
    </row>
    <row r="29" spans="2:9" x14ac:dyDescent="0.2">
      <c r="B29" s="115" t="s">
        <v>8</v>
      </c>
      <c r="C29" s="116" t="s">
        <v>24</v>
      </c>
      <c r="D29" s="266" t="s">
        <v>166</v>
      </c>
      <c r="E29" s="267"/>
      <c r="F29" s="268"/>
      <c r="G29" s="117"/>
      <c r="H29" s="118">
        <f>TRUNC(((H25+H26)*$G29)/220*1*15,2)</f>
        <v>0</v>
      </c>
      <c r="I29" s="119" t="s">
        <v>171</v>
      </c>
    </row>
    <row r="30" spans="2:9" x14ac:dyDescent="0.2">
      <c r="B30" s="120" t="s">
        <v>9</v>
      </c>
      <c r="C30" s="116" t="s">
        <v>103</v>
      </c>
      <c r="D30" s="266" t="s">
        <v>167</v>
      </c>
      <c r="E30" s="267"/>
      <c r="F30" s="268"/>
      <c r="G30" s="121">
        <v>0.5</v>
      </c>
      <c r="H30" s="118">
        <f>TRUNC($G$35*H35*(1+$G$30),2)</f>
        <v>186.24</v>
      </c>
      <c r="I30" s="119"/>
    </row>
    <row r="31" spans="2:9" x14ac:dyDescent="0.2">
      <c r="B31" s="120" t="s">
        <v>10</v>
      </c>
      <c r="C31" s="116" t="s">
        <v>103</v>
      </c>
      <c r="D31" s="266" t="s">
        <v>167</v>
      </c>
      <c r="E31" s="267"/>
      <c r="F31" s="268"/>
      <c r="G31" s="121">
        <v>1</v>
      </c>
      <c r="H31" s="118">
        <f>TRUNC($G$35*H35*(1+$G$31),2)</f>
        <v>248.32</v>
      </c>
    </row>
    <row r="32" spans="2:9" x14ac:dyDescent="0.2">
      <c r="B32" s="13" t="s">
        <v>11</v>
      </c>
      <c r="C32" s="87" t="s">
        <v>2</v>
      </c>
      <c r="D32" s="245"/>
      <c r="E32" s="246"/>
      <c r="F32" s="247"/>
      <c r="G32" s="32"/>
      <c r="H32" s="46"/>
      <c r="I32" s="97"/>
    </row>
    <row r="33" spans="2:9" x14ac:dyDescent="0.2">
      <c r="B33" s="13" t="s">
        <v>121</v>
      </c>
      <c r="C33" s="230" t="s">
        <v>57</v>
      </c>
      <c r="D33" s="241"/>
      <c r="E33" s="241"/>
      <c r="F33" s="231"/>
      <c r="G33" s="26"/>
      <c r="H33" s="16">
        <f>SUM(H25:H32)</f>
        <v>3849.68</v>
      </c>
      <c r="I33" s="17"/>
    </row>
    <row r="34" spans="2:9" ht="22.5" x14ac:dyDescent="0.2">
      <c r="B34" s="92"/>
      <c r="C34" s="219" t="s">
        <v>112</v>
      </c>
      <c r="D34" s="219"/>
      <c r="E34" s="219"/>
      <c r="F34" s="219"/>
      <c r="G34" s="49" t="s">
        <v>104</v>
      </c>
      <c r="H34" s="48" t="s">
        <v>114</v>
      </c>
      <c r="I34" s="2"/>
    </row>
    <row r="35" spans="2:9" x14ac:dyDescent="0.2">
      <c r="B35" s="92"/>
      <c r="C35" s="219"/>
      <c r="D35" s="219"/>
      <c r="E35" s="219"/>
      <c r="F35" s="219"/>
      <c r="G35" s="47">
        <v>8</v>
      </c>
      <c r="H35" s="33">
        <f>IF($G$35="",0,TRUNC((H25+H26+H27)/220,2))</f>
        <v>15.52</v>
      </c>
      <c r="I35" s="98"/>
    </row>
    <row r="36" spans="2:9" x14ac:dyDescent="0.2">
      <c r="B36" s="92"/>
      <c r="C36" s="92"/>
      <c r="D36" s="92"/>
      <c r="E36" s="92"/>
      <c r="F36" s="92"/>
      <c r="G36" s="92"/>
      <c r="H36" s="66"/>
      <c r="I36" s="17"/>
    </row>
    <row r="37" spans="2:9" x14ac:dyDescent="0.2">
      <c r="B37" s="92"/>
      <c r="C37" s="92"/>
      <c r="D37" s="92"/>
      <c r="E37" s="92"/>
      <c r="F37" s="92"/>
      <c r="G37" s="92"/>
      <c r="H37" s="66"/>
      <c r="I37" s="17"/>
    </row>
    <row r="38" spans="2:9" ht="12.75" customHeight="1" x14ac:dyDescent="0.2">
      <c r="B38" s="269" t="s">
        <v>63</v>
      </c>
      <c r="C38" s="270"/>
      <c r="D38" s="270"/>
      <c r="E38" s="270"/>
      <c r="F38" s="270"/>
      <c r="G38" s="138"/>
      <c r="H38" s="139"/>
      <c r="I38" s="93"/>
    </row>
    <row r="39" spans="2:9" x14ac:dyDescent="0.2">
      <c r="B39" s="323"/>
      <c r="C39" s="324"/>
      <c r="D39" s="324"/>
      <c r="E39" s="324"/>
      <c r="F39" s="324"/>
      <c r="G39" s="55"/>
      <c r="H39" s="55"/>
      <c r="I39" s="93"/>
    </row>
    <row r="40" spans="2:9" x14ac:dyDescent="0.2">
      <c r="B40" s="325" t="s">
        <v>34</v>
      </c>
      <c r="C40" s="325"/>
      <c r="D40" s="325"/>
      <c r="E40" s="325"/>
      <c r="F40" s="325"/>
      <c r="G40" s="55"/>
      <c r="H40" s="55"/>
      <c r="I40" s="93"/>
    </row>
    <row r="41" spans="2:9" x14ac:dyDescent="0.2">
      <c r="B41" s="137" t="s">
        <v>36</v>
      </c>
      <c r="C41" s="326" t="s">
        <v>25</v>
      </c>
      <c r="D41" s="327"/>
      <c r="E41" s="327"/>
      <c r="F41" s="328"/>
      <c r="G41" s="88" t="s">
        <v>1</v>
      </c>
      <c r="H41" s="88" t="s">
        <v>47</v>
      </c>
      <c r="I41" s="93"/>
    </row>
    <row r="42" spans="2:9" x14ac:dyDescent="0.2">
      <c r="B42" s="13" t="s">
        <v>4</v>
      </c>
      <c r="C42" s="86" t="s">
        <v>105</v>
      </c>
      <c r="D42" s="245" t="s">
        <v>122</v>
      </c>
      <c r="E42" s="246"/>
      <c r="F42" s="247"/>
      <c r="G42" s="143">
        <f>1/12</f>
        <v>8.3333333333333329E-2</v>
      </c>
      <c r="H42" s="144">
        <f>TRUNC((H$33*$G42),2)</f>
        <v>320.8</v>
      </c>
      <c r="I42" s="99"/>
    </row>
    <row r="43" spans="2:9" x14ac:dyDescent="0.2">
      <c r="B43" s="13" t="s">
        <v>5</v>
      </c>
      <c r="C43" s="86" t="s">
        <v>61</v>
      </c>
      <c r="D43" s="245" t="s">
        <v>124</v>
      </c>
      <c r="E43" s="246"/>
      <c r="F43" s="247"/>
      <c r="G43" s="18">
        <f>(1/12)+(1/3/12)</f>
        <v>0.1111111111111111</v>
      </c>
      <c r="H43" s="19">
        <f>TRUNC((H$33*$G43),2)</f>
        <v>427.74</v>
      </c>
      <c r="I43" s="99"/>
    </row>
    <row r="44" spans="2:9" x14ac:dyDescent="0.2">
      <c r="B44" s="13" t="s">
        <v>123</v>
      </c>
      <c r="C44" s="230" t="s">
        <v>57</v>
      </c>
      <c r="D44" s="241"/>
      <c r="E44" s="241"/>
      <c r="F44" s="231"/>
      <c r="G44" s="20">
        <f>TRUNC(SUM(G42:G43),4)</f>
        <v>0.19439999999999999</v>
      </c>
      <c r="H44" s="16">
        <f>SUM(H42:H43)</f>
        <v>748.54</v>
      </c>
      <c r="I44" s="17"/>
    </row>
    <row r="45" spans="2:9" x14ac:dyDescent="0.2">
      <c r="B45" s="281"/>
      <c r="C45" s="282"/>
      <c r="D45" s="282"/>
      <c r="E45" s="282"/>
      <c r="F45" s="282"/>
      <c r="G45" s="282"/>
      <c r="H45" s="283"/>
      <c r="I45" s="92"/>
    </row>
    <row r="46" spans="2:9" ht="30" customHeight="1" x14ac:dyDescent="0.2">
      <c r="B46" s="288" t="s">
        <v>64</v>
      </c>
      <c r="C46" s="289"/>
      <c r="D46" s="289"/>
      <c r="E46" s="289"/>
      <c r="F46" s="290"/>
      <c r="G46" s="141"/>
      <c r="H46" s="142"/>
      <c r="I46" s="100"/>
    </row>
    <row r="47" spans="2:9" x14ac:dyDescent="0.2">
      <c r="B47" s="88" t="s">
        <v>37</v>
      </c>
      <c r="C47" s="230" t="s">
        <v>65</v>
      </c>
      <c r="D47" s="241"/>
      <c r="E47" s="241"/>
      <c r="F47" s="231"/>
      <c r="G47" s="88" t="s">
        <v>1</v>
      </c>
      <c r="H47" s="88" t="s">
        <v>47</v>
      </c>
      <c r="I47" s="93"/>
    </row>
    <row r="48" spans="2:9" x14ac:dyDescent="0.2">
      <c r="B48" s="13" t="s">
        <v>4</v>
      </c>
      <c r="C48" s="86" t="s">
        <v>28</v>
      </c>
      <c r="D48" s="245" t="s">
        <v>125</v>
      </c>
      <c r="E48" s="246"/>
      <c r="F48" s="247"/>
      <c r="G48" s="18">
        <v>0.2</v>
      </c>
      <c r="H48" s="19">
        <f>TRUNC((H$33+H$44)*$G48,2)</f>
        <v>919.64</v>
      </c>
      <c r="I48" s="99"/>
    </row>
    <row r="49" spans="2:9" x14ac:dyDescent="0.2">
      <c r="B49" s="13" t="s">
        <v>5</v>
      </c>
      <c r="C49" s="74" t="s">
        <v>29</v>
      </c>
      <c r="D49" s="245" t="s">
        <v>126</v>
      </c>
      <c r="E49" s="246"/>
      <c r="F49" s="247"/>
      <c r="G49" s="18">
        <v>2.5000000000000001E-2</v>
      </c>
      <c r="H49" s="19">
        <f>TRUNC((H$33+H$44)*$G49,2)</f>
        <v>114.95</v>
      </c>
      <c r="I49" s="99"/>
    </row>
    <row r="50" spans="2:9" x14ac:dyDescent="0.2">
      <c r="B50" s="275" t="s">
        <v>6</v>
      </c>
      <c r="C50" s="329" t="s">
        <v>97</v>
      </c>
      <c r="D50" s="331" t="s">
        <v>132</v>
      </c>
      <c r="E50" s="8" t="s">
        <v>98</v>
      </c>
      <c r="F50" s="8" t="s">
        <v>96</v>
      </c>
      <c r="G50" s="284">
        <f>E51*F51</f>
        <v>0.06</v>
      </c>
      <c r="H50" s="332">
        <f>TRUNC((H$33+H$44)*$G50,2)</f>
        <v>275.89</v>
      </c>
      <c r="I50" s="101"/>
    </row>
    <row r="51" spans="2:9" x14ac:dyDescent="0.2">
      <c r="B51" s="276"/>
      <c r="C51" s="330"/>
      <c r="D51" s="331"/>
      <c r="E51" s="34">
        <v>0.03</v>
      </c>
      <c r="F51" s="35">
        <v>2</v>
      </c>
      <c r="G51" s="285"/>
      <c r="H51" s="332"/>
      <c r="I51" s="101"/>
    </row>
    <row r="52" spans="2:9" x14ac:dyDescent="0.2">
      <c r="B52" s="13" t="s">
        <v>7</v>
      </c>
      <c r="C52" s="86" t="s">
        <v>27</v>
      </c>
      <c r="D52" s="245" t="s">
        <v>127</v>
      </c>
      <c r="E52" s="246"/>
      <c r="F52" s="247"/>
      <c r="G52" s="18">
        <v>1.4999999999999999E-2</v>
      </c>
      <c r="H52" s="19">
        <f>TRUNC((H$33+H$44)*$G52,2)</f>
        <v>68.97</v>
      </c>
      <c r="I52" s="99"/>
    </row>
    <row r="53" spans="2:9" x14ac:dyDescent="0.2">
      <c r="B53" s="13" t="s">
        <v>8</v>
      </c>
      <c r="C53" s="86" t="s">
        <v>30</v>
      </c>
      <c r="D53" s="245" t="s">
        <v>128</v>
      </c>
      <c r="E53" s="246"/>
      <c r="F53" s="247"/>
      <c r="G53" s="18">
        <v>0.01</v>
      </c>
      <c r="H53" s="19">
        <f>TRUNC((H$33+H$44)*$G53,2)</f>
        <v>45.98</v>
      </c>
      <c r="I53" s="99"/>
    </row>
    <row r="54" spans="2:9" x14ac:dyDescent="0.2">
      <c r="B54" s="13" t="s">
        <v>9</v>
      </c>
      <c r="C54" s="86" t="s">
        <v>31</v>
      </c>
      <c r="D54" s="245" t="s">
        <v>129</v>
      </c>
      <c r="E54" s="246"/>
      <c r="F54" s="247"/>
      <c r="G54" s="18">
        <v>6.0000000000000001E-3</v>
      </c>
      <c r="H54" s="19">
        <f>TRUNC((H$33+H$44)*$G54,2)</f>
        <v>27.58</v>
      </c>
      <c r="I54" s="99"/>
    </row>
    <row r="55" spans="2:9" x14ac:dyDescent="0.2">
      <c r="B55" s="13" t="s">
        <v>10</v>
      </c>
      <c r="C55" s="86" t="s">
        <v>32</v>
      </c>
      <c r="D55" s="245" t="s">
        <v>130</v>
      </c>
      <c r="E55" s="246"/>
      <c r="F55" s="247"/>
      <c r="G55" s="18">
        <v>2E-3</v>
      </c>
      <c r="H55" s="19">
        <f>TRUNC((H$33+H$44)*$G55,2)</f>
        <v>9.19</v>
      </c>
      <c r="I55" s="99"/>
    </row>
    <row r="56" spans="2:9" x14ac:dyDescent="0.2">
      <c r="B56" s="13" t="s">
        <v>11</v>
      </c>
      <c r="C56" s="86" t="s">
        <v>33</v>
      </c>
      <c r="D56" s="245" t="s">
        <v>131</v>
      </c>
      <c r="E56" s="246"/>
      <c r="F56" s="247"/>
      <c r="G56" s="18">
        <v>0.08</v>
      </c>
      <c r="H56" s="19">
        <f>TRUNC((H$33+H$44)*$G56,2)</f>
        <v>367.85</v>
      </c>
      <c r="I56" s="99"/>
    </row>
    <row r="57" spans="2:9" x14ac:dyDescent="0.2">
      <c r="B57" s="13" t="s">
        <v>133</v>
      </c>
      <c r="C57" s="230" t="s">
        <v>57</v>
      </c>
      <c r="D57" s="241"/>
      <c r="E57" s="241"/>
      <c r="F57" s="231"/>
      <c r="G57" s="21">
        <f>SUM(G48:G56)</f>
        <v>0.39800000000000008</v>
      </c>
      <c r="H57" s="16">
        <f>SUM(H48:H56)</f>
        <v>1830.0500000000002</v>
      </c>
      <c r="I57" s="17"/>
    </row>
    <row r="58" spans="2:9" x14ac:dyDescent="0.2">
      <c r="B58" s="294"/>
      <c r="C58" s="295"/>
      <c r="D58" s="295"/>
      <c r="E58" s="295"/>
      <c r="F58" s="295"/>
      <c r="G58" s="295"/>
      <c r="H58" s="296"/>
      <c r="I58" s="110"/>
    </row>
    <row r="59" spans="2:9" ht="12.75" customHeight="1" x14ac:dyDescent="0.2">
      <c r="B59" s="288" t="s">
        <v>35</v>
      </c>
      <c r="C59" s="289"/>
      <c r="D59" s="289"/>
      <c r="E59" s="289"/>
      <c r="F59" s="290"/>
      <c r="G59" s="141"/>
      <c r="H59" s="142"/>
      <c r="I59" s="110"/>
    </row>
    <row r="60" spans="2:9" x14ac:dyDescent="0.2">
      <c r="B60" s="88" t="s">
        <v>38</v>
      </c>
      <c r="C60" s="230" t="s">
        <v>39</v>
      </c>
      <c r="D60" s="241"/>
      <c r="E60" s="241"/>
      <c r="F60" s="241"/>
      <c r="G60" s="75"/>
      <c r="H60" s="88" t="s">
        <v>47</v>
      </c>
      <c r="I60" s="93"/>
    </row>
    <row r="61" spans="2:9" ht="12.75" customHeight="1" x14ac:dyDescent="0.2">
      <c r="B61" s="13" t="s">
        <v>4</v>
      </c>
      <c r="C61" s="86" t="s">
        <v>45</v>
      </c>
      <c r="D61" s="164" t="s">
        <v>328</v>
      </c>
      <c r="E61" s="165"/>
      <c r="F61" s="165"/>
      <c r="G61" s="166"/>
      <c r="H61" s="215">
        <f>IF((TRUNC((9.4*2*24)-(H$25*6%),2))&lt;0,"0,00",(TRUNC((9.4*2*24)-(H$25*6%),2)))</f>
        <v>246.29</v>
      </c>
      <c r="I61" s="111"/>
    </row>
    <row r="62" spans="2:9" ht="12.75" customHeight="1" x14ac:dyDescent="0.2">
      <c r="B62" s="13" t="s">
        <v>5</v>
      </c>
      <c r="C62" s="86" t="s">
        <v>46</v>
      </c>
      <c r="D62" s="164" t="s">
        <v>325</v>
      </c>
      <c r="E62" s="165"/>
      <c r="F62" s="165"/>
      <c r="G62" s="166"/>
      <c r="H62" s="215">
        <v>1114.74</v>
      </c>
      <c r="I62" s="111"/>
    </row>
    <row r="63" spans="2:9" x14ac:dyDescent="0.2">
      <c r="B63" s="13" t="s">
        <v>6</v>
      </c>
      <c r="C63" s="86" t="s">
        <v>198</v>
      </c>
      <c r="D63" s="164" t="s">
        <v>194</v>
      </c>
      <c r="E63" s="165"/>
      <c r="F63" s="165"/>
      <c r="G63" s="166"/>
      <c r="H63" s="36">
        <v>41.15</v>
      </c>
      <c r="I63" s="111"/>
    </row>
    <row r="64" spans="2:9" x14ac:dyDescent="0.2">
      <c r="B64" s="13" t="s">
        <v>7</v>
      </c>
      <c r="C64" s="86" t="s">
        <v>326</v>
      </c>
      <c r="D64" s="164" t="s">
        <v>324</v>
      </c>
      <c r="E64" s="165"/>
      <c r="F64" s="165"/>
      <c r="G64" s="166"/>
      <c r="H64" s="215">
        <v>871.98</v>
      </c>
      <c r="I64" s="111"/>
    </row>
    <row r="65" spans="2:10" s="67" customFormat="1" x14ac:dyDescent="0.2">
      <c r="B65" s="13" t="s">
        <v>8</v>
      </c>
      <c r="C65" s="86" t="s">
        <v>204</v>
      </c>
      <c r="D65" s="164" t="s">
        <v>201</v>
      </c>
      <c r="E65" s="165"/>
      <c r="F65" s="165"/>
      <c r="G65" s="166"/>
      <c r="H65" s="36">
        <v>110.26333333333332</v>
      </c>
      <c r="I65" s="111"/>
    </row>
    <row r="66" spans="2:10" x14ac:dyDescent="0.2">
      <c r="B66" s="13" t="s">
        <v>134</v>
      </c>
      <c r="C66" s="230" t="s">
        <v>57</v>
      </c>
      <c r="D66" s="241"/>
      <c r="E66" s="241"/>
      <c r="F66" s="241"/>
      <c r="G66" s="75"/>
      <c r="H66" s="16">
        <f>SUM(H61:H65)</f>
        <v>2384.4233333333332</v>
      </c>
      <c r="I66" s="17"/>
    </row>
    <row r="67" spans="2:10" x14ac:dyDescent="0.2">
      <c r="B67" s="281"/>
      <c r="C67" s="282"/>
      <c r="D67" s="282"/>
      <c r="E67" s="282"/>
      <c r="F67" s="282"/>
      <c r="G67" s="282"/>
      <c r="H67" s="282"/>
      <c r="I67" s="92"/>
    </row>
    <row r="68" spans="2:10" x14ac:dyDescent="0.2">
      <c r="B68" s="297" t="s">
        <v>67</v>
      </c>
      <c r="C68" s="298"/>
      <c r="D68" s="298"/>
      <c r="E68" s="298"/>
      <c r="F68" s="298"/>
      <c r="G68" s="145"/>
      <c r="H68" s="145"/>
      <c r="I68" s="92"/>
    </row>
    <row r="69" spans="2:10" x14ac:dyDescent="0.2">
      <c r="B69" s="88">
        <v>2</v>
      </c>
      <c r="C69" s="230" t="s">
        <v>66</v>
      </c>
      <c r="D69" s="241"/>
      <c r="E69" s="241"/>
      <c r="F69" s="241"/>
      <c r="G69" s="75"/>
      <c r="H69" s="88" t="s">
        <v>47</v>
      </c>
      <c r="I69" s="93"/>
    </row>
    <row r="70" spans="2:10" x14ac:dyDescent="0.2">
      <c r="B70" s="13" t="s">
        <v>36</v>
      </c>
      <c r="C70" s="76" t="s">
        <v>25</v>
      </c>
      <c r="D70" s="164" t="s">
        <v>123</v>
      </c>
      <c r="E70" s="165"/>
      <c r="F70" s="165"/>
      <c r="G70" s="166"/>
      <c r="H70" s="19">
        <f>H44</f>
        <v>748.54</v>
      </c>
      <c r="I70" s="99"/>
    </row>
    <row r="71" spans="2:10" x14ac:dyDescent="0.2">
      <c r="B71" s="13" t="s">
        <v>37</v>
      </c>
      <c r="C71" s="76" t="s">
        <v>26</v>
      </c>
      <c r="D71" s="164" t="s">
        <v>133</v>
      </c>
      <c r="E71" s="165"/>
      <c r="F71" s="165"/>
      <c r="G71" s="166"/>
      <c r="H71" s="19">
        <f>H57</f>
        <v>1830.0500000000002</v>
      </c>
      <c r="I71" s="99"/>
    </row>
    <row r="72" spans="2:10" x14ac:dyDescent="0.2">
      <c r="B72" s="13" t="s">
        <v>38</v>
      </c>
      <c r="C72" s="76" t="s">
        <v>39</v>
      </c>
      <c r="D72" s="164" t="s">
        <v>134</v>
      </c>
      <c r="E72" s="165"/>
      <c r="F72" s="165"/>
      <c r="G72" s="166"/>
      <c r="H72" s="19">
        <f>H66</f>
        <v>2384.4233333333332</v>
      </c>
      <c r="I72" s="99"/>
    </row>
    <row r="73" spans="2:10" x14ac:dyDescent="0.2">
      <c r="B73" s="13" t="s">
        <v>135</v>
      </c>
      <c r="C73" s="230" t="s">
        <v>57</v>
      </c>
      <c r="D73" s="241"/>
      <c r="E73" s="241"/>
      <c r="F73" s="241"/>
      <c r="G73" s="75"/>
      <c r="H73" s="16">
        <f>SUM(H70:H72)</f>
        <v>4963.0133333333333</v>
      </c>
      <c r="J73" s="17"/>
    </row>
    <row r="74" spans="2:10" x14ac:dyDescent="0.2">
      <c r="B74" s="282"/>
      <c r="C74" s="282"/>
      <c r="D74" s="282"/>
      <c r="E74" s="282"/>
      <c r="F74" s="282"/>
      <c r="G74" s="282"/>
      <c r="H74" s="282"/>
      <c r="I74" s="93"/>
    </row>
    <row r="75" spans="2:10" x14ac:dyDescent="0.2">
      <c r="B75" s="92"/>
      <c r="C75" s="92"/>
      <c r="D75" s="92"/>
      <c r="E75" s="92"/>
      <c r="F75" s="92"/>
      <c r="G75" s="92"/>
      <c r="H75" s="92"/>
      <c r="I75" s="93"/>
    </row>
    <row r="76" spans="2:10" x14ac:dyDescent="0.2">
      <c r="B76" s="269" t="s">
        <v>68</v>
      </c>
      <c r="C76" s="270"/>
      <c r="D76" s="270"/>
      <c r="E76" s="270"/>
      <c r="F76" s="271"/>
      <c r="G76" s="138"/>
      <c r="H76" s="139"/>
      <c r="I76" s="93"/>
    </row>
    <row r="77" spans="2:10" x14ac:dyDescent="0.2">
      <c r="B77" s="88">
        <v>3</v>
      </c>
      <c r="C77" s="230" t="s">
        <v>58</v>
      </c>
      <c r="D77" s="241"/>
      <c r="E77" s="241"/>
      <c r="F77" s="334"/>
      <c r="G77" s="88" t="s">
        <v>1</v>
      </c>
      <c r="H77" s="88" t="s">
        <v>47</v>
      </c>
      <c r="I77" s="93"/>
    </row>
    <row r="78" spans="2:10" x14ac:dyDescent="0.2">
      <c r="B78" s="13" t="s">
        <v>4</v>
      </c>
      <c r="C78" s="86" t="s">
        <v>185</v>
      </c>
      <c r="D78" s="245" t="s">
        <v>160</v>
      </c>
      <c r="E78" s="247"/>
      <c r="F78" s="181">
        <f>TRUNC(H$56*0.4,2)</f>
        <v>147.13999999999999</v>
      </c>
      <c r="G78" s="182"/>
      <c r="H78" s="183"/>
      <c r="I78" s="17"/>
    </row>
    <row r="79" spans="2:10" x14ac:dyDescent="0.2">
      <c r="B79" s="13" t="s">
        <v>5</v>
      </c>
      <c r="C79" s="86" t="s">
        <v>94</v>
      </c>
      <c r="D79" s="299" t="s">
        <v>168</v>
      </c>
      <c r="E79" s="333"/>
      <c r="F79" s="181">
        <f>TRUNC((H$33+H$44+H$56+H$66-H61)/12,2)</f>
        <v>592.01</v>
      </c>
      <c r="G79" s="184"/>
      <c r="H79" s="182"/>
      <c r="I79" s="99"/>
    </row>
    <row r="80" spans="2:10" x14ac:dyDescent="0.2">
      <c r="B80" s="13" t="s">
        <v>6</v>
      </c>
      <c r="C80" s="77" t="s">
        <v>93</v>
      </c>
      <c r="D80" s="164" t="s">
        <v>186</v>
      </c>
      <c r="E80" s="165"/>
      <c r="F80" s="185"/>
      <c r="G80" s="37">
        <v>0.5</v>
      </c>
      <c r="H80" s="22">
        <f>TRUNC((F$79+F78)*$G80,2)</f>
        <v>369.57</v>
      </c>
      <c r="I80" s="186"/>
    </row>
    <row r="81" spans="2:9" x14ac:dyDescent="0.2">
      <c r="B81" s="13" t="s">
        <v>7</v>
      </c>
      <c r="C81" s="77" t="s">
        <v>95</v>
      </c>
      <c r="D81" s="164" t="s">
        <v>187</v>
      </c>
      <c r="E81" s="165"/>
      <c r="F81" s="166"/>
      <c r="G81" s="176">
        <f>1-G80</f>
        <v>0.5</v>
      </c>
      <c r="H81" s="80">
        <f>(TRUNC(F$78*$G81,2))</f>
        <v>73.569999999999993</v>
      </c>
      <c r="I81" s="99"/>
    </row>
    <row r="82" spans="2:9" x14ac:dyDescent="0.2">
      <c r="B82" s="13" t="s">
        <v>8</v>
      </c>
      <c r="C82" s="77" t="s">
        <v>165</v>
      </c>
      <c r="D82" s="299" t="s">
        <v>182</v>
      </c>
      <c r="E82" s="300"/>
      <c r="F82" s="38">
        <v>12</v>
      </c>
      <c r="G82" s="38">
        <v>3</v>
      </c>
      <c r="H82" s="19">
        <f>TRUNC(((H$33+H$44+H$57)/30)*$G82/$F82,2)</f>
        <v>53.56</v>
      </c>
      <c r="I82" s="99"/>
    </row>
    <row r="83" spans="2:9" x14ac:dyDescent="0.2">
      <c r="B83" s="13" t="s">
        <v>137</v>
      </c>
      <c r="C83" s="230" t="s">
        <v>57</v>
      </c>
      <c r="D83" s="241"/>
      <c r="E83" s="241"/>
      <c r="F83" s="241"/>
      <c r="G83" s="75"/>
      <c r="H83" s="16">
        <f>H$80+H$81+H$82</f>
        <v>496.7</v>
      </c>
      <c r="I83" s="17"/>
    </row>
    <row r="84" spans="2:9" x14ac:dyDescent="0.2">
      <c r="B84" s="89"/>
      <c r="C84" s="89"/>
      <c r="D84" s="89"/>
      <c r="E84" s="89"/>
      <c r="F84" s="89"/>
      <c r="G84" s="89"/>
      <c r="H84" s="89"/>
      <c r="I84" s="89"/>
    </row>
    <row r="85" spans="2:9" x14ac:dyDescent="0.2">
      <c r="B85" s="92"/>
      <c r="C85" s="92"/>
      <c r="D85" s="92"/>
      <c r="E85" s="92"/>
      <c r="F85" s="92"/>
      <c r="G85" s="92"/>
      <c r="H85" s="92"/>
      <c r="I85" s="93"/>
    </row>
    <row r="86" spans="2:9" x14ac:dyDescent="0.2">
      <c r="B86" s="269" t="s">
        <v>69</v>
      </c>
      <c r="C86" s="270"/>
      <c r="D86" s="270"/>
      <c r="E86" s="270"/>
      <c r="F86" s="271"/>
      <c r="G86" s="138"/>
      <c r="H86" s="139"/>
      <c r="I86" s="93"/>
    </row>
    <row r="87" spans="2:9" x14ac:dyDescent="0.2">
      <c r="B87" s="272" t="s">
        <v>87</v>
      </c>
      <c r="C87" s="273"/>
      <c r="D87" s="273"/>
      <c r="E87" s="273"/>
      <c r="F87" s="273"/>
      <c r="G87" s="146"/>
      <c r="H87" s="147"/>
      <c r="I87" s="93"/>
    </row>
    <row r="88" spans="2:9" x14ac:dyDescent="0.2">
      <c r="B88" s="88" t="s">
        <v>12</v>
      </c>
      <c r="C88" s="230" t="s">
        <v>88</v>
      </c>
      <c r="D88" s="241"/>
      <c r="E88" s="241"/>
      <c r="F88" s="231"/>
      <c r="G88" s="88" t="s">
        <v>99</v>
      </c>
      <c r="H88" s="88" t="s">
        <v>47</v>
      </c>
      <c r="I88" s="93"/>
    </row>
    <row r="89" spans="2:9" x14ac:dyDescent="0.2">
      <c r="B89" s="13" t="s">
        <v>4</v>
      </c>
      <c r="C89" s="86" t="s">
        <v>184</v>
      </c>
      <c r="D89" s="164" t="s">
        <v>143</v>
      </c>
      <c r="E89" s="165"/>
      <c r="F89" s="166"/>
      <c r="G89" s="38">
        <v>30</v>
      </c>
      <c r="H89" s="19">
        <f>TRUNC((F$91*$G89)/12,2)</f>
        <v>775.77</v>
      </c>
      <c r="I89" s="99"/>
    </row>
    <row r="90" spans="2:9" ht="22.5" x14ac:dyDescent="0.2">
      <c r="B90" s="13" t="s">
        <v>5</v>
      </c>
      <c r="C90" s="78" t="s">
        <v>149</v>
      </c>
      <c r="D90" s="167" t="s">
        <v>150</v>
      </c>
      <c r="E90" s="168"/>
      <c r="F90" s="169"/>
      <c r="G90" s="54">
        <v>8</v>
      </c>
      <c r="H90" s="19">
        <f>TRUNC((F$91*$G90)/12,2)</f>
        <v>206.87</v>
      </c>
      <c r="I90" s="99"/>
    </row>
    <row r="91" spans="2:9" x14ac:dyDescent="0.2">
      <c r="B91" s="13" t="s">
        <v>6</v>
      </c>
      <c r="C91" s="86" t="s">
        <v>106</v>
      </c>
      <c r="D91" s="164" t="s">
        <v>136</v>
      </c>
      <c r="E91" s="165"/>
      <c r="F91" s="180">
        <f>TRUNC((H$33+H$73+H$83)/30,2)</f>
        <v>310.31</v>
      </c>
      <c r="G91" s="179"/>
      <c r="H91" s="178"/>
      <c r="I91" s="177"/>
    </row>
    <row r="92" spans="2:9" x14ac:dyDescent="0.2">
      <c r="B92" s="13" t="s">
        <v>138</v>
      </c>
      <c r="C92" s="230" t="s">
        <v>57</v>
      </c>
      <c r="D92" s="241"/>
      <c r="E92" s="241"/>
      <c r="F92" s="241"/>
      <c r="G92" s="75"/>
      <c r="H92" s="16">
        <f>TRUNC(H$89+H$90,2)</f>
        <v>982.64</v>
      </c>
      <c r="I92" s="17"/>
    </row>
    <row r="93" spans="2:9" x14ac:dyDescent="0.2">
      <c r="B93" s="68"/>
      <c r="C93" s="69"/>
      <c r="D93" s="69"/>
      <c r="E93" s="69"/>
      <c r="F93" s="69"/>
      <c r="G93" s="69"/>
      <c r="H93" s="70"/>
      <c r="I93" s="23"/>
    </row>
    <row r="94" spans="2:9" x14ac:dyDescent="0.2">
      <c r="B94" s="297" t="s">
        <v>89</v>
      </c>
      <c r="C94" s="298"/>
      <c r="D94" s="298"/>
      <c r="E94" s="298"/>
      <c r="F94" s="298"/>
      <c r="G94" s="148"/>
      <c r="H94" s="149"/>
      <c r="I94" s="93"/>
    </row>
    <row r="95" spans="2:9" x14ac:dyDescent="0.2">
      <c r="B95" s="88" t="s">
        <v>13</v>
      </c>
      <c r="C95" s="230" t="s">
        <v>90</v>
      </c>
      <c r="D95" s="241"/>
      <c r="E95" s="241"/>
      <c r="F95" s="231"/>
      <c r="G95" s="88" t="s">
        <v>99</v>
      </c>
      <c r="H95" s="88" t="s">
        <v>47</v>
      </c>
      <c r="I95" s="93"/>
    </row>
    <row r="96" spans="2:9" ht="22.5" x14ac:dyDescent="0.2">
      <c r="B96" s="13" t="s">
        <v>4</v>
      </c>
      <c r="C96" s="78" t="s">
        <v>91</v>
      </c>
      <c r="D96" s="164" t="s">
        <v>170</v>
      </c>
      <c r="E96" s="165"/>
      <c r="F96" s="165"/>
      <c r="G96" s="38"/>
      <c r="H96" s="19">
        <f>TRUNC(((H$33+H73+H83)/220)*(1+50%)*G96,2)</f>
        <v>0</v>
      </c>
      <c r="I96" s="99"/>
    </row>
    <row r="97" spans="2:9" x14ac:dyDescent="0.2">
      <c r="B97" s="13" t="s">
        <v>139</v>
      </c>
      <c r="C97" s="230" t="s">
        <v>57</v>
      </c>
      <c r="D97" s="241"/>
      <c r="E97" s="241"/>
      <c r="F97" s="241"/>
      <c r="G97" s="124"/>
      <c r="H97" s="16">
        <f>H96</f>
        <v>0</v>
      </c>
      <c r="I97" s="99"/>
    </row>
    <row r="98" spans="2:9" x14ac:dyDescent="0.2">
      <c r="B98" s="91"/>
      <c r="C98" s="90"/>
      <c r="D98" s="90"/>
      <c r="E98" s="90"/>
      <c r="F98" s="90"/>
      <c r="G98" s="92"/>
      <c r="H98" s="163"/>
      <c r="I98" s="114"/>
    </row>
    <row r="99" spans="2:9" x14ac:dyDescent="0.2">
      <c r="B99" s="297" t="s">
        <v>70</v>
      </c>
      <c r="C99" s="298"/>
      <c r="D99" s="298"/>
      <c r="E99" s="298"/>
      <c r="F99" s="298"/>
      <c r="G99" s="148"/>
      <c r="H99" s="149"/>
      <c r="I99" s="93"/>
    </row>
    <row r="100" spans="2:9" x14ac:dyDescent="0.2">
      <c r="B100" s="88">
        <v>4</v>
      </c>
      <c r="C100" s="230" t="s">
        <v>71</v>
      </c>
      <c r="D100" s="241"/>
      <c r="E100" s="241"/>
      <c r="F100" s="241"/>
      <c r="G100" s="231"/>
      <c r="H100" s="88" t="s">
        <v>47</v>
      </c>
      <c r="I100" s="93"/>
    </row>
    <row r="101" spans="2:9" x14ac:dyDescent="0.2">
      <c r="B101" s="13" t="s">
        <v>12</v>
      </c>
      <c r="C101" s="86" t="s">
        <v>40</v>
      </c>
      <c r="D101" s="164" t="s">
        <v>138</v>
      </c>
      <c r="E101" s="165"/>
      <c r="F101" s="165"/>
      <c r="G101" s="166"/>
      <c r="H101" s="19">
        <f>H92</f>
        <v>982.64</v>
      </c>
      <c r="I101" s="99"/>
    </row>
    <row r="102" spans="2:9" x14ac:dyDescent="0.2">
      <c r="B102" s="13" t="s">
        <v>13</v>
      </c>
      <c r="C102" s="86" t="s">
        <v>42</v>
      </c>
      <c r="D102" s="164" t="s">
        <v>139</v>
      </c>
      <c r="E102" s="165"/>
      <c r="F102" s="165"/>
      <c r="G102" s="166"/>
      <c r="H102" s="19">
        <f>H97</f>
        <v>0</v>
      </c>
      <c r="I102" s="99"/>
    </row>
    <row r="103" spans="2:9" x14ac:dyDescent="0.2">
      <c r="B103" s="13" t="s">
        <v>140</v>
      </c>
      <c r="C103" s="230" t="s">
        <v>57</v>
      </c>
      <c r="D103" s="241"/>
      <c r="E103" s="241"/>
      <c r="F103" s="241"/>
      <c r="G103" s="75"/>
      <c r="H103" s="16">
        <f>SUM(H101:H102)</f>
        <v>982.64</v>
      </c>
      <c r="I103" s="17"/>
    </row>
    <row r="104" spans="2:9" x14ac:dyDescent="0.2">
      <c r="B104" s="92"/>
      <c r="C104" s="92"/>
      <c r="D104" s="92"/>
      <c r="E104" s="92"/>
      <c r="F104" s="92"/>
      <c r="G104" s="92"/>
      <c r="H104" s="92"/>
      <c r="I104" s="93"/>
    </row>
    <row r="105" spans="2:9" x14ac:dyDescent="0.2">
      <c r="B105" s="92"/>
      <c r="C105" s="92"/>
      <c r="D105" s="92"/>
      <c r="E105" s="92"/>
      <c r="F105" s="92"/>
      <c r="G105" s="92"/>
      <c r="H105" s="92"/>
      <c r="I105" s="93"/>
    </row>
    <row r="106" spans="2:9" x14ac:dyDescent="0.2">
      <c r="B106" s="269" t="s">
        <v>72</v>
      </c>
      <c r="C106" s="270"/>
      <c r="D106" s="270"/>
      <c r="E106" s="270"/>
      <c r="F106" s="271"/>
      <c r="G106" s="138"/>
      <c r="H106" s="139"/>
      <c r="I106" s="93"/>
    </row>
    <row r="107" spans="2:9" x14ac:dyDescent="0.2">
      <c r="B107" s="88">
        <v>5</v>
      </c>
      <c r="C107" s="301" t="s">
        <v>59</v>
      </c>
      <c r="D107" s="302"/>
      <c r="E107" s="302"/>
      <c r="F107" s="302"/>
      <c r="G107" s="303"/>
      <c r="H107" s="88" t="s">
        <v>47</v>
      </c>
      <c r="I107" s="93"/>
    </row>
    <row r="108" spans="2:9" x14ac:dyDescent="0.2">
      <c r="B108" s="13" t="s">
        <v>4</v>
      </c>
      <c r="C108" s="62" t="s">
        <v>43</v>
      </c>
      <c r="D108" s="63"/>
      <c r="E108" s="63"/>
      <c r="F108" s="63"/>
      <c r="G108" s="64"/>
      <c r="H108" s="65">
        <f>Insumos!G15</f>
        <v>134.83000000000001</v>
      </c>
      <c r="I108" s="99"/>
    </row>
    <row r="109" spans="2:9" x14ac:dyDescent="0.2">
      <c r="B109" s="13" t="s">
        <v>5</v>
      </c>
      <c r="C109" s="62" t="s">
        <v>285</v>
      </c>
      <c r="D109" s="63"/>
      <c r="E109" s="63"/>
      <c r="F109" s="63"/>
      <c r="G109" s="64"/>
      <c r="H109" s="65">
        <f>Insumos!I89</f>
        <v>24.957272727272724</v>
      </c>
      <c r="I109" s="99"/>
    </row>
    <row r="110" spans="2:9" x14ac:dyDescent="0.2">
      <c r="B110" s="13" t="s">
        <v>6</v>
      </c>
      <c r="C110" s="62" t="s">
        <v>2</v>
      </c>
      <c r="D110" s="63"/>
      <c r="E110" s="63"/>
      <c r="F110" s="63"/>
      <c r="G110" s="64"/>
      <c r="H110" s="65"/>
      <c r="I110" s="99"/>
    </row>
    <row r="111" spans="2:9" x14ac:dyDescent="0.2">
      <c r="B111" s="13" t="s">
        <v>141</v>
      </c>
      <c r="C111" s="230" t="s">
        <v>57</v>
      </c>
      <c r="D111" s="241"/>
      <c r="E111" s="241"/>
      <c r="F111" s="241"/>
      <c r="G111" s="75"/>
      <c r="H111" s="16">
        <f>SUM(H108:H110)</f>
        <v>159.78727272727275</v>
      </c>
      <c r="I111" s="17"/>
    </row>
    <row r="112" spans="2:9" x14ac:dyDescent="0.2">
      <c r="B112" s="92"/>
      <c r="C112" s="92"/>
      <c r="D112" s="92"/>
      <c r="E112" s="92"/>
      <c r="F112" s="92"/>
      <c r="G112" s="71"/>
      <c r="H112" s="66"/>
      <c r="I112" s="17"/>
    </row>
    <row r="113" spans="2:9" x14ac:dyDescent="0.2">
      <c r="B113" s="92"/>
      <c r="C113" s="92"/>
      <c r="D113" s="92"/>
      <c r="E113" s="92"/>
      <c r="F113" s="92"/>
      <c r="G113" s="92"/>
      <c r="H113" s="92"/>
      <c r="I113" s="93"/>
    </row>
    <row r="114" spans="2:9" x14ac:dyDescent="0.2">
      <c r="B114" s="269" t="s">
        <v>73</v>
      </c>
      <c r="C114" s="270"/>
      <c r="D114" s="270"/>
      <c r="E114" s="270"/>
      <c r="F114" s="271"/>
      <c r="G114" s="138"/>
      <c r="H114" s="139"/>
      <c r="I114" s="93"/>
    </row>
    <row r="115" spans="2:9" x14ac:dyDescent="0.2">
      <c r="B115" s="88">
        <v>6</v>
      </c>
      <c r="C115" s="230" t="s">
        <v>60</v>
      </c>
      <c r="D115" s="241"/>
      <c r="E115" s="241"/>
      <c r="F115" s="231"/>
      <c r="G115" s="88" t="s">
        <v>1</v>
      </c>
      <c r="H115" s="88" t="s">
        <v>47</v>
      </c>
      <c r="I115" s="93"/>
    </row>
    <row r="116" spans="2:9" x14ac:dyDescent="0.2">
      <c r="B116" s="13" t="s">
        <v>4</v>
      </c>
      <c r="C116" s="86" t="s">
        <v>14</v>
      </c>
      <c r="D116" s="245" t="s">
        <v>151</v>
      </c>
      <c r="E116" s="246"/>
      <c r="F116" s="247"/>
      <c r="G116" s="43">
        <v>0.05</v>
      </c>
      <c r="H116" s="19">
        <f>TRUNC(H$133*$G116,2)</f>
        <v>522.59</v>
      </c>
      <c r="I116" s="99"/>
    </row>
    <row r="117" spans="2:9" x14ac:dyDescent="0.2">
      <c r="B117" s="13" t="s">
        <v>5</v>
      </c>
      <c r="C117" s="86" t="s">
        <v>3</v>
      </c>
      <c r="D117" s="245" t="s">
        <v>152</v>
      </c>
      <c r="E117" s="246"/>
      <c r="F117" s="247"/>
      <c r="G117" s="43">
        <v>0.1</v>
      </c>
      <c r="H117" s="19">
        <f>TRUNC((H$133+H$116)*$G117,2)</f>
        <v>1097.44</v>
      </c>
      <c r="I117" s="99"/>
    </row>
    <row r="118" spans="2:9" x14ac:dyDescent="0.2">
      <c r="B118" s="13" t="s">
        <v>6</v>
      </c>
      <c r="C118" s="86" t="s">
        <v>110</v>
      </c>
      <c r="D118" s="245" t="s">
        <v>153</v>
      </c>
      <c r="E118" s="246"/>
      <c r="F118" s="247"/>
      <c r="G118" s="45">
        <f>1-(G119+G120+G121)</f>
        <v>0.85749999999999993</v>
      </c>
      <c r="H118" s="24">
        <f>TRUNC(((H$133+H$116+H$117)/$G118),2)</f>
        <v>14077.95</v>
      </c>
      <c r="I118" s="101"/>
    </row>
    <row r="119" spans="2:9" x14ac:dyDescent="0.2">
      <c r="B119" s="13" t="s">
        <v>19</v>
      </c>
      <c r="C119" s="86" t="s">
        <v>16</v>
      </c>
      <c r="D119" s="245" t="s">
        <v>154</v>
      </c>
      <c r="E119" s="246"/>
      <c r="F119" s="247"/>
      <c r="G119" s="44">
        <v>1.6500000000000001E-2</v>
      </c>
      <c r="H119" s="19">
        <f>TRUNC(H$118*$G119,2)</f>
        <v>232.28</v>
      </c>
      <c r="I119" s="99"/>
    </row>
    <row r="120" spans="2:9" x14ac:dyDescent="0.2">
      <c r="B120" s="13" t="s">
        <v>20</v>
      </c>
      <c r="C120" s="86" t="s">
        <v>17</v>
      </c>
      <c r="D120" s="245" t="s">
        <v>154</v>
      </c>
      <c r="E120" s="246"/>
      <c r="F120" s="247"/>
      <c r="G120" s="44">
        <v>7.5999999999999998E-2</v>
      </c>
      <c r="H120" s="19">
        <f>TRUNC(H$118*$G120,2)</f>
        <v>1069.92</v>
      </c>
      <c r="I120" s="99"/>
    </row>
    <row r="121" spans="2:9" x14ac:dyDescent="0.2">
      <c r="B121" s="13" t="s">
        <v>21</v>
      </c>
      <c r="C121" s="86" t="s">
        <v>18</v>
      </c>
      <c r="D121" s="245" t="s">
        <v>154</v>
      </c>
      <c r="E121" s="246"/>
      <c r="F121" s="247"/>
      <c r="G121" s="44">
        <v>0.05</v>
      </c>
      <c r="H121" s="19">
        <f>TRUNC(H$118*$G121,2)</f>
        <v>703.89</v>
      </c>
      <c r="I121" s="99"/>
    </row>
    <row r="122" spans="2:9" x14ac:dyDescent="0.2">
      <c r="B122" s="13" t="s">
        <v>142</v>
      </c>
      <c r="C122" s="82" t="s">
        <v>57</v>
      </c>
      <c r="D122" s="307" t="s">
        <v>144</v>
      </c>
      <c r="E122" s="307"/>
      <c r="F122" s="307"/>
      <c r="G122" s="162"/>
      <c r="H122" s="16">
        <f>SUM(H116:H121)-H118</f>
        <v>3626.119999999999</v>
      </c>
      <c r="I122" s="17"/>
    </row>
    <row r="123" spans="2:9" x14ac:dyDescent="0.2">
      <c r="B123" s="60"/>
      <c r="C123" s="60"/>
      <c r="D123" s="60"/>
      <c r="E123" s="60"/>
      <c r="F123" s="60"/>
      <c r="G123" s="60"/>
      <c r="H123" s="72"/>
      <c r="I123" s="25"/>
    </row>
    <row r="124" spans="2:9" x14ac:dyDescent="0.2">
      <c r="B124" s="304" t="s">
        <v>177</v>
      </c>
      <c r="C124" s="304"/>
      <c r="D124" s="304"/>
      <c r="E124" s="304"/>
      <c r="F124" s="304"/>
      <c r="G124" s="304"/>
      <c r="H124" s="304"/>
      <c r="I124" s="108"/>
    </row>
    <row r="125" spans="2:9" x14ac:dyDescent="0.2">
      <c r="B125" s="85"/>
      <c r="C125" s="85"/>
      <c r="D125" s="85"/>
      <c r="E125" s="85"/>
      <c r="F125" s="85"/>
      <c r="G125" s="85"/>
      <c r="H125" s="85"/>
      <c r="I125" s="108"/>
    </row>
    <row r="126" spans="2:9" x14ac:dyDescent="0.2">
      <c r="B126" s="269" t="s">
        <v>178</v>
      </c>
      <c r="C126" s="270"/>
      <c r="D126" s="270"/>
      <c r="E126" s="270"/>
      <c r="F126" s="270"/>
      <c r="G126" s="156"/>
      <c r="H126" s="139"/>
      <c r="I126" s="93"/>
    </row>
    <row r="127" spans="2:9" ht="12.75" customHeight="1" x14ac:dyDescent="0.2">
      <c r="B127" s="154"/>
      <c r="C127" s="335" t="s">
        <v>111</v>
      </c>
      <c r="D127" s="336"/>
      <c r="E127" s="336"/>
      <c r="F127" s="336"/>
      <c r="G127" s="155"/>
      <c r="H127" s="137" t="s">
        <v>47</v>
      </c>
      <c r="I127" s="93"/>
    </row>
    <row r="128" spans="2:9" x14ac:dyDescent="0.2">
      <c r="B128" s="13" t="s">
        <v>4</v>
      </c>
      <c r="C128" s="78" t="s">
        <v>75</v>
      </c>
      <c r="D128" s="164" t="s">
        <v>121</v>
      </c>
      <c r="E128" s="165"/>
      <c r="F128" s="165"/>
      <c r="G128" s="166"/>
      <c r="H128" s="19">
        <f>H33</f>
        <v>3849.68</v>
      </c>
      <c r="I128" s="99"/>
    </row>
    <row r="129" spans="2:9" ht="22.5" x14ac:dyDescent="0.2">
      <c r="B129" s="13" t="s">
        <v>5</v>
      </c>
      <c r="C129" s="78" t="s">
        <v>76</v>
      </c>
      <c r="D129" s="164" t="s">
        <v>135</v>
      </c>
      <c r="E129" s="165"/>
      <c r="F129" s="165"/>
      <c r="G129" s="166"/>
      <c r="H129" s="19">
        <f>H73</f>
        <v>4963.0133333333333</v>
      </c>
      <c r="I129" s="99"/>
    </row>
    <row r="130" spans="2:9" x14ac:dyDescent="0.2">
      <c r="B130" s="13" t="s">
        <v>6</v>
      </c>
      <c r="C130" s="78" t="s">
        <v>77</v>
      </c>
      <c r="D130" s="164" t="s">
        <v>137</v>
      </c>
      <c r="E130" s="165"/>
      <c r="F130" s="165"/>
      <c r="G130" s="166"/>
      <c r="H130" s="19">
        <f>H83</f>
        <v>496.7</v>
      </c>
      <c r="I130" s="99"/>
    </row>
    <row r="131" spans="2:9" ht="22.5" x14ac:dyDescent="0.2">
      <c r="B131" s="13" t="s">
        <v>7</v>
      </c>
      <c r="C131" s="78" t="s">
        <v>41</v>
      </c>
      <c r="D131" s="164" t="s">
        <v>140</v>
      </c>
      <c r="E131" s="165"/>
      <c r="F131" s="165"/>
      <c r="G131" s="166"/>
      <c r="H131" s="19">
        <f>H103</f>
        <v>982.64</v>
      </c>
      <c r="I131" s="99"/>
    </row>
    <row r="132" spans="2:9" x14ac:dyDescent="0.2">
      <c r="B132" s="13" t="s">
        <v>8</v>
      </c>
      <c r="C132" s="78" t="s">
        <v>78</v>
      </c>
      <c r="D132" s="164" t="s">
        <v>141</v>
      </c>
      <c r="E132" s="165"/>
      <c r="F132" s="165"/>
      <c r="G132" s="166"/>
      <c r="H132" s="19">
        <f>H111</f>
        <v>159.78727272727275</v>
      </c>
      <c r="I132" s="99"/>
    </row>
    <row r="133" spans="2:9" x14ac:dyDescent="0.2">
      <c r="B133" s="84" t="s">
        <v>9</v>
      </c>
      <c r="C133" s="77" t="s">
        <v>44</v>
      </c>
      <c r="D133" s="170" t="s">
        <v>158</v>
      </c>
      <c r="E133" s="171"/>
      <c r="F133" s="171"/>
      <c r="G133" s="172"/>
      <c r="H133" s="22">
        <f>SUM(H128:H132)</f>
        <v>10451.820606060606</v>
      </c>
      <c r="I133" s="17"/>
    </row>
    <row r="134" spans="2:9" x14ac:dyDescent="0.2">
      <c r="B134" s="13" t="s">
        <v>10</v>
      </c>
      <c r="C134" s="86" t="s">
        <v>79</v>
      </c>
      <c r="D134" s="164" t="s">
        <v>142</v>
      </c>
      <c r="E134" s="165"/>
      <c r="F134" s="165"/>
      <c r="G134" s="166"/>
      <c r="H134" s="19">
        <f>H122</f>
        <v>3626.119999999999</v>
      </c>
      <c r="I134" s="99"/>
    </row>
    <row r="135" spans="2:9" x14ac:dyDescent="0.2">
      <c r="B135" s="13" t="s">
        <v>145</v>
      </c>
      <c r="C135" s="81" t="s">
        <v>74</v>
      </c>
      <c r="D135" s="173" t="s">
        <v>157</v>
      </c>
      <c r="E135" s="161"/>
      <c r="F135" s="161"/>
      <c r="G135" s="162"/>
      <c r="H135" s="27">
        <f>SUM(H133:H134)</f>
        <v>14077.940606060605</v>
      </c>
      <c r="I135" s="112"/>
    </row>
    <row r="136" spans="2:9" ht="12.75" customHeight="1" x14ac:dyDescent="0.2">
      <c r="B136" s="11"/>
      <c r="C136" s="11"/>
      <c r="D136" s="11"/>
      <c r="E136" s="11"/>
      <c r="F136" s="11"/>
      <c r="G136" s="11"/>
      <c r="H136" s="28"/>
      <c r="I136" s="28"/>
    </row>
    <row r="137" spans="2:9" x14ac:dyDescent="0.2">
      <c r="B137" s="304" t="s">
        <v>179</v>
      </c>
      <c r="C137" s="304"/>
      <c r="D137" s="304"/>
      <c r="E137" s="304"/>
      <c r="F137" s="304"/>
      <c r="I137" s="11"/>
    </row>
    <row r="138" spans="2:9" x14ac:dyDescent="0.2">
      <c r="B138" s="73"/>
      <c r="C138" s="73"/>
      <c r="D138" s="73"/>
      <c r="E138" s="67"/>
      <c r="F138" s="67"/>
      <c r="I138" s="11"/>
    </row>
    <row r="139" spans="2:9" x14ac:dyDescent="0.2">
      <c r="B139" s="248" t="s">
        <v>180</v>
      </c>
      <c r="C139" s="249"/>
      <c r="D139" s="249"/>
      <c r="E139" s="249"/>
      <c r="F139" s="249"/>
      <c r="G139" s="156"/>
      <c r="H139" s="139"/>
      <c r="I139" s="109"/>
    </row>
    <row r="140" spans="2:9" x14ac:dyDescent="0.2">
      <c r="B140" s="125" t="s">
        <v>4</v>
      </c>
      <c r="C140" s="157" t="s">
        <v>100</v>
      </c>
      <c r="D140" s="337" t="s">
        <v>145</v>
      </c>
      <c r="E140" s="338"/>
      <c r="F140" s="338"/>
      <c r="G140" s="158"/>
      <c r="H140" s="159">
        <f>H135</f>
        <v>14077.940606060605</v>
      </c>
      <c r="I140" s="107"/>
    </row>
    <row r="141" spans="2:9" ht="22.5" x14ac:dyDescent="0.2">
      <c r="B141" s="13" t="s">
        <v>5</v>
      </c>
      <c r="C141" s="79" t="s">
        <v>147</v>
      </c>
      <c r="D141" s="314" t="s">
        <v>148</v>
      </c>
      <c r="E141" s="315"/>
      <c r="F141" s="315"/>
      <c r="G141" s="152"/>
      <c r="H141" s="9">
        <f>H44+H83+H101</f>
        <v>2227.88</v>
      </c>
      <c r="I141" s="102"/>
    </row>
    <row r="142" spans="2:9" ht="22.5" x14ac:dyDescent="0.2">
      <c r="B142" s="13" t="s">
        <v>6</v>
      </c>
      <c r="C142" s="79" t="s">
        <v>161</v>
      </c>
      <c r="D142" s="314" t="s">
        <v>169</v>
      </c>
      <c r="E142" s="315"/>
      <c r="F142" s="315"/>
      <c r="G142" s="153"/>
      <c r="H142" s="106">
        <f>TRUNC((H$44*$G57),2)</f>
        <v>297.91000000000003</v>
      </c>
      <c r="I142" s="107"/>
    </row>
    <row r="143" spans="2:9" ht="12.75" customHeight="1" x14ac:dyDescent="0.2">
      <c r="B143" s="13" t="s">
        <v>7</v>
      </c>
      <c r="C143" s="79" t="s">
        <v>14</v>
      </c>
      <c r="D143" s="308" t="s">
        <v>155</v>
      </c>
      <c r="E143" s="309"/>
      <c r="F143" s="310"/>
      <c r="G143" s="10">
        <f>G116</f>
        <v>0.05</v>
      </c>
      <c r="H143" s="9">
        <f>TRUNC((H$141+H$142)*$G143,2)</f>
        <v>126.28</v>
      </c>
      <c r="I143" s="102"/>
    </row>
    <row r="144" spans="2:9" ht="12.75" customHeight="1" x14ac:dyDescent="0.2">
      <c r="B144" s="13" t="s">
        <v>8</v>
      </c>
      <c r="C144" s="79" t="s">
        <v>3</v>
      </c>
      <c r="D144" s="308" t="s">
        <v>156</v>
      </c>
      <c r="E144" s="309"/>
      <c r="F144" s="310"/>
      <c r="G144" s="10">
        <f>G117</f>
        <v>0.1</v>
      </c>
      <c r="H144" s="9">
        <f>TRUNC((H$141+H$142+H$143)*$G144,2)</f>
        <v>265.2</v>
      </c>
      <c r="I144" s="102"/>
    </row>
    <row r="145" spans="2:9" ht="12.75" customHeight="1" x14ac:dyDescent="0.2">
      <c r="B145" s="13" t="s">
        <v>9</v>
      </c>
      <c r="C145" s="79" t="s">
        <v>101</v>
      </c>
      <c r="D145" s="308" t="s">
        <v>163</v>
      </c>
      <c r="E145" s="309"/>
      <c r="F145" s="310"/>
      <c r="G145" s="10">
        <f>G119+G120+G121</f>
        <v>0.14250000000000002</v>
      </c>
      <c r="H145" s="9">
        <f>TRUNC((H$141+H$142+H$143+H$144)/(1-$G145)-(H$141+H$142+H$143+H$144),2)</f>
        <v>484.79</v>
      </c>
      <c r="I145" s="102"/>
    </row>
    <row r="146" spans="2:9" ht="22.5" x14ac:dyDescent="0.2">
      <c r="B146" s="13" t="s">
        <v>10</v>
      </c>
      <c r="C146" s="126" t="s">
        <v>102</v>
      </c>
      <c r="D146" s="150" t="s">
        <v>164</v>
      </c>
      <c r="E146" s="151"/>
      <c r="F146" s="151"/>
      <c r="G146" s="152"/>
      <c r="H146" s="127">
        <f>SUM(H141:H145)</f>
        <v>3402.06</v>
      </c>
      <c r="I146" s="103"/>
    </row>
    <row r="147" spans="2:9" x14ac:dyDescent="0.2">
      <c r="B147" s="13" t="s">
        <v>146</v>
      </c>
      <c r="C147" s="83" t="s">
        <v>118</v>
      </c>
      <c r="D147" s="316" t="s">
        <v>162</v>
      </c>
      <c r="E147" s="317"/>
      <c r="F147" s="317"/>
      <c r="G147" s="160"/>
      <c r="H147" s="29">
        <f>H140-H146</f>
        <v>10675.880606060606</v>
      </c>
      <c r="I147" s="113"/>
    </row>
    <row r="148" spans="2:9" ht="45" customHeight="1" x14ac:dyDescent="0.2">
      <c r="B148" s="311" t="s">
        <v>117</v>
      </c>
      <c r="C148" s="312"/>
      <c r="D148" s="312"/>
      <c r="E148" s="312"/>
      <c r="F148" s="312"/>
      <c r="G148" s="313"/>
      <c r="H148" s="136"/>
      <c r="I148" s="104"/>
    </row>
  </sheetData>
  <mergeCells count="106"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C100:G100"/>
    <mergeCell ref="C103:F103"/>
    <mergeCell ref="B106:F106"/>
    <mergeCell ref="C107:G107"/>
    <mergeCell ref="C111:F111"/>
    <mergeCell ref="B114:F114"/>
    <mergeCell ref="C88:F88"/>
    <mergeCell ref="C92:F92"/>
    <mergeCell ref="B94:F94"/>
    <mergeCell ref="C95:F95"/>
    <mergeCell ref="C97:F97"/>
    <mergeCell ref="B99:F99"/>
    <mergeCell ref="D78:E78"/>
    <mergeCell ref="D79:E79"/>
    <mergeCell ref="D82:E82"/>
    <mergeCell ref="C83:F83"/>
    <mergeCell ref="B86:F86"/>
    <mergeCell ref="B87:F87"/>
    <mergeCell ref="B68:F68"/>
    <mergeCell ref="C69:F69"/>
    <mergeCell ref="C73:F73"/>
    <mergeCell ref="B74:H74"/>
    <mergeCell ref="B76:F76"/>
    <mergeCell ref="C77:F77"/>
    <mergeCell ref="C57:F57"/>
    <mergeCell ref="B58:H58"/>
    <mergeCell ref="B59:F59"/>
    <mergeCell ref="C60:F60"/>
    <mergeCell ref="C66:F66"/>
    <mergeCell ref="B67:H67"/>
    <mergeCell ref="H50:H51"/>
    <mergeCell ref="D52:F52"/>
    <mergeCell ref="D53:F53"/>
    <mergeCell ref="D54:F54"/>
    <mergeCell ref="D55:F55"/>
    <mergeCell ref="D56:F56"/>
    <mergeCell ref="D48:F48"/>
    <mergeCell ref="D49:F49"/>
    <mergeCell ref="B50:B51"/>
    <mergeCell ref="C50:C51"/>
    <mergeCell ref="D50:D51"/>
    <mergeCell ref="G50:G51"/>
    <mergeCell ref="D42:F42"/>
    <mergeCell ref="D43:F43"/>
    <mergeCell ref="C44:F44"/>
    <mergeCell ref="B45:H45"/>
    <mergeCell ref="B46:F46"/>
    <mergeCell ref="C47:F47"/>
    <mergeCell ref="C33:F33"/>
    <mergeCell ref="C34:F35"/>
    <mergeCell ref="B38:F38"/>
    <mergeCell ref="B39:F39"/>
    <mergeCell ref="B40:F40"/>
    <mergeCell ref="C41:F41"/>
    <mergeCell ref="D26:F26"/>
    <mergeCell ref="D28:F28"/>
    <mergeCell ref="D29:F29"/>
    <mergeCell ref="D30:F30"/>
    <mergeCell ref="D31:F31"/>
    <mergeCell ref="D32:F32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</mergeCells>
  <dataValidations count="11">
    <dataValidation operator="equal" allowBlank="1" showInputMessage="1" showErrorMessage="1" errorTitle="Valor errado" error="Percentual fixo. Preencher com 40%." sqref="F78" xr:uid="{B9D7FCA2-D0F5-439E-BEE9-3650081A358F}"/>
    <dataValidation type="list" allowBlank="1" showInputMessage="1" showErrorMessage="1" sqref="G26" xr:uid="{233CFFD5-1A02-4D55-98C3-AC50CFE46DDB}">
      <formula1>"0%, 30%"</formula1>
    </dataValidation>
    <dataValidation type="list" allowBlank="1" showInputMessage="1" showErrorMessage="1" sqref="G27" xr:uid="{94B85175-DF32-4F7A-A82B-0FA24C8BFDFD}">
      <formula1>"0%, 10%, 20%, 40%"</formula1>
    </dataValidation>
    <dataValidation type="list" allowBlank="1" showInputMessage="1" showErrorMessage="1" sqref="E51" xr:uid="{24B3E8F1-DF7C-4E61-BD2B-56F70DE4EBC4}">
      <formula1>"1%, 2%, 3%"</formula1>
    </dataValidation>
    <dataValidation type="list" allowBlank="1" showInputMessage="1" showErrorMessage="1" sqref="G28:G29" xr:uid="{41A25EA3-1D62-454F-9EBC-A7CC73005CDA}">
      <formula1>"0, 20%"</formula1>
    </dataValidation>
    <dataValidation type="list" allowBlank="1" showInputMessage="1" showErrorMessage="1" sqref="G120" xr:uid="{4B84187D-4416-42FA-A17F-47E13E5522D9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19" xr:uid="{99129DA3-FE60-4637-919F-AF4A678AD34D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:G31" xr:uid="{3D2A79D5-1C28-4F70-82E1-27F99D7AA4C4}">
      <formula1>"0, 50%, 100%"</formula1>
    </dataValidation>
    <dataValidation type="whole" allowBlank="1" showInputMessage="1" showErrorMessage="1" errorTitle="Valor errado" error="Quantidade fixa de dias. Prencher com 30" sqref="G89" xr:uid="{8EAD65F0-18DA-46C4-B223-6D84D4755B3F}">
      <formula1>30</formula1>
      <formula2>30</formula2>
    </dataValidation>
    <dataValidation type="custom" allowBlank="1" showInputMessage="1" showErrorMessage="1" sqref="G118" xr:uid="{A9E44D58-43BC-48BF-A93E-C080F6B7CFC2}">
      <formula1>1-(G119+G120+G121)</formula1>
    </dataValidation>
    <dataValidation type="list" allowBlank="1" showInputMessage="1" showErrorMessage="1" sqref="G82" xr:uid="{8412D674-52B8-4B4B-BBF1-A453516A0733}">
      <formula1>"3,6,9,12,15"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2D38-862E-414E-8E26-8C0121DFA74E}">
  <dimension ref="B1:I148"/>
  <sheetViews>
    <sheetView topLeftCell="A130" workbookViewId="0">
      <selection activeCell="B99" sqref="B99:H148"/>
    </sheetView>
  </sheetViews>
  <sheetFormatPr defaultColWidth="9.140625" defaultRowHeight="12.75" x14ac:dyDescent="0.2"/>
  <cols>
    <col min="1" max="1" width="3.5703125" style="56" customWidth="1"/>
    <col min="2" max="2" width="8.28515625" style="56" customWidth="1"/>
    <col min="3" max="3" width="39.140625" style="56" customWidth="1"/>
    <col min="4" max="4" width="29.140625" style="56" customWidth="1"/>
    <col min="5" max="5" width="8.140625" style="56" customWidth="1"/>
    <col min="6" max="6" width="10.7109375" style="56" bestFit="1" customWidth="1"/>
    <col min="7" max="7" width="9.140625" style="56"/>
    <col min="8" max="9" width="15.28515625" style="56" customWidth="1"/>
    <col min="10" max="16384" width="9.140625" style="56"/>
  </cols>
  <sheetData>
    <row r="1" spans="2:9" x14ac:dyDescent="0.2">
      <c r="C1" s="105"/>
      <c r="D1" s="11"/>
      <c r="E1" s="11"/>
      <c r="F1" s="11"/>
      <c r="G1" s="11"/>
      <c r="H1" s="11"/>
      <c r="I1" s="11"/>
    </row>
    <row r="2" spans="2:9" x14ac:dyDescent="0.2">
      <c r="B2" s="237" t="s">
        <v>48</v>
      </c>
      <c r="C2" s="237"/>
      <c r="D2" s="237"/>
      <c r="E2" s="237"/>
      <c r="F2" s="237"/>
      <c r="G2" s="237"/>
      <c r="H2" s="237"/>
      <c r="I2" s="92"/>
    </row>
    <row r="3" spans="2:9" x14ac:dyDescent="0.2">
      <c r="B3" s="238" t="s">
        <v>176</v>
      </c>
      <c r="C3" s="238"/>
      <c r="D3" s="238"/>
      <c r="E3" s="238"/>
      <c r="F3" s="238"/>
      <c r="G3" s="238"/>
      <c r="H3" s="238"/>
      <c r="I3" s="94"/>
    </row>
    <row r="4" spans="2:9" x14ac:dyDescent="0.2">
      <c r="B4" s="58"/>
      <c r="C4" s="58"/>
      <c r="D4" s="58"/>
      <c r="E4" s="58"/>
      <c r="F4" s="58"/>
      <c r="G4" s="58"/>
      <c r="H4" s="58"/>
      <c r="I4" s="58"/>
    </row>
    <row r="5" spans="2:9" x14ac:dyDescent="0.2">
      <c r="B5" s="58"/>
      <c r="C5" s="58"/>
      <c r="D5" s="58"/>
      <c r="E5" s="58"/>
      <c r="F5" s="58"/>
      <c r="G5" s="58"/>
      <c r="H5" s="58"/>
      <c r="I5" s="58"/>
    </row>
    <row r="6" spans="2:9" x14ac:dyDescent="0.2">
      <c r="B6" s="134" t="s">
        <v>119</v>
      </c>
      <c r="C6" s="134"/>
      <c r="D6" s="242" t="s">
        <v>288</v>
      </c>
      <c r="E6" s="243"/>
      <c r="F6" s="244"/>
      <c r="I6" s="12"/>
    </row>
    <row r="7" spans="2:9" x14ac:dyDescent="0.2">
      <c r="B7" s="58"/>
      <c r="C7" s="58"/>
      <c r="D7" s="58"/>
      <c r="E7" s="58"/>
      <c r="F7" s="58"/>
      <c r="G7" s="58"/>
      <c r="H7" s="58"/>
      <c r="I7" s="11"/>
    </row>
    <row r="8" spans="2:9" x14ac:dyDescent="0.2">
      <c r="B8" s="322" t="s">
        <v>49</v>
      </c>
      <c r="C8" s="322"/>
      <c r="D8" s="322"/>
      <c r="E8" s="322"/>
      <c r="F8" s="322"/>
      <c r="G8" s="135"/>
      <c r="H8" s="135"/>
      <c r="I8" s="57"/>
    </row>
    <row r="9" spans="2:9" x14ac:dyDescent="0.2">
      <c r="B9" s="318">
        <v>1</v>
      </c>
      <c r="C9" s="319" t="s">
        <v>50</v>
      </c>
      <c r="D9" s="319"/>
      <c r="E9" s="319"/>
      <c r="F9" s="319"/>
      <c r="G9" s="135"/>
      <c r="H9" s="135"/>
      <c r="I9" s="57"/>
    </row>
    <row r="10" spans="2:9" x14ac:dyDescent="0.2">
      <c r="B10" s="318"/>
      <c r="C10" s="320"/>
      <c r="D10" s="320"/>
      <c r="E10" s="320"/>
      <c r="F10" s="320"/>
      <c r="G10" s="135"/>
      <c r="H10" s="135"/>
      <c r="I10" s="57"/>
    </row>
    <row r="11" spans="2:9" x14ac:dyDescent="0.2">
      <c r="B11" s="318">
        <v>2</v>
      </c>
      <c r="C11" s="319" t="s">
        <v>51</v>
      </c>
      <c r="D11" s="319"/>
      <c r="E11" s="319"/>
      <c r="F11" s="319"/>
      <c r="G11" s="135"/>
      <c r="H11" s="135"/>
      <c r="I11" s="57"/>
    </row>
    <row r="12" spans="2:9" x14ac:dyDescent="0.2">
      <c r="B12" s="318"/>
      <c r="C12" s="320"/>
      <c r="D12" s="320"/>
      <c r="E12" s="320"/>
      <c r="F12" s="320"/>
      <c r="G12" s="135"/>
      <c r="H12" s="135"/>
      <c r="I12" s="57"/>
    </row>
    <row r="13" spans="2:9" x14ac:dyDescent="0.2">
      <c r="B13" s="318">
        <v>3</v>
      </c>
      <c r="C13" s="319" t="s">
        <v>52</v>
      </c>
      <c r="D13" s="319"/>
      <c r="E13" s="319"/>
      <c r="F13" s="319"/>
      <c r="G13" s="135"/>
      <c r="H13" s="135"/>
      <c r="I13" s="57"/>
    </row>
    <row r="14" spans="2:9" x14ac:dyDescent="0.2">
      <c r="B14" s="318"/>
      <c r="C14" s="321"/>
      <c r="D14" s="321"/>
      <c r="E14" s="321"/>
      <c r="F14" s="321"/>
      <c r="G14" s="135"/>
      <c r="H14" s="135"/>
      <c r="I14" s="57"/>
    </row>
    <row r="15" spans="2:9" x14ac:dyDescent="0.2">
      <c r="B15" s="318">
        <v>4</v>
      </c>
      <c r="C15" s="319" t="s">
        <v>53</v>
      </c>
      <c r="D15" s="319"/>
      <c r="E15" s="319"/>
      <c r="F15" s="319"/>
      <c r="G15" s="135"/>
      <c r="H15" s="135"/>
      <c r="I15" s="57"/>
    </row>
    <row r="16" spans="2:9" x14ac:dyDescent="0.2">
      <c r="B16" s="318"/>
      <c r="C16" s="320"/>
      <c r="D16" s="320"/>
      <c r="E16" s="320"/>
      <c r="F16" s="320"/>
      <c r="G16" s="135"/>
      <c r="H16" s="135"/>
      <c r="I16" s="57"/>
    </row>
    <row r="17" spans="2:9" x14ac:dyDescent="0.2">
      <c r="B17" s="318">
        <v>5</v>
      </c>
      <c r="C17" s="319" t="s">
        <v>54</v>
      </c>
      <c r="D17" s="319"/>
      <c r="E17" s="319"/>
      <c r="F17" s="319"/>
      <c r="G17" s="135"/>
      <c r="H17" s="135"/>
      <c r="I17" s="57"/>
    </row>
    <row r="18" spans="2:9" x14ac:dyDescent="0.2">
      <c r="B18" s="318"/>
      <c r="C18" s="320"/>
      <c r="D18" s="320"/>
      <c r="E18" s="320"/>
      <c r="F18" s="320"/>
      <c r="G18" s="135"/>
      <c r="H18" s="135"/>
      <c r="I18" s="57"/>
    </row>
    <row r="19" spans="2:9" x14ac:dyDescent="0.2">
      <c r="B19" s="318">
        <v>6</v>
      </c>
      <c r="C19" s="319" t="s">
        <v>55</v>
      </c>
      <c r="D19" s="319"/>
      <c r="E19" s="319"/>
      <c r="F19" s="319"/>
      <c r="G19" s="135"/>
      <c r="H19" s="135"/>
      <c r="I19" s="57"/>
    </row>
    <row r="20" spans="2:9" x14ac:dyDescent="0.2">
      <c r="B20" s="318"/>
      <c r="C20" s="320"/>
      <c r="D20" s="320"/>
      <c r="E20" s="320"/>
      <c r="F20" s="320"/>
      <c r="G20" s="135"/>
      <c r="H20" s="135"/>
      <c r="I20" s="57"/>
    </row>
    <row r="21" spans="2:9" x14ac:dyDescent="0.2">
      <c r="B21" s="59"/>
      <c r="C21" s="59"/>
      <c r="D21" s="59"/>
      <c r="E21" s="59"/>
      <c r="F21" s="59"/>
      <c r="G21" s="60"/>
      <c r="H21" s="60"/>
      <c r="I21" s="57"/>
    </row>
    <row r="22" spans="2:9" x14ac:dyDescent="0.2">
      <c r="B22" s="61"/>
      <c r="C22" s="61"/>
      <c r="D22" s="61"/>
      <c r="E22" s="61"/>
      <c r="F22" s="61"/>
      <c r="G22" s="61"/>
      <c r="H22" s="140" t="s">
        <v>181</v>
      </c>
    </row>
    <row r="23" spans="2:9" x14ac:dyDescent="0.2">
      <c r="B23" s="269" t="s">
        <v>62</v>
      </c>
      <c r="C23" s="270"/>
      <c r="D23" s="270"/>
      <c r="E23" s="270"/>
      <c r="F23" s="270"/>
      <c r="G23" s="138"/>
      <c r="H23" s="139"/>
      <c r="I23" s="93"/>
    </row>
    <row r="24" spans="2:9" x14ac:dyDescent="0.2">
      <c r="B24" s="88">
        <v>1</v>
      </c>
      <c r="C24" s="230" t="s">
        <v>56</v>
      </c>
      <c r="D24" s="241"/>
      <c r="E24" s="241"/>
      <c r="F24" s="231"/>
      <c r="G24" s="137" t="s">
        <v>1</v>
      </c>
      <c r="H24" s="137" t="s">
        <v>47</v>
      </c>
      <c r="I24" s="93"/>
    </row>
    <row r="25" spans="2:9" ht="12.75" customHeight="1" x14ac:dyDescent="0.2">
      <c r="B25" s="13" t="s">
        <v>4</v>
      </c>
      <c r="C25" s="86" t="s">
        <v>15</v>
      </c>
      <c r="D25" s="245"/>
      <c r="E25" s="246"/>
      <c r="F25" s="247"/>
      <c r="G25" s="14"/>
      <c r="H25" s="30">
        <v>3415.12</v>
      </c>
      <c r="I25" s="99"/>
    </row>
    <row r="26" spans="2:9" x14ac:dyDescent="0.2">
      <c r="B26" s="13" t="s">
        <v>5</v>
      </c>
      <c r="C26" s="86" t="s">
        <v>22</v>
      </c>
      <c r="D26" s="245" t="s">
        <v>120</v>
      </c>
      <c r="E26" s="246"/>
      <c r="F26" s="247"/>
      <c r="G26" s="31"/>
      <c r="H26" s="15">
        <f>TRUNC(H$25*$G26,2)</f>
        <v>0</v>
      </c>
      <c r="I26" s="95"/>
    </row>
    <row r="27" spans="2:9" x14ac:dyDescent="0.2">
      <c r="B27" s="13" t="s">
        <v>6</v>
      </c>
      <c r="C27" s="87" t="s">
        <v>23</v>
      </c>
      <c r="D27" s="164" t="s">
        <v>159</v>
      </c>
      <c r="E27" s="175" t="s">
        <v>183</v>
      </c>
      <c r="F27" s="174">
        <v>1621</v>
      </c>
      <c r="G27" s="31"/>
      <c r="H27" s="15">
        <f>TRUNC(F$27*$G27,2)</f>
        <v>0</v>
      </c>
      <c r="I27" s="95"/>
    </row>
    <row r="28" spans="2:9" x14ac:dyDescent="0.2">
      <c r="B28" s="13" t="s">
        <v>7</v>
      </c>
      <c r="C28" s="87" t="s">
        <v>0</v>
      </c>
      <c r="D28" s="245" t="s">
        <v>166</v>
      </c>
      <c r="E28" s="246"/>
      <c r="F28" s="247"/>
      <c r="G28" s="32"/>
      <c r="H28" s="65">
        <f>TRUNC(((H$25+H26)*$G28)/220*8*15,2)</f>
        <v>0</v>
      </c>
      <c r="I28" s="96"/>
    </row>
    <row r="29" spans="2:9" x14ac:dyDescent="0.2">
      <c r="B29" s="115" t="s">
        <v>8</v>
      </c>
      <c r="C29" s="116" t="s">
        <v>24</v>
      </c>
      <c r="D29" s="266" t="s">
        <v>166</v>
      </c>
      <c r="E29" s="267"/>
      <c r="F29" s="268"/>
      <c r="G29" s="117"/>
      <c r="H29" s="118">
        <f>TRUNC(((H25+H26)*$G29)/220*1*15,2)</f>
        <v>0</v>
      </c>
      <c r="I29" s="119" t="s">
        <v>171</v>
      </c>
    </row>
    <row r="30" spans="2:9" x14ac:dyDescent="0.2">
      <c r="B30" s="120" t="s">
        <v>9</v>
      </c>
      <c r="C30" s="116" t="s">
        <v>103</v>
      </c>
      <c r="D30" s="266" t="s">
        <v>167</v>
      </c>
      <c r="E30" s="267"/>
      <c r="F30" s="268"/>
      <c r="G30" s="121">
        <v>0.5</v>
      </c>
      <c r="H30" s="118">
        <f>TRUNC($G$35*H35*(1+$G$30),2)</f>
        <v>186.24</v>
      </c>
      <c r="I30" s="119"/>
    </row>
    <row r="31" spans="2:9" x14ac:dyDescent="0.2">
      <c r="B31" s="120" t="s">
        <v>10</v>
      </c>
      <c r="C31" s="116" t="s">
        <v>103</v>
      </c>
      <c r="D31" s="266" t="s">
        <v>167</v>
      </c>
      <c r="E31" s="267"/>
      <c r="F31" s="268"/>
      <c r="G31" s="121">
        <v>1</v>
      </c>
      <c r="H31" s="118">
        <f>TRUNC($G$35*H35*(1+$G$31),2)</f>
        <v>248.32</v>
      </c>
      <c r="I31" s="119"/>
    </row>
    <row r="32" spans="2:9" x14ac:dyDescent="0.2">
      <c r="B32" s="13" t="s">
        <v>11</v>
      </c>
      <c r="C32" s="87" t="s">
        <v>2</v>
      </c>
      <c r="D32" s="245"/>
      <c r="E32" s="246"/>
      <c r="F32" s="247"/>
      <c r="G32" s="32"/>
      <c r="H32" s="46"/>
      <c r="I32" s="97"/>
    </row>
    <row r="33" spans="2:9" x14ac:dyDescent="0.2">
      <c r="B33" s="13" t="s">
        <v>121</v>
      </c>
      <c r="C33" s="230" t="s">
        <v>57</v>
      </c>
      <c r="D33" s="241"/>
      <c r="E33" s="241"/>
      <c r="F33" s="231"/>
      <c r="G33" s="26"/>
      <c r="H33" s="16">
        <f>SUM(H25:H32)</f>
        <v>3849.68</v>
      </c>
      <c r="I33" s="17"/>
    </row>
    <row r="34" spans="2:9" ht="22.5" x14ac:dyDescent="0.2">
      <c r="B34" s="92"/>
      <c r="C34" s="219" t="s">
        <v>112</v>
      </c>
      <c r="D34" s="219"/>
      <c r="E34" s="219"/>
      <c r="F34" s="219"/>
      <c r="G34" s="49" t="s">
        <v>104</v>
      </c>
      <c r="H34" s="48" t="s">
        <v>114</v>
      </c>
      <c r="I34" s="2"/>
    </row>
    <row r="35" spans="2:9" x14ac:dyDescent="0.2">
      <c r="B35" s="92"/>
      <c r="C35" s="219"/>
      <c r="D35" s="219"/>
      <c r="E35" s="219"/>
      <c r="F35" s="219"/>
      <c r="G35" s="47">
        <v>8</v>
      </c>
      <c r="H35" s="33">
        <f>IF($G$35="",0,TRUNC((H25+H26+H27)/220,2))</f>
        <v>15.52</v>
      </c>
      <c r="I35" s="98"/>
    </row>
    <row r="36" spans="2:9" x14ac:dyDescent="0.2">
      <c r="B36" s="92"/>
      <c r="C36" s="92"/>
      <c r="D36" s="92"/>
      <c r="E36" s="92"/>
      <c r="F36" s="92"/>
      <c r="G36" s="92"/>
      <c r="H36" s="66"/>
      <c r="I36" s="17"/>
    </row>
    <row r="37" spans="2:9" x14ac:dyDescent="0.2">
      <c r="B37" s="92"/>
      <c r="C37" s="92"/>
      <c r="D37" s="92"/>
      <c r="E37" s="92"/>
      <c r="F37" s="92"/>
      <c r="G37" s="92"/>
      <c r="H37" s="66"/>
      <c r="I37" s="17"/>
    </row>
    <row r="38" spans="2:9" ht="12.75" customHeight="1" x14ac:dyDescent="0.2">
      <c r="B38" s="269" t="s">
        <v>63</v>
      </c>
      <c r="C38" s="270"/>
      <c r="D38" s="270"/>
      <c r="E38" s="270"/>
      <c r="F38" s="270"/>
      <c r="G38" s="138"/>
      <c r="H38" s="139"/>
      <c r="I38" s="93"/>
    </row>
    <row r="39" spans="2:9" x14ac:dyDescent="0.2">
      <c r="B39" s="323"/>
      <c r="C39" s="324"/>
      <c r="D39" s="324"/>
      <c r="E39" s="324"/>
      <c r="F39" s="324"/>
      <c r="G39" s="55"/>
      <c r="H39" s="55"/>
      <c r="I39" s="93"/>
    </row>
    <row r="40" spans="2:9" x14ac:dyDescent="0.2">
      <c r="B40" s="325" t="s">
        <v>34</v>
      </c>
      <c r="C40" s="325"/>
      <c r="D40" s="325"/>
      <c r="E40" s="325"/>
      <c r="F40" s="325"/>
      <c r="G40" s="55"/>
      <c r="H40" s="55"/>
      <c r="I40" s="93"/>
    </row>
    <row r="41" spans="2:9" x14ac:dyDescent="0.2">
      <c r="B41" s="137" t="s">
        <v>36</v>
      </c>
      <c r="C41" s="326" t="s">
        <v>25</v>
      </c>
      <c r="D41" s="327"/>
      <c r="E41" s="327"/>
      <c r="F41" s="328"/>
      <c r="G41" s="88" t="s">
        <v>1</v>
      </c>
      <c r="H41" s="88" t="s">
        <v>47</v>
      </c>
      <c r="I41" s="93"/>
    </row>
    <row r="42" spans="2:9" x14ac:dyDescent="0.2">
      <c r="B42" s="13" t="s">
        <v>4</v>
      </c>
      <c r="C42" s="86" t="s">
        <v>105</v>
      </c>
      <c r="D42" s="245" t="s">
        <v>122</v>
      </c>
      <c r="E42" s="246"/>
      <c r="F42" s="247"/>
      <c r="G42" s="143">
        <f>1/12</f>
        <v>8.3333333333333329E-2</v>
      </c>
      <c r="H42" s="144">
        <f>TRUNC((H$33*$G42),2)</f>
        <v>320.8</v>
      </c>
      <c r="I42" s="99"/>
    </row>
    <row r="43" spans="2:9" x14ac:dyDescent="0.2">
      <c r="B43" s="13" t="s">
        <v>5</v>
      </c>
      <c r="C43" s="86" t="s">
        <v>61</v>
      </c>
      <c r="D43" s="245" t="s">
        <v>124</v>
      </c>
      <c r="E43" s="246"/>
      <c r="F43" s="247"/>
      <c r="G43" s="18">
        <f>(1/12)+(1/3/12)</f>
        <v>0.1111111111111111</v>
      </c>
      <c r="H43" s="19">
        <f>TRUNC((H$33*$G43),2)</f>
        <v>427.74</v>
      </c>
      <c r="I43" s="99"/>
    </row>
    <row r="44" spans="2:9" x14ac:dyDescent="0.2">
      <c r="B44" s="13" t="s">
        <v>123</v>
      </c>
      <c r="C44" s="230" t="s">
        <v>57</v>
      </c>
      <c r="D44" s="241"/>
      <c r="E44" s="241"/>
      <c r="F44" s="231"/>
      <c r="G44" s="20">
        <f>TRUNC(SUM(G42:G43),4)</f>
        <v>0.19439999999999999</v>
      </c>
      <c r="H44" s="16">
        <f>SUM(H42:H43)</f>
        <v>748.54</v>
      </c>
      <c r="I44" s="17"/>
    </row>
    <row r="45" spans="2:9" x14ac:dyDescent="0.2">
      <c r="B45" s="281"/>
      <c r="C45" s="282"/>
      <c r="D45" s="282"/>
      <c r="E45" s="282"/>
      <c r="F45" s="282"/>
      <c r="G45" s="282"/>
      <c r="H45" s="283"/>
      <c r="I45" s="92"/>
    </row>
    <row r="46" spans="2:9" ht="30" customHeight="1" x14ac:dyDescent="0.2">
      <c r="B46" s="288" t="s">
        <v>64</v>
      </c>
      <c r="C46" s="289"/>
      <c r="D46" s="289"/>
      <c r="E46" s="289"/>
      <c r="F46" s="290"/>
      <c r="G46" s="141"/>
      <c r="H46" s="142"/>
      <c r="I46" s="100"/>
    </row>
    <row r="47" spans="2:9" x14ac:dyDescent="0.2">
      <c r="B47" s="88" t="s">
        <v>37</v>
      </c>
      <c r="C47" s="230" t="s">
        <v>65</v>
      </c>
      <c r="D47" s="241"/>
      <c r="E47" s="241"/>
      <c r="F47" s="231"/>
      <c r="G47" s="88" t="s">
        <v>1</v>
      </c>
      <c r="H47" s="88" t="s">
        <v>47</v>
      </c>
      <c r="I47" s="93"/>
    </row>
    <row r="48" spans="2:9" x14ac:dyDescent="0.2">
      <c r="B48" s="13" t="s">
        <v>4</v>
      </c>
      <c r="C48" s="86" t="s">
        <v>28</v>
      </c>
      <c r="D48" s="245" t="s">
        <v>125</v>
      </c>
      <c r="E48" s="246"/>
      <c r="F48" s="247"/>
      <c r="G48" s="18">
        <v>0.2</v>
      </c>
      <c r="H48" s="19">
        <f>TRUNC((H$33+H$44)*$G48,2)</f>
        <v>919.64</v>
      </c>
      <c r="I48" s="99"/>
    </row>
    <row r="49" spans="2:9" x14ac:dyDescent="0.2">
      <c r="B49" s="13" t="s">
        <v>5</v>
      </c>
      <c r="C49" s="74" t="s">
        <v>29</v>
      </c>
      <c r="D49" s="245" t="s">
        <v>126</v>
      </c>
      <c r="E49" s="246"/>
      <c r="F49" s="247"/>
      <c r="G49" s="18">
        <v>2.5000000000000001E-2</v>
      </c>
      <c r="H49" s="19">
        <f>TRUNC((H$33+H$44)*$G49,2)</f>
        <v>114.95</v>
      </c>
      <c r="I49" s="99"/>
    </row>
    <row r="50" spans="2:9" x14ac:dyDescent="0.2">
      <c r="B50" s="275" t="s">
        <v>6</v>
      </c>
      <c r="C50" s="329" t="s">
        <v>97</v>
      </c>
      <c r="D50" s="331" t="s">
        <v>132</v>
      </c>
      <c r="E50" s="8" t="s">
        <v>98</v>
      </c>
      <c r="F50" s="8" t="s">
        <v>96</v>
      </c>
      <c r="G50" s="284">
        <f>E51*F51</f>
        <v>0.06</v>
      </c>
      <c r="H50" s="332">
        <f>TRUNC((H$33+H$44)*$G50,2)</f>
        <v>275.89</v>
      </c>
      <c r="I50" s="101"/>
    </row>
    <row r="51" spans="2:9" x14ac:dyDescent="0.2">
      <c r="B51" s="276"/>
      <c r="C51" s="330"/>
      <c r="D51" s="331"/>
      <c r="E51" s="34">
        <v>0.03</v>
      </c>
      <c r="F51" s="35">
        <v>2</v>
      </c>
      <c r="G51" s="285"/>
      <c r="H51" s="332"/>
      <c r="I51" s="101"/>
    </row>
    <row r="52" spans="2:9" x14ac:dyDescent="0.2">
      <c r="B52" s="13" t="s">
        <v>7</v>
      </c>
      <c r="C52" s="86" t="s">
        <v>27</v>
      </c>
      <c r="D52" s="245" t="s">
        <v>127</v>
      </c>
      <c r="E52" s="246"/>
      <c r="F52" s="247"/>
      <c r="G52" s="18">
        <v>1.4999999999999999E-2</v>
      </c>
      <c r="H52" s="19">
        <f>TRUNC((H$33+H$44)*$G52,2)</f>
        <v>68.97</v>
      </c>
      <c r="I52" s="99"/>
    </row>
    <row r="53" spans="2:9" x14ac:dyDescent="0.2">
      <c r="B53" s="13" t="s">
        <v>8</v>
      </c>
      <c r="C53" s="86" t="s">
        <v>30</v>
      </c>
      <c r="D53" s="245" t="s">
        <v>128</v>
      </c>
      <c r="E53" s="246"/>
      <c r="F53" s="247"/>
      <c r="G53" s="18">
        <v>0.01</v>
      </c>
      <c r="H53" s="19">
        <f>TRUNC((H$33+H$44)*$G53,2)</f>
        <v>45.98</v>
      </c>
      <c r="I53" s="99"/>
    </row>
    <row r="54" spans="2:9" x14ac:dyDescent="0.2">
      <c r="B54" s="13" t="s">
        <v>9</v>
      </c>
      <c r="C54" s="86" t="s">
        <v>31</v>
      </c>
      <c r="D54" s="245" t="s">
        <v>129</v>
      </c>
      <c r="E54" s="246"/>
      <c r="F54" s="247"/>
      <c r="G54" s="18">
        <v>6.0000000000000001E-3</v>
      </c>
      <c r="H54" s="19">
        <f>TRUNC((H$33+H$44)*$G54,2)</f>
        <v>27.58</v>
      </c>
      <c r="I54" s="99"/>
    </row>
    <row r="55" spans="2:9" x14ac:dyDescent="0.2">
      <c r="B55" s="13" t="s">
        <v>10</v>
      </c>
      <c r="C55" s="86" t="s">
        <v>32</v>
      </c>
      <c r="D55" s="245" t="s">
        <v>130</v>
      </c>
      <c r="E55" s="246"/>
      <c r="F55" s="247"/>
      <c r="G55" s="18">
        <v>2E-3</v>
      </c>
      <c r="H55" s="19">
        <f>TRUNC((H$33+H$44)*$G55,2)</f>
        <v>9.19</v>
      </c>
      <c r="I55" s="99"/>
    </row>
    <row r="56" spans="2:9" x14ac:dyDescent="0.2">
      <c r="B56" s="13" t="s">
        <v>11</v>
      </c>
      <c r="C56" s="86" t="s">
        <v>33</v>
      </c>
      <c r="D56" s="245" t="s">
        <v>131</v>
      </c>
      <c r="E56" s="246"/>
      <c r="F56" s="247"/>
      <c r="G56" s="18">
        <v>0.08</v>
      </c>
      <c r="H56" s="19">
        <f>TRUNC((H$33+H$44)*$G56,2)</f>
        <v>367.85</v>
      </c>
      <c r="I56" s="99"/>
    </row>
    <row r="57" spans="2:9" x14ac:dyDescent="0.2">
      <c r="B57" s="13" t="s">
        <v>133</v>
      </c>
      <c r="C57" s="230" t="s">
        <v>57</v>
      </c>
      <c r="D57" s="241"/>
      <c r="E57" s="241"/>
      <c r="F57" s="231"/>
      <c r="G57" s="21">
        <f>SUM(G48:G56)</f>
        <v>0.39800000000000008</v>
      </c>
      <c r="H57" s="16">
        <f>SUM(H48:H56)</f>
        <v>1830.0500000000002</v>
      </c>
      <c r="I57" s="17"/>
    </row>
    <row r="58" spans="2:9" x14ac:dyDescent="0.2">
      <c r="B58" s="294"/>
      <c r="C58" s="295"/>
      <c r="D58" s="295"/>
      <c r="E58" s="295"/>
      <c r="F58" s="295"/>
      <c r="G58" s="295"/>
      <c r="H58" s="296"/>
      <c r="I58" s="110"/>
    </row>
    <row r="59" spans="2:9" ht="12.75" customHeight="1" x14ac:dyDescent="0.2">
      <c r="B59" s="288" t="s">
        <v>35</v>
      </c>
      <c r="C59" s="289"/>
      <c r="D59" s="289"/>
      <c r="E59" s="289"/>
      <c r="F59" s="290"/>
      <c r="G59" s="141"/>
      <c r="H59" s="142"/>
      <c r="I59" s="110"/>
    </row>
    <row r="60" spans="2:9" x14ac:dyDescent="0.2">
      <c r="B60" s="88" t="s">
        <v>38</v>
      </c>
      <c r="C60" s="230" t="s">
        <v>39</v>
      </c>
      <c r="D60" s="241"/>
      <c r="E60" s="241"/>
      <c r="F60" s="241"/>
      <c r="G60" s="75"/>
      <c r="H60" s="88" t="s">
        <v>47</v>
      </c>
      <c r="I60" s="93"/>
    </row>
    <row r="61" spans="2:9" ht="12.75" customHeight="1" x14ac:dyDescent="0.2">
      <c r="B61" s="13" t="s">
        <v>4</v>
      </c>
      <c r="C61" s="86" t="s">
        <v>45</v>
      </c>
      <c r="D61" s="164" t="s">
        <v>329</v>
      </c>
      <c r="E61" s="165"/>
      <c r="F61" s="165"/>
      <c r="G61" s="166"/>
      <c r="H61" s="215">
        <f>IF((TRUNC((9.4*2*24)-(H$25*6%),2))&lt;0,"0,00",(TRUNC((9.4*2*24)-(H$25*6%),2)))</f>
        <v>246.29</v>
      </c>
      <c r="I61" s="111"/>
    </row>
    <row r="62" spans="2:9" ht="12.75" customHeight="1" x14ac:dyDescent="0.2">
      <c r="B62" s="13" t="s">
        <v>5</v>
      </c>
      <c r="C62" s="86" t="s">
        <v>46</v>
      </c>
      <c r="D62" s="164" t="s">
        <v>325</v>
      </c>
      <c r="E62" s="165"/>
      <c r="F62" s="165"/>
      <c r="G62" s="166"/>
      <c r="H62" s="215">
        <v>1114.74</v>
      </c>
      <c r="I62" s="111"/>
    </row>
    <row r="63" spans="2:9" x14ac:dyDescent="0.2">
      <c r="B63" s="13" t="s">
        <v>6</v>
      </c>
      <c r="C63" s="86" t="s">
        <v>198</v>
      </c>
      <c r="D63" s="164" t="s">
        <v>194</v>
      </c>
      <c r="E63" s="165"/>
      <c r="F63" s="165"/>
      <c r="G63" s="166"/>
      <c r="H63" s="36">
        <v>41.15</v>
      </c>
      <c r="I63" s="111"/>
    </row>
    <row r="64" spans="2:9" x14ac:dyDescent="0.2">
      <c r="B64" s="13" t="s">
        <v>7</v>
      </c>
      <c r="C64" s="86" t="s">
        <v>326</v>
      </c>
      <c r="D64" s="164" t="s">
        <v>324</v>
      </c>
      <c r="E64" s="165"/>
      <c r="F64" s="165"/>
      <c r="G64" s="166"/>
      <c r="H64" s="215">
        <v>871.98</v>
      </c>
      <c r="I64" s="111"/>
    </row>
    <row r="65" spans="2:9" s="67" customFormat="1" x14ac:dyDescent="0.2">
      <c r="B65" s="13" t="s">
        <v>8</v>
      </c>
      <c r="C65" s="86" t="s">
        <v>204</v>
      </c>
      <c r="D65" s="164" t="s">
        <v>201</v>
      </c>
      <c r="E65" s="165"/>
      <c r="F65" s="165"/>
      <c r="G65" s="166"/>
      <c r="H65" s="36">
        <v>110.26333333333332</v>
      </c>
      <c r="I65" s="111"/>
    </row>
    <row r="66" spans="2:9" x14ac:dyDescent="0.2">
      <c r="B66" s="13" t="s">
        <v>134</v>
      </c>
      <c r="C66" s="230" t="s">
        <v>57</v>
      </c>
      <c r="D66" s="241"/>
      <c r="E66" s="241"/>
      <c r="F66" s="241"/>
      <c r="G66" s="75"/>
      <c r="H66" s="16">
        <f>SUM(H61:H65)</f>
        <v>2384.4233333333332</v>
      </c>
      <c r="I66" s="17"/>
    </row>
    <row r="67" spans="2:9" x14ac:dyDescent="0.2">
      <c r="B67" s="281"/>
      <c r="C67" s="282"/>
      <c r="D67" s="282"/>
      <c r="E67" s="282"/>
      <c r="F67" s="282"/>
      <c r="G67" s="282"/>
      <c r="H67" s="282"/>
      <c r="I67" s="92"/>
    </row>
    <row r="68" spans="2:9" x14ac:dyDescent="0.2">
      <c r="B68" s="297" t="s">
        <v>67</v>
      </c>
      <c r="C68" s="298"/>
      <c r="D68" s="298"/>
      <c r="E68" s="298"/>
      <c r="F68" s="298"/>
      <c r="G68" s="145"/>
      <c r="H68" s="145"/>
      <c r="I68" s="92"/>
    </row>
    <row r="69" spans="2:9" x14ac:dyDescent="0.2">
      <c r="B69" s="88">
        <v>2</v>
      </c>
      <c r="C69" s="230" t="s">
        <v>66</v>
      </c>
      <c r="D69" s="241"/>
      <c r="E69" s="241"/>
      <c r="F69" s="241"/>
      <c r="G69" s="75"/>
      <c r="H69" s="88" t="s">
        <v>47</v>
      </c>
      <c r="I69" s="93"/>
    </row>
    <row r="70" spans="2:9" x14ac:dyDescent="0.2">
      <c r="B70" s="13" t="s">
        <v>36</v>
      </c>
      <c r="C70" s="76" t="s">
        <v>25</v>
      </c>
      <c r="D70" s="164" t="s">
        <v>123</v>
      </c>
      <c r="E70" s="165"/>
      <c r="F70" s="165"/>
      <c r="G70" s="166"/>
      <c r="H70" s="19">
        <f>H44</f>
        <v>748.54</v>
      </c>
      <c r="I70" s="99"/>
    </row>
    <row r="71" spans="2:9" x14ac:dyDescent="0.2">
      <c r="B71" s="13" t="s">
        <v>37</v>
      </c>
      <c r="C71" s="76" t="s">
        <v>26</v>
      </c>
      <c r="D71" s="164" t="s">
        <v>133</v>
      </c>
      <c r="E71" s="165"/>
      <c r="F71" s="165"/>
      <c r="G71" s="166"/>
      <c r="H71" s="19">
        <f>H57</f>
        <v>1830.0500000000002</v>
      </c>
      <c r="I71" s="99"/>
    </row>
    <row r="72" spans="2:9" x14ac:dyDescent="0.2">
      <c r="B72" s="13" t="s">
        <v>38</v>
      </c>
      <c r="C72" s="76" t="s">
        <v>39</v>
      </c>
      <c r="D72" s="164" t="s">
        <v>134</v>
      </c>
      <c r="E72" s="165"/>
      <c r="F72" s="165"/>
      <c r="G72" s="166"/>
      <c r="H72" s="19">
        <f>H66</f>
        <v>2384.4233333333332</v>
      </c>
      <c r="I72" s="99"/>
    </row>
    <row r="73" spans="2:9" x14ac:dyDescent="0.2">
      <c r="B73" s="13" t="s">
        <v>135</v>
      </c>
      <c r="C73" s="230" t="s">
        <v>57</v>
      </c>
      <c r="D73" s="241"/>
      <c r="E73" s="241"/>
      <c r="F73" s="241"/>
      <c r="G73" s="75"/>
      <c r="H73" s="16">
        <f>SUM(H70:H72)</f>
        <v>4963.0133333333333</v>
      </c>
      <c r="I73" s="17"/>
    </row>
    <row r="74" spans="2:9" x14ac:dyDescent="0.2">
      <c r="B74" s="282"/>
      <c r="C74" s="282"/>
      <c r="D74" s="282"/>
      <c r="E74" s="282"/>
      <c r="F74" s="282"/>
      <c r="G74" s="282"/>
      <c r="H74" s="282"/>
      <c r="I74" s="93"/>
    </row>
    <row r="75" spans="2:9" x14ac:dyDescent="0.2">
      <c r="B75" s="92"/>
      <c r="C75" s="92"/>
      <c r="D75" s="92"/>
      <c r="E75" s="92"/>
      <c r="F75" s="92"/>
      <c r="G75" s="92"/>
      <c r="H75" s="92"/>
      <c r="I75" s="93"/>
    </row>
    <row r="76" spans="2:9" x14ac:dyDescent="0.2">
      <c r="B76" s="269" t="s">
        <v>68</v>
      </c>
      <c r="C76" s="270"/>
      <c r="D76" s="270"/>
      <c r="E76" s="270"/>
      <c r="F76" s="271"/>
      <c r="G76" s="138"/>
      <c r="H76" s="139"/>
      <c r="I76" s="93"/>
    </row>
    <row r="77" spans="2:9" x14ac:dyDescent="0.2">
      <c r="B77" s="88">
        <v>3</v>
      </c>
      <c r="C77" s="230" t="s">
        <v>58</v>
      </c>
      <c r="D77" s="241"/>
      <c r="E77" s="241"/>
      <c r="F77" s="334"/>
      <c r="G77" s="88" t="s">
        <v>1</v>
      </c>
      <c r="H77" s="88" t="s">
        <v>47</v>
      </c>
      <c r="I77" s="93"/>
    </row>
    <row r="78" spans="2:9" x14ac:dyDescent="0.2">
      <c r="B78" s="13" t="s">
        <v>4</v>
      </c>
      <c r="C78" s="86" t="s">
        <v>185</v>
      </c>
      <c r="D78" s="245" t="s">
        <v>160</v>
      </c>
      <c r="E78" s="247"/>
      <c r="F78" s="181">
        <f>TRUNC(H$56*0.4,2)</f>
        <v>147.13999999999999</v>
      </c>
      <c r="G78" s="182"/>
      <c r="H78" s="183"/>
      <c r="I78" s="17"/>
    </row>
    <row r="79" spans="2:9" x14ac:dyDescent="0.2">
      <c r="B79" s="13" t="s">
        <v>5</v>
      </c>
      <c r="C79" s="86" t="s">
        <v>94</v>
      </c>
      <c r="D79" s="299" t="s">
        <v>168</v>
      </c>
      <c r="E79" s="333"/>
      <c r="F79" s="181">
        <f>TRUNC((H$33+H$44+H$56+H$66-H61)/12,2)</f>
        <v>592.01</v>
      </c>
      <c r="G79" s="184"/>
      <c r="H79" s="182"/>
      <c r="I79" s="99"/>
    </row>
    <row r="80" spans="2:9" x14ac:dyDescent="0.2">
      <c r="B80" s="13" t="s">
        <v>6</v>
      </c>
      <c r="C80" s="77" t="s">
        <v>93</v>
      </c>
      <c r="D80" s="164" t="s">
        <v>186</v>
      </c>
      <c r="E80" s="165"/>
      <c r="F80" s="185"/>
      <c r="G80" s="37">
        <v>0.5</v>
      </c>
      <c r="H80" s="22">
        <f>TRUNC((F$79+F78)*$G80,2)</f>
        <v>369.57</v>
      </c>
      <c r="I80" s="186"/>
    </row>
    <row r="81" spans="2:9" x14ac:dyDescent="0.2">
      <c r="B81" s="13" t="s">
        <v>7</v>
      </c>
      <c r="C81" s="77" t="s">
        <v>95</v>
      </c>
      <c r="D81" s="164" t="s">
        <v>187</v>
      </c>
      <c r="E81" s="165"/>
      <c r="F81" s="166"/>
      <c r="G81" s="176">
        <f>1-G80</f>
        <v>0.5</v>
      </c>
      <c r="H81" s="80">
        <f>(TRUNC(F$78*$G81,2))</f>
        <v>73.569999999999993</v>
      </c>
      <c r="I81" s="99"/>
    </row>
    <row r="82" spans="2:9" x14ac:dyDescent="0.2">
      <c r="B82" s="13" t="s">
        <v>8</v>
      </c>
      <c r="C82" s="77" t="s">
        <v>165</v>
      </c>
      <c r="D82" s="299" t="s">
        <v>182</v>
      </c>
      <c r="E82" s="300"/>
      <c r="F82" s="38">
        <v>12</v>
      </c>
      <c r="G82" s="38">
        <v>3</v>
      </c>
      <c r="H82" s="19">
        <f>TRUNC(((H$33+H$44+H$57)/30)*$G82/$F82,2)</f>
        <v>53.56</v>
      </c>
      <c r="I82" s="99"/>
    </row>
    <row r="83" spans="2:9" x14ac:dyDescent="0.2">
      <c r="B83" s="13" t="s">
        <v>137</v>
      </c>
      <c r="C83" s="230" t="s">
        <v>57</v>
      </c>
      <c r="D83" s="241"/>
      <c r="E83" s="241"/>
      <c r="F83" s="241"/>
      <c r="G83" s="75"/>
      <c r="H83" s="16">
        <f>H$80+H$81+H$82</f>
        <v>496.7</v>
      </c>
      <c r="I83" s="17"/>
    </row>
    <row r="84" spans="2:9" x14ac:dyDescent="0.2">
      <c r="B84" s="89"/>
      <c r="C84" s="89"/>
      <c r="D84" s="89"/>
      <c r="E84" s="89"/>
      <c r="F84" s="89"/>
      <c r="G84" s="89"/>
      <c r="H84" s="89"/>
      <c r="I84" s="89"/>
    </row>
    <row r="85" spans="2:9" x14ac:dyDescent="0.2">
      <c r="B85" s="92"/>
      <c r="C85" s="92"/>
      <c r="D85" s="92"/>
      <c r="E85" s="92"/>
      <c r="F85" s="92"/>
      <c r="G85" s="92"/>
      <c r="H85" s="92"/>
      <c r="I85" s="93"/>
    </row>
    <row r="86" spans="2:9" x14ac:dyDescent="0.2">
      <c r="B86" s="269" t="s">
        <v>69</v>
      </c>
      <c r="C86" s="270"/>
      <c r="D86" s="270"/>
      <c r="E86" s="270"/>
      <c r="F86" s="271"/>
      <c r="G86" s="138"/>
      <c r="H86" s="139"/>
      <c r="I86" s="93"/>
    </row>
    <row r="87" spans="2:9" x14ac:dyDescent="0.2">
      <c r="B87" s="272" t="s">
        <v>87</v>
      </c>
      <c r="C87" s="273"/>
      <c r="D87" s="273"/>
      <c r="E87" s="273"/>
      <c r="F87" s="273"/>
      <c r="G87" s="146"/>
      <c r="H87" s="147"/>
      <c r="I87" s="93"/>
    </row>
    <row r="88" spans="2:9" x14ac:dyDescent="0.2">
      <c r="B88" s="88" t="s">
        <v>12</v>
      </c>
      <c r="C88" s="230" t="s">
        <v>88</v>
      </c>
      <c r="D88" s="241"/>
      <c r="E88" s="241"/>
      <c r="F88" s="231"/>
      <c r="G88" s="88" t="s">
        <v>99</v>
      </c>
      <c r="H88" s="88" t="s">
        <v>47</v>
      </c>
      <c r="I88" s="93"/>
    </row>
    <row r="89" spans="2:9" x14ac:dyDescent="0.2">
      <c r="B89" s="13" t="s">
        <v>4</v>
      </c>
      <c r="C89" s="86" t="s">
        <v>184</v>
      </c>
      <c r="D89" s="164" t="s">
        <v>143</v>
      </c>
      <c r="E89" s="165"/>
      <c r="F89" s="166"/>
      <c r="G89" s="38">
        <v>30</v>
      </c>
      <c r="H89" s="19">
        <f>TRUNC((F$91*$G89)/12,2)</f>
        <v>775.77</v>
      </c>
      <c r="I89" s="99"/>
    </row>
    <row r="90" spans="2:9" ht="22.5" x14ac:dyDescent="0.2">
      <c r="B90" s="13" t="s">
        <v>5</v>
      </c>
      <c r="C90" s="78" t="s">
        <v>149</v>
      </c>
      <c r="D90" s="167" t="s">
        <v>150</v>
      </c>
      <c r="E90" s="168"/>
      <c r="F90" s="169"/>
      <c r="G90" s="54">
        <v>8</v>
      </c>
      <c r="H90" s="19">
        <f>TRUNC((F$91*$G90)/12,2)</f>
        <v>206.87</v>
      </c>
      <c r="I90" s="99"/>
    </row>
    <row r="91" spans="2:9" x14ac:dyDescent="0.2">
      <c r="B91" s="13" t="s">
        <v>6</v>
      </c>
      <c r="C91" s="86" t="s">
        <v>106</v>
      </c>
      <c r="D91" s="164" t="s">
        <v>136</v>
      </c>
      <c r="E91" s="165"/>
      <c r="F91" s="180">
        <f>TRUNC((H$33+H$73+H$83)/30,2)</f>
        <v>310.31</v>
      </c>
      <c r="G91" s="179"/>
      <c r="H91" s="178"/>
      <c r="I91" s="177"/>
    </row>
    <row r="92" spans="2:9" x14ac:dyDescent="0.2">
      <c r="B92" s="13" t="s">
        <v>138</v>
      </c>
      <c r="C92" s="230" t="s">
        <v>57</v>
      </c>
      <c r="D92" s="241"/>
      <c r="E92" s="241"/>
      <c r="F92" s="241"/>
      <c r="G92" s="75"/>
      <c r="H92" s="16">
        <f>TRUNC(H$89+H$90,2)</f>
        <v>982.64</v>
      </c>
      <c r="I92" s="17"/>
    </row>
    <row r="93" spans="2:9" x14ac:dyDescent="0.2">
      <c r="B93" s="68"/>
      <c r="C93" s="69"/>
      <c r="D93" s="69"/>
      <c r="E93" s="69"/>
      <c r="F93" s="69"/>
      <c r="G93" s="69"/>
      <c r="H93" s="70"/>
      <c r="I93" s="23"/>
    </row>
    <row r="94" spans="2:9" x14ac:dyDescent="0.2">
      <c r="B94" s="297" t="s">
        <v>89</v>
      </c>
      <c r="C94" s="298"/>
      <c r="D94" s="298"/>
      <c r="E94" s="298"/>
      <c r="F94" s="298"/>
      <c r="G94" s="148"/>
      <c r="H94" s="149"/>
      <c r="I94" s="93"/>
    </row>
    <row r="95" spans="2:9" x14ac:dyDescent="0.2">
      <c r="B95" s="88" t="s">
        <v>13</v>
      </c>
      <c r="C95" s="230" t="s">
        <v>90</v>
      </c>
      <c r="D95" s="241"/>
      <c r="E95" s="241"/>
      <c r="F95" s="231"/>
      <c r="G95" s="88" t="s">
        <v>99</v>
      </c>
      <c r="H95" s="88" t="s">
        <v>47</v>
      </c>
      <c r="I95" s="93"/>
    </row>
    <row r="96" spans="2:9" ht="22.5" x14ac:dyDescent="0.2">
      <c r="B96" s="13" t="s">
        <v>4</v>
      </c>
      <c r="C96" s="78" t="s">
        <v>91</v>
      </c>
      <c r="D96" s="164" t="s">
        <v>170</v>
      </c>
      <c r="E96" s="165"/>
      <c r="F96" s="165"/>
      <c r="G96" s="38"/>
      <c r="H96" s="19">
        <f>TRUNC(((H$33+H73+H83)/220)*(1+50%)*G96,2)</f>
        <v>0</v>
      </c>
      <c r="I96" s="99"/>
    </row>
    <row r="97" spans="2:9" x14ac:dyDescent="0.2">
      <c r="B97" s="13" t="s">
        <v>139</v>
      </c>
      <c r="C97" s="230" t="s">
        <v>57</v>
      </c>
      <c r="D97" s="241"/>
      <c r="E97" s="241"/>
      <c r="F97" s="241"/>
      <c r="G97" s="124"/>
      <c r="H97" s="16">
        <f>H96</f>
        <v>0</v>
      </c>
      <c r="I97" s="99"/>
    </row>
    <row r="98" spans="2:9" x14ac:dyDescent="0.2">
      <c r="B98" s="91"/>
      <c r="C98" s="90"/>
      <c r="D98" s="90"/>
      <c r="E98" s="90"/>
      <c r="F98" s="90"/>
      <c r="G98" s="92"/>
      <c r="H98" s="163"/>
      <c r="I98" s="114"/>
    </row>
    <row r="99" spans="2:9" x14ac:dyDescent="0.2">
      <c r="B99" s="297" t="s">
        <v>70</v>
      </c>
      <c r="C99" s="298"/>
      <c r="D99" s="298"/>
      <c r="E99" s="298"/>
      <c r="F99" s="298"/>
      <c r="G99" s="148"/>
      <c r="H99" s="149"/>
      <c r="I99" s="93"/>
    </row>
    <row r="100" spans="2:9" x14ac:dyDescent="0.2">
      <c r="B100" s="88">
        <v>4</v>
      </c>
      <c r="C100" s="230" t="s">
        <v>71</v>
      </c>
      <c r="D100" s="241"/>
      <c r="E100" s="241"/>
      <c r="F100" s="241"/>
      <c r="G100" s="231"/>
      <c r="H100" s="88" t="s">
        <v>47</v>
      </c>
      <c r="I100" s="93"/>
    </row>
    <row r="101" spans="2:9" x14ac:dyDescent="0.2">
      <c r="B101" s="13" t="s">
        <v>12</v>
      </c>
      <c r="C101" s="86" t="s">
        <v>40</v>
      </c>
      <c r="D101" s="164" t="s">
        <v>138</v>
      </c>
      <c r="E101" s="165"/>
      <c r="F101" s="165"/>
      <c r="G101" s="166"/>
      <c r="H101" s="19">
        <f>H92</f>
        <v>982.64</v>
      </c>
      <c r="I101" s="99"/>
    </row>
    <row r="102" spans="2:9" x14ac:dyDescent="0.2">
      <c r="B102" s="13" t="s">
        <v>13</v>
      </c>
      <c r="C102" s="86" t="s">
        <v>42</v>
      </c>
      <c r="D102" s="164" t="s">
        <v>139</v>
      </c>
      <c r="E102" s="165"/>
      <c r="F102" s="165"/>
      <c r="G102" s="166"/>
      <c r="H102" s="19">
        <f>H97</f>
        <v>0</v>
      </c>
      <c r="I102" s="99"/>
    </row>
    <row r="103" spans="2:9" x14ac:dyDescent="0.2">
      <c r="B103" s="13" t="s">
        <v>140</v>
      </c>
      <c r="C103" s="230" t="s">
        <v>57</v>
      </c>
      <c r="D103" s="241"/>
      <c r="E103" s="241"/>
      <c r="F103" s="241"/>
      <c r="G103" s="75"/>
      <c r="H103" s="16">
        <f>SUM(H101:H102)</f>
        <v>982.64</v>
      </c>
      <c r="I103" s="17"/>
    </row>
    <row r="104" spans="2:9" x14ac:dyDescent="0.2">
      <c r="B104" s="92"/>
      <c r="C104" s="92"/>
      <c r="D104" s="92"/>
      <c r="E104" s="92"/>
      <c r="F104" s="92"/>
      <c r="G104" s="92"/>
      <c r="H104" s="92"/>
      <c r="I104" s="93"/>
    </row>
    <row r="105" spans="2:9" x14ac:dyDescent="0.2">
      <c r="B105" s="92"/>
      <c r="C105" s="92"/>
      <c r="D105" s="92"/>
      <c r="E105" s="92"/>
      <c r="F105" s="92"/>
      <c r="G105" s="92"/>
      <c r="H105" s="92"/>
      <c r="I105" s="93"/>
    </row>
    <row r="106" spans="2:9" x14ac:dyDescent="0.2">
      <c r="B106" s="269" t="s">
        <v>72</v>
      </c>
      <c r="C106" s="270"/>
      <c r="D106" s="270"/>
      <c r="E106" s="270"/>
      <c r="F106" s="271"/>
      <c r="G106" s="138"/>
      <c r="H106" s="139"/>
      <c r="I106" s="93"/>
    </row>
    <row r="107" spans="2:9" x14ac:dyDescent="0.2">
      <c r="B107" s="88">
        <v>5</v>
      </c>
      <c r="C107" s="301" t="s">
        <v>59</v>
      </c>
      <c r="D107" s="302"/>
      <c r="E107" s="302"/>
      <c r="F107" s="302"/>
      <c r="G107" s="303"/>
      <c r="H107" s="88" t="s">
        <v>47</v>
      </c>
      <c r="I107" s="93"/>
    </row>
    <row r="108" spans="2:9" x14ac:dyDescent="0.2">
      <c r="B108" s="13" t="s">
        <v>4</v>
      </c>
      <c r="C108" s="62" t="s">
        <v>43</v>
      </c>
      <c r="D108" s="63"/>
      <c r="E108" s="63"/>
      <c r="F108" s="63"/>
      <c r="G108" s="64"/>
      <c r="H108" s="65">
        <f>Insumos!G15</f>
        <v>134.83000000000001</v>
      </c>
      <c r="I108" s="99"/>
    </row>
    <row r="109" spans="2:9" x14ac:dyDescent="0.2">
      <c r="B109" s="13" t="s">
        <v>5</v>
      </c>
      <c r="C109" s="62" t="s">
        <v>285</v>
      </c>
      <c r="D109" s="63"/>
      <c r="E109" s="63"/>
      <c r="F109" s="63"/>
      <c r="G109" s="64"/>
      <c r="H109" s="65">
        <f>Insumos!I89</f>
        <v>24.957272727272724</v>
      </c>
      <c r="I109" s="99"/>
    </row>
    <row r="110" spans="2:9" x14ac:dyDescent="0.2">
      <c r="B110" s="13" t="s">
        <v>6</v>
      </c>
      <c r="C110" s="62" t="s">
        <v>2</v>
      </c>
      <c r="D110" s="63"/>
      <c r="E110" s="63"/>
      <c r="F110" s="63"/>
      <c r="G110" s="64"/>
      <c r="H110" s="65"/>
      <c r="I110" s="99"/>
    </row>
    <row r="111" spans="2:9" x14ac:dyDescent="0.2">
      <c r="B111" s="13" t="s">
        <v>141</v>
      </c>
      <c r="C111" s="230" t="s">
        <v>57</v>
      </c>
      <c r="D111" s="241"/>
      <c r="E111" s="241"/>
      <c r="F111" s="241"/>
      <c r="G111" s="75"/>
      <c r="H111" s="16">
        <f>SUM(H108:H110)</f>
        <v>159.78727272727275</v>
      </c>
      <c r="I111" s="17"/>
    </row>
    <row r="112" spans="2:9" x14ac:dyDescent="0.2">
      <c r="B112" s="92"/>
      <c r="C112" s="92"/>
      <c r="D112" s="92"/>
      <c r="E112" s="92"/>
      <c r="F112" s="92"/>
      <c r="G112" s="71"/>
      <c r="H112" s="66"/>
      <c r="I112" s="17"/>
    </row>
    <row r="113" spans="2:9" x14ac:dyDescent="0.2">
      <c r="B113" s="92"/>
      <c r="C113" s="92"/>
      <c r="D113" s="92"/>
      <c r="E113" s="92"/>
      <c r="F113" s="92"/>
      <c r="G113" s="92"/>
      <c r="H113" s="92"/>
      <c r="I113" s="93"/>
    </row>
    <row r="114" spans="2:9" x14ac:dyDescent="0.2">
      <c r="B114" s="269" t="s">
        <v>73</v>
      </c>
      <c r="C114" s="270"/>
      <c r="D114" s="270"/>
      <c r="E114" s="270"/>
      <c r="F114" s="271"/>
      <c r="G114" s="138"/>
      <c r="H114" s="139"/>
      <c r="I114" s="93"/>
    </row>
    <row r="115" spans="2:9" x14ac:dyDescent="0.2">
      <c r="B115" s="88">
        <v>6</v>
      </c>
      <c r="C115" s="230" t="s">
        <v>60</v>
      </c>
      <c r="D115" s="241"/>
      <c r="E115" s="241"/>
      <c r="F115" s="231"/>
      <c r="G115" s="88" t="s">
        <v>1</v>
      </c>
      <c r="H115" s="88" t="s">
        <v>47</v>
      </c>
      <c r="I115" s="93"/>
    </row>
    <row r="116" spans="2:9" x14ac:dyDescent="0.2">
      <c r="B116" s="13" t="s">
        <v>4</v>
      </c>
      <c r="C116" s="86" t="s">
        <v>14</v>
      </c>
      <c r="D116" s="245" t="s">
        <v>151</v>
      </c>
      <c r="E116" s="246"/>
      <c r="F116" s="247"/>
      <c r="G116" s="43">
        <v>0.05</v>
      </c>
      <c r="H116" s="19">
        <f>TRUNC(H$133*$G116,2)</f>
        <v>522.59</v>
      </c>
      <c r="I116" s="99"/>
    </row>
    <row r="117" spans="2:9" x14ac:dyDescent="0.2">
      <c r="B117" s="13" t="s">
        <v>5</v>
      </c>
      <c r="C117" s="86" t="s">
        <v>3</v>
      </c>
      <c r="D117" s="245" t="s">
        <v>152</v>
      </c>
      <c r="E117" s="246"/>
      <c r="F117" s="247"/>
      <c r="G117" s="43">
        <v>0.1</v>
      </c>
      <c r="H117" s="19">
        <f>TRUNC((H$133+H$116)*$G117,2)</f>
        <v>1097.44</v>
      </c>
      <c r="I117" s="99"/>
    </row>
    <row r="118" spans="2:9" x14ac:dyDescent="0.2">
      <c r="B118" s="13" t="s">
        <v>6</v>
      </c>
      <c r="C118" s="86" t="s">
        <v>110</v>
      </c>
      <c r="D118" s="245" t="s">
        <v>153</v>
      </c>
      <c r="E118" s="246"/>
      <c r="F118" s="247"/>
      <c r="G118" s="45">
        <f>1-(G119+G120+G121)</f>
        <v>0.85749999999999993</v>
      </c>
      <c r="H118" s="24">
        <f>TRUNC(((H$133+H$116+H$117)/$G118),2)</f>
        <v>14077.95</v>
      </c>
      <c r="I118" s="101"/>
    </row>
    <row r="119" spans="2:9" x14ac:dyDescent="0.2">
      <c r="B119" s="13" t="s">
        <v>19</v>
      </c>
      <c r="C119" s="86" t="s">
        <v>16</v>
      </c>
      <c r="D119" s="245" t="s">
        <v>154</v>
      </c>
      <c r="E119" s="246"/>
      <c r="F119" s="247"/>
      <c r="G119" s="44">
        <v>1.6500000000000001E-2</v>
      </c>
      <c r="H119" s="19">
        <f>TRUNC(H$118*$G119,2)</f>
        <v>232.28</v>
      </c>
      <c r="I119" s="99"/>
    </row>
    <row r="120" spans="2:9" x14ac:dyDescent="0.2">
      <c r="B120" s="13" t="s">
        <v>20</v>
      </c>
      <c r="C120" s="86" t="s">
        <v>17</v>
      </c>
      <c r="D120" s="245" t="s">
        <v>154</v>
      </c>
      <c r="E120" s="246"/>
      <c r="F120" s="247"/>
      <c r="G120" s="44">
        <v>7.5999999999999998E-2</v>
      </c>
      <c r="H120" s="19">
        <f>TRUNC(H$118*$G120,2)</f>
        <v>1069.92</v>
      </c>
      <c r="I120" s="99"/>
    </row>
    <row r="121" spans="2:9" x14ac:dyDescent="0.2">
      <c r="B121" s="13" t="s">
        <v>21</v>
      </c>
      <c r="C121" s="86" t="s">
        <v>18</v>
      </c>
      <c r="D121" s="245" t="s">
        <v>154</v>
      </c>
      <c r="E121" s="246"/>
      <c r="F121" s="247"/>
      <c r="G121" s="44">
        <v>0.05</v>
      </c>
      <c r="H121" s="19">
        <f>TRUNC(H$118*$G121,2)</f>
        <v>703.89</v>
      </c>
      <c r="I121" s="99"/>
    </row>
    <row r="122" spans="2:9" x14ac:dyDescent="0.2">
      <c r="B122" s="13" t="s">
        <v>142</v>
      </c>
      <c r="C122" s="82" t="s">
        <v>57</v>
      </c>
      <c r="D122" s="307" t="s">
        <v>144</v>
      </c>
      <c r="E122" s="307"/>
      <c r="F122" s="307"/>
      <c r="G122" s="162"/>
      <c r="H122" s="16">
        <f>SUM(H116:H121)-H118</f>
        <v>3626.119999999999</v>
      </c>
      <c r="I122" s="17"/>
    </row>
    <row r="123" spans="2:9" x14ac:dyDescent="0.2">
      <c r="B123" s="60"/>
      <c r="C123" s="60"/>
      <c r="D123" s="60"/>
      <c r="E123" s="60"/>
      <c r="F123" s="60"/>
      <c r="G123" s="60"/>
      <c r="H123" s="72"/>
      <c r="I123" s="25"/>
    </row>
    <row r="124" spans="2:9" x14ac:dyDescent="0.2">
      <c r="B124" s="304" t="s">
        <v>177</v>
      </c>
      <c r="C124" s="304"/>
      <c r="D124" s="304"/>
      <c r="E124" s="304"/>
      <c r="F124" s="304"/>
      <c r="G124" s="304"/>
      <c r="H124" s="304"/>
      <c r="I124" s="108"/>
    </row>
    <row r="125" spans="2:9" x14ac:dyDescent="0.2">
      <c r="B125" s="85"/>
      <c r="C125" s="85"/>
      <c r="D125" s="85"/>
      <c r="E125" s="85"/>
      <c r="F125" s="85"/>
      <c r="G125" s="85"/>
      <c r="H125" s="85"/>
      <c r="I125" s="108"/>
    </row>
    <row r="126" spans="2:9" x14ac:dyDescent="0.2">
      <c r="B126" s="269" t="s">
        <v>178</v>
      </c>
      <c r="C126" s="270"/>
      <c r="D126" s="270"/>
      <c r="E126" s="270"/>
      <c r="F126" s="270"/>
      <c r="G126" s="156"/>
      <c r="H126" s="139"/>
      <c r="I126" s="93"/>
    </row>
    <row r="127" spans="2:9" ht="12.75" customHeight="1" x14ac:dyDescent="0.2">
      <c r="B127" s="154"/>
      <c r="C127" s="335" t="s">
        <v>111</v>
      </c>
      <c r="D127" s="336"/>
      <c r="E127" s="336"/>
      <c r="F127" s="336"/>
      <c r="G127" s="155"/>
      <c r="H127" s="137" t="s">
        <v>47</v>
      </c>
      <c r="I127" s="93"/>
    </row>
    <row r="128" spans="2:9" x14ac:dyDescent="0.2">
      <c r="B128" s="13" t="s">
        <v>4</v>
      </c>
      <c r="C128" s="78" t="s">
        <v>75</v>
      </c>
      <c r="D128" s="164" t="s">
        <v>121</v>
      </c>
      <c r="E128" s="165"/>
      <c r="F128" s="165"/>
      <c r="G128" s="166"/>
      <c r="H128" s="19">
        <f>H33</f>
        <v>3849.68</v>
      </c>
      <c r="I128" s="99"/>
    </row>
    <row r="129" spans="2:9" ht="22.5" x14ac:dyDescent="0.2">
      <c r="B129" s="13" t="s">
        <v>5</v>
      </c>
      <c r="C129" s="78" t="s">
        <v>76</v>
      </c>
      <c r="D129" s="164" t="s">
        <v>135</v>
      </c>
      <c r="E129" s="165"/>
      <c r="F129" s="165"/>
      <c r="G129" s="166"/>
      <c r="H129" s="19">
        <f>H73</f>
        <v>4963.0133333333333</v>
      </c>
      <c r="I129" s="99"/>
    </row>
    <row r="130" spans="2:9" x14ac:dyDescent="0.2">
      <c r="B130" s="13" t="s">
        <v>6</v>
      </c>
      <c r="C130" s="78" t="s">
        <v>77</v>
      </c>
      <c r="D130" s="164" t="s">
        <v>137</v>
      </c>
      <c r="E130" s="165"/>
      <c r="F130" s="165"/>
      <c r="G130" s="166"/>
      <c r="H130" s="19">
        <f>H83</f>
        <v>496.7</v>
      </c>
      <c r="I130" s="99"/>
    </row>
    <row r="131" spans="2:9" ht="22.5" x14ac:dyDescent="0.2">
      <c r="B131" s="13" t="s">
        <v>7</v>
      </c>
      <c r="C131" s="78" t="s">
        <v>41</v>
      </c>
      <c r="D131" s="164" t="s">
        <v>140</v>
      </c>
      <c r="E131" s="165"/>
      <c r="F131" s="165"/>
      <c r="G131" s="166"/>
      <c r="H131" s="19">
        <f>H103</f>
        <v>982.64</v>
      </c>
      <c r="I131" s="99"/>
    </row>
    <row r="132" spans="2:9" x14ac:dyDescent="0.2">
      <c r="B132" s="13" t="s">
        <v>8</v>
      </c>
      <c r="C132" s="78" t="s">
        <v>78</v>
      </c>
      <c r="D132" s="164" t="s">
        <v>141</v>
      </c>
      <c r="E132" s="165"/>
      <c r="F132" s="165"/>
      <c r="G132" s="166"/>
      <c r="H132" s="19">
        <f>H111</f>
        <v>159.78727272727275</v>
      </c>
      <c r="I132" s="99"/>
    </row>
    <row r="133" spans="2:9" x14ac:dyDescent="0.2">
      <c r="B133" s="84" t="s">
        <v>9</v>
      </c>
      <c r="C133" s="77" t="s">
        <v>44</v>
      </c>
      <c r="D133" s="170" t="s">
        <v>158</v>
      </c>
      <c r="E133" s="171"/>
      <c r="F133" s="171"/>
      <c r="G133" s="172"/>
      <c r="H133" s="22">
        <f>SUM(H128:H132)</f>
        <v>10451.820606060606</v>
      </c>
      <c r="I133" s="17"/>
    </row>
    <row r="134" spans="2:9" x14ac:dyDescent="0.2">
      <c r="B134" s="13" t="s">
        <v>10</v>
      </c>
      <c r="C134" s="86" t="s">
        <v>79</v>
      </c>
      <c r="D134" s="164" t="s">
        <v>142</v>
      </c>
      <c r="E134" s="165"/>
      <c r="F134" s="165"/>
      <c r="G134" s="166"/>
      <c r="H134" s="19">
        <f>H122</f>
        <v>3626.119999999999</v>
      </c>
      <c r="I134" s="99"/>
    </row>
    <row r="135" spans="2:9" x14ac:dyDescent="0.2">
      <c r="B135" s="13" t="s">
        <v>145</v>
      </c>
      <c r="C135" s="81" t="s">
        <v>74</v>
      </c>
      <c r="D135" s="173" t="s">
        <v>157</v>
      </c>
      <c r="E135" s="161"/>
      <c r="F135" s="161"/>
      <c r="G135" s="162"/>
      <c r="H135" s="27">
        <f>SUM(H133:H134)</f>
        <v>14077.940606060605</v>
      </c>
      <c r="I135" s="112"/>
    </row>
    <row r="136" spans="2:9" ht="12.75" customHeight="1" x14ac:dyDescent="0.2">
      <c r="B136" s="11"/>
      <c r="C136" s="11"/>
      <c r="D136" s="11"/>
      <c r="E136" s="11"/>
      <c r="F136" s="11"/>
      <c r="G136" s="11"/>
      <c r="H136" s="28"/>
      <c r="I136" s="28"/>
    </row>
    <row r="137" spans="2:9" x14ac:dyDescent="0.2">
      <c r="B137" s="304" t="s">
        <v>179</v>
      </c>
      <c r="C137" s="304"/>
      <c r="D137" s="304"/>
      <c r="E137" s="304"/>
      <c r="F137" s="304"/>
      <c r="I137" s="11"/>
    </row>
    <row r="138" spans="2:9" x14ac:dyDescent="0.2">
      <c r="B138" s="73"/>
      <c r="C138" s="73"/>
      <c r="D138" s="73"/>
      <c r="E138" s="67"/>
      <c r="F138" s="67"/>
      <c r="I138" s="11"/>
    </row>
    <row r="139" spans="2:9" x14ac:dyDescent="0.2">
      <c r="B139" s="248" t="s">
        <v>180</v>
      </c>
      <c r="C139" s="249"/>
      <c r="D139" s="249"/>
      <c r="E139" s="249"/>
      <c r="F139" s="249"/>
      <c r="G139" s="156"/>
      <c r="H139" s="139"/>
      <c r="I139" s="109"/>
    </row>
    <row r="140" spans="2:9" x14ac:dyDescent="0.2">
      <c r="B140" s="125" t="s">
        <v>4</v>
      </c>
      <c r="C140" s="157" t="s">
        <v>100</v>
      </c>
      <c r="D140" s="337" t="s">
        <v>145</v>
      </c>
      <c r="E140" s="338"/>
      <c r="F140" s="338"/>
      <c r="G140" s="158"/>
      <c r="H140" s="159">
        <f>H135</f>
        <v>14077.940606060605</v>
      </c>
      <c r="I140" s="107"/>
    </row>
    <row r="141" spans="2:9" ht="22.5" x14ac:dyDescent="0.2">
      <c r="B141" s="13" t="s">
        <v>5</v>
      </c>
      <c r="C141" s="79" t="s">
        <v>147</v>
      </c>
      <c r="D141" s="314" t="s">
        <v>148</v>
      </c>
      <c r="E141" s="315"/>
      <c r="F141" s="315"/>
      <c r="G141" s="152"/>
      <c r="H141" s="9">
        <f>H44+H83+H101</f>
        <v>2227.88</v>
      </c>
      <c r="I141" s="102"/>
    </row>
    <row r="142" spans="2:9" ht="22.5" x14ac:dyDescent="0.2">
      <c r="B142" s="13" t="s">
        <v>6</v>
      </c>
      <c r="C142" s="79" t="s">
        <v>161</v>
      </c>
      <c r="D142" s="314" t="s">
        <v>169</v>
      </c>
      <c r="E142" s="315"/>
      <c r="F142" s="315"/>
      <c r="G142" s="153"/>
      <c r="H142" s="106">
        <f>TRUNC((H$44*$G57),2)</f>
        <v>297.91000000000003</v>
      </c>
      <c r="I142" s="107"/>
    </row>
    <row r="143" spans="2:9" ht="12.75" customHeight="1" x14ac:dyDescent="0.2">
      <c r="B143" s="13" t="s">
        <v>7</v>
      </c>
      <c r="C143" s="79" t="s">
        <v>14</v>
      </c>
      <c r="D143" s="308" t="s">
        <v>155</v>
      </c>
      <c r="E143" s="309"/>
      <c r="F143" s="310"/>
      <c r="G143" s="10">
        <f>G116</f>
        <v>0.05</v>
      </c>
      <c r="H143" s="9">
        <f>TRUNC((H$141+H$142)*$G143,2)</f>
        <v>126.28</v>
      </c>
      <c r="I143" s="102"/>
    </row>
    <row r="144" spans="2:9" ht="12.75" customHeight="1" x14ac:dyDescent="0.2">
      <c r="B144" s="13" t="s">
        <v>8</v>
      </c>
      <c r="C144" s="79" t="s">
        <v>3</v>
      </c>
      <c r="D144" s="308" t="s">
        <v>156</v>
      </c>
      <c r="E144" s="309"/>
      <c r="F144" s="310"/>
      <c r="G144" s="10">
        <f>G117</f>
        <v>0.1</v>
      </c>
      <c r="H144" s="9">
        <f>TRUNC((H$141+H$142+H$143)*$G144,2)</f>
        <v>265.2</v>
      </c>
      <c r="I144" s="102"/>
    </row>
    <row r="145" spans="2:9" ht="12.75" customHeight="1" x14ac:dyDescent="0.2">
      <c r="B145" s="13" t="s">
        <v>9</v>
      </c>
      <c r="C145" s="79" t="s">
        <v>101</v>
      </c>
      <c r="D145" s="308" t="s">
        <v>163</v>
      </c>
      <c r="E145" s="309"/>
      <c r="F145" s="310"/>
      <c r="G145" s="10">
        <f>G119+G120+G121</f>
        <v>0.14250000000000002</v>
      </c>
      <c r="H145" s="9">
        <f>TRUNC((H$141+H$142+H$143+H$144)/(1-$G145)-(H$141+H$142+H$143+H$144),2)</f>
        <v>484.79</v>
      </c>
      <c r="I145" s="102"/>
    </row>
    <row r="146" spans="2:9" ht="22.5" x14ac:dyDescent="0.2">
      <c r="B146" s="13" t="s">
        <v>10</v>
      </c>
      <c r="C146" s="126" t="s">
        <v>102</v>
      </c>
      <c r="D146" s="150" t="s">
        <v>164</v>
      </c>
      <c r="E146" s="151"/>
      <c r="F146" s="151"/>
      <c r="G146" s="152"/>
      <c r="H146" s="127">
        <f>SUM(H141:H145)</f>
        <v>3402.06</v>
      </c>
      <c r="I146" s="103"/>
    </row>
    <row r="147" spans="2:9" x14ac:dyDescent="0.2">
      <c r="B147" s="13" t="s">
        <v>146</v>
      </c>
      <c r="C147" s="83" t="s">
        <v>118</v>
      </c>
      <c r="D147" s="316" t="s">
        <v>162</v>
      </c>
      <c r="E147" s="317"/>
      <c r="F147" s="317"/>
      <c r="G147" s="160"/>
      <c r="H147" s="29">
        <f>H140-H146</f>
        <v>10675.880606060606</v>
      </c>
      <c r="I147" s="113"/>
    </row>
    <row r="148" spans="2:9" ht="45" customHeight="1" x14ac:dyDescent="0.2">
      <c r="B148" s="311" t="s">
        <v>117</v>
      </c>
      <c r="C148" s="312"/>
      <c r="D148" s="312"/>
      <c r="E148" s="312"/>
      <c r="F148" s="312"/>
      <c r="G148" s="313"/>
      <c r="H148" s="136"/>
      <c r="I148" s="104"/>
    </row>
  </sheetData>
  <mergeCells count="106"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C100:G100"/>
    <mergeCell ref="C103:F103"/>
    <mergeCell ref="B106:F106"/>
    <mergeCell ref="C107:G107"/>
    <mergeCell ref="C111:F111"/>
    <mergeCell ref="B114:F114"/>
    <mergeCell ref="C88:F88"/>
    <mergeCell ref="C92:F92"/>
    <mergeCell ref="B94:F94"/>
    <mergeCell ref="C95:F95"/>
    <mergeCell ref="C97:F97"/>
    <mergeCell ref="B99:F99"/>
    <mergeCell ref="D78:E78"/>
    <mergeCell ref="D79:E79"/>
    <mergeCell ref="D82:E82"/>
    <mergeCell ref="C83:F83"/>
    <mergeCell ref="B86:F86"/>
    <mergeCell ref="B87:F87"/>
    <mergeCell ref="B68:F68"/>
    <mergeCell ref="C69:F69"/>
    <mergeCell ref="C73:F73"/>
    <mergeCell ref="B74:H74"/>
    <mergeCell ref="B76:F76"/>
    <mergeCell ref="C77:F77"/>
    <mergeCell ref="C57:F57"/>
    <mergeCell ref="B58:H58"/>
    <mergeCell ref="B59:F59"/>
    <mergeCell ref="C60:F60"/>
    <mergeCell ref="C66:F66"/>
    <mergeCell ref="B67:H67"/>
    <mergeCell ref="H50:H51"/>
    <mergeCell ref="D52:F52"/>
    <mergeCell ref="D53:F53"/>
    <mergeCell ref="D54:F54"/>
    <mergeCell ref="D55:F55"/>
    <mergeCell ref="D56:F56"/>
    <mergeCell ref="D48:F48"/>
    <mergeCell ref="D49:F49"/>
    <mergeCell ref="B50:B51"/>
    <mergeCell ref="C50:C51"/>
    <mergeCell ref="D50:D51"/>
    <mergeCell ref="G50:G51"/>
    <mergeCell ref="D42:F42"/>
    <mergeCell ref="D43:F43"/>
    <mergeCell ref="C44:F44"/>
    <mergeCell ref="B45:H45"/>
    <mergeCell ref="B46:F46"/>
    <mergeCell ref="C47:F47"/>
    <mergeCell ref="C33:F33"/>
    <mergeCell ref="C34:F35"/>
    <mergeCell ref="B38:F38"/>
    <mergeCell ref="B39:F39"/>
    <mergeCell ref="B40:F40"/>
    <mergeCell ref="C41:F41"/>
    <mergeCell ref="D26:F26"/>
    <mergeCell ref="D28:F28"/>
    <mergeCell ref="D29:F29"/>
    <mergeCell ref="D31:F31"/>
    <mergeCell ref="D32:F32"/>
    <mergeCell ref="D30:F30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</mergeCells>
  <dataValidations count="11">
    <dataValidation operator="equal" allowBlank="1" showInputMessage="1" showErrorMessage="1" errorTitle="Valor errado" error="Percentual fixo. Preencher com 40%." sqref="F78" xr:uid="{07DB6FDF-DA7A-4716-B2B5-DC47B3817189}"/>
    <dataValidation type="list" allowBlank="1" showInputMessage="1" showErrorMessage="1" sqref="G26" xr:uid="{4DA20EC5-3CF5-4269-A16F-E1BDE1F46641}">
      <formula1>"0%, 30%"</formula1>
    </dataValidation>
    <dataValidation type="list" allowBlank="1" showInputMessage="1" showErrorMessage="1" sqref="G27" xr:uid="{EC019448-84E2-4493-A80C-E55A58234710}">
      <formula1>"0%, 10%, 20%, 40%"</formula1>
    </dataValidation>
    <dataValidation type="list" allowBlank="1" showInputMessage="1" showErrorMessage="1" sqref="E51" xr:uid="{DE754C2A-2C9D-45EB-B611-B408AB72647A}">
      <formula1>"1%, 2%, 3%"</formula1>
    </dataValidation>
    <dataValidation type="list" allowBlank="1" showInputMessage="1" showErrorMessage="1" sqref="G28:G29" xr:uid="{6177E6D0-1CEC-4D26-8219-E38989F7AD12}">
      <formula1>"0, 20%"</formula1>
    </dataValidation>
    <dataValidation type="list" allowBlank="1" showInputMessage="1" showErrorMessage="1" sqref="G120" xr:uid="{9F4DAE01-0271-4A52-A3A7-E3C31273F219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19" xr:uid="{A9981F0E-B712-46CB-8DF6-A09782A3FA85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:G31" xr:uid="{ADFC2318-2A7A-488F-B281-57D8F7E2DE30}">
      <formula1>"0, 50%, 100%"</formula1>
    </dataValidation>
    <dataValidation type="whole" allowBlank="1" showInputMessage="1" showErrorMessage="1" errorTitle="Valor errado" error="Quantidade fixa de dias. Prencher com 30" sqref="G89" xr:uid="{B508B214-3E3A-4AAC-B34D-6BA369438E84}">
      <formula1>30</formula1>
      <formula2>30</formula2>
    </dataValidation>
    <dataValidation type="custom" allowBlank="1" showInputMessage="1" showErrorMessage="1" sqref="G118" xr:uid="{2867DBA1-B742-4BBD-B36B-2F07DB5CE69B}">
      <formula1>1-(G119+G120+G121)</formula1>
    </dataValidation>
    <dataValidation type="list" allowBlank="1" showInputMessage="1" showErrorMessage="1" sqref="G82" xr:uid="{5BA50DDB-740F-4A92-8A28-FE696017CA7B}">
      <formula1>"3,6,9,12,15"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K89"/>
  <sheetViews>
    <sheetView showGridLines="0" topLeftCell="A77" zoomScaleNormal="100" workbookViewId="0">
      <selection activeCell="N61" sqref="N61"/>
    </sheetView>
  </sheetViews>
  <sheetFormatPr defaultColWidth="9.140625" defaultRowHeight="11.25" x14ac:dyDescent="0.2"/>
  <cols>
    <col min="1" max="1" width="3.7109375" style="40" customWidth="1"/>
    <col min="2" max="2" width="25.7109375" style="40" customWidth="1"/>
    <col min="3" max="3" width="14.140625" style="40" customWidth="1"/>
    <col min="4" max="4" width="17.5703125" style="40" bestFit="1" customWidth="1"/>
    <col min="5" max="5" width="14" style="40" customWidth="1"/>
    <col min="6" max="6" width="12.140625" style="40" bestFit="1" customWidth="1"/>
    <col min="7" max="7" width="13.140625" style="40" customWidth="1"/>
    <col min="8" max="9" width="15.7109375" style="40" customWidth="1"/>
    <col min="10" max="16384" width="9.140625" style="40"/>
  </cols>
  <sheetData>
    <row r="1" spans="1:11" ht="12" thickBot="1" x14ac:dyDescent="0.25"/>
    <row r="2" spans="1:11" ht="18.75" customHeight="1" thickBot="1" x14ac:dyDescent="0.25">
      <c r="A2" s="343" t="s">
        <v>80</v>
      </c>
      <c r="B2" s="344"/>
      <c r="C2" s="344"/>
      <c r="D2" s="344"/>
      <c r="E2" s="344"/>
      <c r="F2" s="344"/>
      <c r="G2" s="345"/>
      <c r="H2" s="131"/>
    </row>
    <row r="4" spans="1:11" s="41" customFormat="1" ht="30" customHeight="1" x14ac:dyDescent="0.2">
      <c r="A4" s="339" t="s">
        <v>81</v>
      </c>
      <c r="B4" s="339"/>
      <c r="C4" s="39" t="s">
        <v>82</v>
      </c>
      <c r="D4" s="39" t="s">
        <v>287</v>
      </c>
      <c r="E4" s="39" t="s">
        <v>286</v>
      </c>
      <c r="F4" s="39" t="s">
        <v>108</v>
      </c>
      <c r="G4" s="39" t="s">
        <v>109</v>
      </c>
      <c r="H4" s="128"/>
      <c r="J4" s="40"/>
      <c r="K4" s="40"/>
    </row>
    <row r="5" spans="1:11" ht="22.5" customHeight="1" x14ac:dyDescent="0.2">
      <c r="A5" s="3">
        <v>1</v>
      </c>
      <c r="B5" s="132" t="s">
        <v>205</v>
      </c>
      <c r="C5" s="192">
        <v>53.853333333333332</v>
      </c>
      <c r="D5" s="133">
        <v>4</v>
      </c>
      <c r="E5" s="133">
        <v>1</v>
      </c>
      <c r="F5" s="193">
        <f>C5*D5*E5</f>
        <v>215.41333333333333</v>
      </c>
      <c r="G5" s="193">
        <f>F5/12</f>
        <v>17.951111111111111</v>
      </c>
      <c r="H5" s="129"/>
    </row>
    <row r="6" spans="1:11" ht="22.5" customHeight="1" x14ac:dyDescent="0.2">
      <c r="A6" s="3">
        <f>A5+1</f>
        <v>2</v>
      </c>
      <c r="B6" s="132" t="s">
        <v>206</v>
      </c>
      <c r="C6" s="192">
        <v>48.344999999999999</v>
      </c>
      <c r="D6" s="133">
        <v>4</v>
      </c>
      <c r="E6" s="133">
        <v>2</v>
      </c>
      <c r="F6" s="193">
        <f t="shared" ref="F6:F14" si="0">C6*D6*E6</f>
        <v>386.76</v>
      </c>
      <c r="G6" s="193">
        <f>IF(B6="","",TRUNC(F6/12,2))</f>
        <v>32.229999999999997</v>
      </c>
      <c r="H6" s="129"/>
    </row>
    <row r="7" spans="1:11" ht="22.5" customHeight="1" x14ac:dyDescent="0.2">
      <c r="A7" s="3">
        <f t="shared" ref="A7:A14" si="1">A6+1</f>
        <v>3</v>
      </c>
      <c r="B7" s="132" t="s">
        <v>207</v>
      </c>
      <c r="C7" s="192">
        <v>32.11</v>
      </c>
      <c r="D7" s="133">
        <v>4</v>
      </c>
      <c r="E7" s="133">
        <v>2</v>
      </c>
      <c r="F7" s="193">
        <f t="shared" si="0"/>
        <v>256.88</v>
      </c>
      <c r="G7" s="193">
        <f t="shared" ref="G7:G14" si="2">IF(B7="","",TRUNC(F7/12,2))</f>
        <v>21.4</v>
      </c>
      <c r="H7" s="130"/>
    </row>
    <row r="8" spans="1:11" ht="22.5" customHeight="1" x14ac:dyDescent="0.2">
      <c r="A8" s="3">
        <f t="shared" si="1"/>
        <v>4</v>
      </c>
      <c r="B8" s="132" t="s">
        <v>208</v>
      </c>
      <c r="C8" s="192">
        <v>27.373333333333335</v>
      </c>
      <c r="D8" s="133">
        <v>4</v>
      </c>
      <c r="E8" s="133">
        <v>1</v>
      </c>
      <c r="F8" s="193">
        <f t="shared" si="0"/>
        <v>109.49333333333334</v>
      </c>
      <c r="G8" s="193">
        <f t="shared" si="2"/>
        <v>9.1199999999999992</v>
      </c>
      <c r="H8" s="130"/>
    </row>
    <row r="9" spans="1:11" ht="22.5" customHeight="1" x14ac:dyDescent="0.2">
      <c r="A9" s="3">
        <f t="shared" si="1"/>
        <v>5</v>
      </c>
      <c r="B9" s="132" t="s">
        <v>209</v>
      </c>
      <c r="C9" s="192">
        <v>67.05</v>
      </c>
      <c r="D9" s="133">
        <v>2</v>
      </c>
      <c r="E9" s="133">
        <v>1</v>
      </c>
      <c r="F9" s="193">
        <f t="shared" si="0"/>
        <v>134.1</v>
      </c>
      <c r="G9" s="193">
        <f t="shared" si="2"/>
        <v>11.17</v>
      </c>
      <c r="H9" s="130"/>
    </row>
    <row r="10" spans="1:11" ht="22.5" customHeight="1" x14ac:dyDescent="0.2">
      <c r="A10" s="3">
        <f t="shared" si="1"/>
        <v>6</v>
      </c>
      <c r="B10" s="132" t="s">
        <v>210</v>
      </c>
      <c r="C10" s="192">
        <v>14.6</v>
      </c>
      <c r="D10" s="133">
        <v>4</v>
      </c>
      <c r="E10" s="133">
        <v>1</v>
      </c>
      <c r="F10" s="193">
        <f t="shared" si="0"/>
        <v>58.4</v>
      </c>
      <c r="G10" s="193">
        <f t="shared" si="2"/>
        <v>4.8600000000000003</v>
      </c>
      <c r="H10" s="130"/>
    </row>
    <row r="11" spans="1:11" ht="22.5" customHeight="1" x14ac:dyDescent="0.2">
      <c r="A11" s="3">
        <f t="shared" si="1"/>
        <v>7</v>
      </c>
      <c r="B11" s="132" t="s">
        <v>211</v>
      </c>
      <c r="C11" s="192">
        <v>10.799999999999999</v>
      </c>
      <c r="D11" s="133">
        <v>4</v>
      </c>
      <c r="E11" s="133">
        <v>1</v>
      </c>
      <c r="F11" s="193">
        <f t="shared" si="0"/>
        <v>43.199999999999996</v>
      </c>
      <c r="G11" s="193">
        <f t="shared" si="2"/>
        <v>3.6</v>
      </c>
      <c r="H11" s="130"/>
    </row>
    <row r="12" spans="1:11" ht="22.5" customHeight="1" x14ac:dyDescent="0.2">
      <c r="A12" s="3">
        <f t="shared" si="1"/>
        <v>8</v>
      </c>
      <c r="B12" s="132" t="s">
        <v>212</v>
      </c>
      <c r="C12" s="192">
        <v>33.473333333333329</v>
      </c>
      <c r="D12" s="133">
        <v>4</v>
      </c>
      <c r="E12" s="133">
        <v>1</v>
      </c>
      <c r="F12" s="193">
        <f t="shared" si="0"/>
        <v>133.89333333333332</v>
      </c>
      <c r="G12" s="193">
        <f t="shared" si="2"/>
        <v>11.15</v>
      </c>
      <c r="H12" s="130"/>
    </row>
    <row r="13" spans="1:11" ht="22.5" customHeight="1" x14ac:dyDescent="0.2">
      <c r="A13" s="3">
        <f t="shared" si="1"/>
        <v>9</v>
      </c>
      <c r="B13" s="132" t="s">
        <v>213</v>
      </c>
      <c r="C13" s="192">
        <v>56.106666666666662</v>
      </c>
      <c r="D13" s="133">
        <v>4</v>
      </c>
      <c r="E13" s="133">
        <v>1</v>
      </c>
      <c r="F13" s="193">
        <f t="shared" si="0"/>
        <v>224.42666666666665</v>
      </c>
      <c r="G13" s="193">
        <f t="shared" si="2"/>
        <v>18.7</v>
      </c>
      <c r="H13" s="130"/>
    </row>
    <row r="14" spans="1:11" ht="22.5" customHeight="1" x14ac:dyDescent="0.2">
      <c r="A14" s="3">
        <f t="shared" si="1"/>
        <v>10</v>
      </c>
      <c r="B14" s="132" t="s">
        <v>214</v>
      </c>
      <c r="C14" s="192">
        <v>55.823333333333331</v>
      </c>
      <c r="D14" s="133">
        <v>1</v>
      </c>
      <c r="E14" s="133">
        <v>1</v>
      </c>
      <c r="F14" s="193">
        <f t="shared" si="0"/>
        <v>55.823333333333331</v>
      </c>
      <c r="G14" s="193">
        <f t="shared" si="2"/>
        <v>4.6500000000000004</v>
      </c>
      <c r="H14" s="130"/>
    </row>
    <row r="15" spans="1:11" ht="22.5" customHeight="1" x14ac:dyDescent="0.2">
      <c r="B15" s="41"/>
      <c r="C15" s="42"/>
      <c r="D15" s="42"/>
      <c r="E15" s="346" t="s">
        <v>107</v>
      </c>
      <c r="F15" s="347"/>
      <c r="G15" s="194">
        <f>TRUNC(SUM(G5:G14),2)</f>
        <v>134.83000000000001</v>
      </c>
    </row>
    <row r="22" spans="1:9" ht="18.75" customHeight="1" x14ac:dyDescent="0.2">
      <c r="A22" s="340" t="s">
        <v>284</v>
      </c>
      <c r="B22" s="340"/>
      <c r="C22" s="340"/>
      <c r="D22" s="340"/>
      <c r="E22" s="340"/>
      <c r="F22" s="340"/>
      <c r="G22" s="340"/>
      <c r="H22" s="131"/>
      <c r="I22" s="131"/>
    </row>
    <row r="23" spans="1:9" ht="12.75" customHeight="1" x14ac:dyDescent="0.2">
      <c r="A23" s="339" t="s">
        <v>81</v>
      </c>
      <c r="B23" s="339"/>
      <c r="C23" s="39" t="s">
        <v>215</v>
      </c>
      <c r="D23" s="39" t="s">
        <v>82</v>
      </c>
      <c r="E23" s="339" t="s">
        <v>109</v>
      </c>
      <c r="F23" s="339"/>
      <c r="G23" s="339"/>
    </row>
    <row r="24" spans="1:9" ht="11.25" customHeight="1" x14ac:dyDescent="0.2">
      <c r="A24" s="3">
        <v>1</v>
      </c>
      <c r="B24" s="132" t="s">
        <v>216</v>
      </c>
      <c r="C24" s="3" t="s">
        <v>189</v>
      </c>
      <c r="D24" s="189">
        <v>152.35</v>
      </c>
      <c r="E24" s="341">
        <f>D24/30</f>
        <v>5.0783333333333331</v>
      </c>
      <c r="F24" s="342"/>
      <c r="G24" s="342"/>
    </row>
    <row r="25" spans="1:9" x14ac:dyDescent="0.2">
      <c r="A25" s="3">
        <v>2</v>
      </c>
      <c r="B25" s="132" t="s">
        <v>217</v>
      </c>
      <c r="C25" s="3" t="s">
        <v>219</v>
      </c>
      <c r="D25" s="189">
        <v>195.8</v>
      </c>
      <c r="E25" s="341">
        <f t="shared" ref="E25:E89" si="3">D25/30</f>
        <v>6.5266666666666673</v>
      </c>
      <c r="F25" s="342"/>
      <c r="G25" s="342"/>
    </row>
    <row r="26" spans="1:9" x14ac:dyDescent="0.2">
      <c r="A26" s="3">
        <v>3</v>
      </c>
      <c r="B26" s="132" t="s">
        <v>218</v>
      </c>
      <c r="C26" s="3" t="s">
        <v>219</v>
      </c>
      <c r="D26" s="189">
        <v>145.72999999999999</v>
      </c>
      <c r="E26" s="341">
        <f t="shared" si="3"/>
        <v>4.8576666666666659</v>
      </c>
      <c r="F26" s="342"/>
      <c r="G26" s="342"/>
      <c r="H26" s="188">
        <f>TRUNC(SUM(E25:G26),2)</f>
        <v>11.38</v>
      </c>
    </row>
    <row r="27" spans="1:9" ht="22.5" x14ac:dyDescent="0.2">
      <c r="A27" s="3">
        <v>4</v>
      </c>
      <c r="B27" s="190" t="s">
        <v>220</v>
      </c>
      <c r="C27" s="3" t="s">
        <v>283</v>
      </c>
      <c r="D27" s="189">
        <v>40.596666666666664</v>
      </c>
      <c r="E27" s="341">
        <f t="shared" si="3"/>
        <v>1.3532222222222221</v>
      </c>
      <c r="F27" s="342"/>
      <c r="G27" s="342"/>
    </row>
    <row r="28" spans="1:9" ht="22.5" x14ac:dyDescent="0.2">
      <c r="A28" s="3">
        <v>5</v>
      </c>
      <c r="B28" s="190" t="s">
        <v>221</v>
      </c>
      <c r="C28" s="3" t="s">
        <v>283</v>
      </c>
      <c r="D28" s="189">
        <v>44.036666666666669</v>
      </c>
      <c r="E28" s="341">
        <f t="shared" si="3"/>
        <v>1.467888888888889</v>
      </c>
      <c r="F28" s="342"/>
      <c r="G28" s="342"/>
    </row>
    <row r="29" spans="1:9" ht="22.5" x14ac:dyDescent="0.2">
      <c r="A29" s="3">
        <v>6</v>
      </c>
      <c r="B29" s="190" t="s">
        <v>222</v>
      </c>
      <c r="C29" s="3" t="s">
        <v>283</v>
      </c>
      <c r="D29" s="189">
        <v>51.173333333333325</v>
      </c>
      <c r="E29" s="341">
        <f t="shared" si="3"/>
        <v>1.7057777777777774</v>
      </c>
      <c r="F29" s="342"/>
      <c r="G29" s="342"/>
    </row>
    <row r="30" spans="1:9" ht="22.5" x14ac:dyDescent="0.2">
      <c r="A30" s="3">
        <v>7</v>
      </c>
      <c r="B30" s="190" t="s">
        <v>223</v>
      </c>
      <c r="C30" s="3" t="s">
        <v>283</v>
      </c>
      <c r="D30" s="189">
        <v>29.956666666666667</v>
      </c>
      <c r="E30" s="341">
        <f t="shared" si="3"/>
        <v>0.99855555555555553</v>
      </c>
      <c r="F30" s="342"/>
      <c r="G30" s="342"/>
    </row>
    <row r="31" spans="1:9" ht="22.5" x14ac:dyDescent="0.2">
      <c r="A31" s="3">
        <v>8</v>
      </c>
      <c r="B31" s="190" t="s">
        <v>224</v>
      </c>
      <c r="C31" s="3" t="s">
        <v>283</v>
      </c>
      <c r="D31" s="189">
        <v>36.963333333333331</v>
      </c>
      <c r="E31" s="341">
        <f t="shared" si="3"/>
        <v>1.2321111111111109</v>
      </c>
      <c r="F31" s="342"/>
      <c r="G31" s="342"/>
    </row>
    <row r="32" spans="1:9" ht="22.5" x14ac:dyDescent="0.2">
      <c r="A32" s="3">
        <v>9</v>
      </c>
      <c r="B32" s="190" t="s">
        <v>225</v>
      </c>
      <c r="C32" s="3" t="s">
        <v>283</v>
      </c>
      <c r="D32" s="189">
        <v>141.57666666666668</v>
      </c>
      <c r="E32" s="341">
        <f t="shared" si="3"/>
        <v>4.7192222222222231</v>
      </c>
      <c r="F32" s="342"/>
      <c r="G32" s="342"/>
    </row>
    <row r="33" spans="1:7" ht="22.5" x14ac:dyDescent="0.2">
      <c r="A33" s="3">
        <v>10</v>
      </c>
      <c r="B33" s="190" t="s">
        <v>226</v>
      </c>
      <c r="C33" s="3" t="s">
        <v>283</v>
      </c>
      <c r="D33" s="189">
        <v>23.12</v>
      </c>
      <c r="E33" s="341">
        <f t="shared" si="3"/>
        <v>0.77066666666666672</v>
      </c>
      <c r="F33" s="342"/>
      <c r="G33" s="342"/>
    </row>
    <row r="34" spans="1:7" ht="22.5" x14ac:dyDescent="0.2">
      <c r="A34" s="3">
        <v>11</v>
      </c>
      <c r="B34" s="190" t="s">
        <v>227</v>
      </c>
      <c r="C34" s="3" t="s">
        <v>283</v>
      </c>
      <c r="D34" s="189">
        <v>34.909999999999997</v>
      </c>
      <c r="E34" s="341">
        <f t="shared" si="3"/>
        <v>1.1636666666666666</v>
      </c>
      <c r="F34" s="342"/>
      <c r="G34" s="342"/>
    </row>
    <row r="35" spans="1:7" ht="22.5" x14ac:dyDescent="0.2">
      <c r="A35" s="3">
        <v>12</v>
      </c>
      <c r="B35" s="190" t="s">
        <v>228</v>
      </c>
      <c r="C35" s="3" t="s">
        <v>283</v>
      </c>
      <c r="D35" s="189">
        <v>154.02666666666667</v>
      </c>
      <c r="E35" s="341">
        <f t="shared" si="3"/>
        <v>5.1342222222222222</v>
      </c>
      <c r="F35" s="342"/>
      <c r="G35" s="342"/>
    </row>
    <row r="36" spans="1:7" ht="22.5" x14ac:dyDescent="0.2">
      <c r="A36" s="3">
        <v>13</v>
      </c>
      <c r="B36" s="190" t="s">
        <v>229</v>
      </c>
      <c r="C36" s="3" t="s">
        <v>283</v>
      </c>
      <c r="D36" s="189">
        <v>158.66666666666666</v>
      </c>
      <c r="E36" s="341">
        <f t="shared" si="3"/>
        <v>5.2888888888888888</v>
      </c>
      <c r="F36" s="342"/>
      <c r="G36" s="342"/>
    </row>
    <row r="37" spans="1:7" ht="22.5" x14ac:dyDescent="0.2">
      <c r="A37" s="3">
        <v>14</v>
      </c>
      <c r="B37" s="190" t="s">
        <v>230</v>
      </c>
      <c r="C37" s="3" t="s">
        <v>283</v>
      </c>
      <c r="D37" s="189">
        <v>52.583333333333336</v>
      </c>
      <c r="E37" s="341">
        <f t="shared" si="3"/>
        <v>1.7527777777777778</v>
      </c>
      <c r="F37" s="342"/>
      <c r="G37" s="342"/>
    </row>
    <row r="38" spans="1:7" ht="22.5" x14ac:dyDescent="0.2">
      <c r="A38" s="3">
        <v>15</v>
      </c>
      <c r="B38" s="190" t="s">
        <v>231</v>
      </c>
      <c r="C38" s="3" t="s">
        <v>283</v>
      </c>
      <c r="D38" s="189">
        <v>41.353333333333332</v>
      </c>
      <c r="E38" s="341">
        <f t="shared" si="3"/>
        <v>1.3784444444444444</v>
      </c>
      <c r="F38" s="342"/>
      <c r="G38" s="342"/>
    </row>
    <row r="39" spans="1:7" ht="22.5" x14ac:dyDescent="0.2">
      <c r="A39" s="3">
        <v>16</v>
      </c>
      <c r="B39" s="190" t="s">
        <v>232</v>
      </c>
      <c r="C39" s="3" t="s">
        <v>283</v>
      </c>
      <c r="D39" s="189">
        <v>84.913333333333341</v>
      </c>
      <c r="E39" s="341">
        <f t="shared" si="3"/>
        <v>2.8304444444444448</v>
      </c>
      <c r="F39" s="342"/>
      <c r="G39" s="342"/>
    </row>
    <row r="40" spans="1:7" ht="22.5" x14ac:dyDescent="0.2">
      <c r="A40" s="3">
        <v>17</v>
      </c>
      <c r="B40" s="190" t="s">
        <v>233</v>
      </c>
      <c r="C40" s="3" t="s">
        <v>283</v>
      </c>
      <c r="D40" s="189">
        <v>45.793333333333329</v>
      </c>
      <c r="E40" s="341">
        <f t="shared" si="3"/>
        <v>1.5264444444444443</v>
      </c>
      <c r="F40" s="342"/>
      <c r="G40" s="342"/>
    </row>
    <row r="41" spans="1:7" ht="22.5" x14ac:dyDescent="0.2">
      <c r="A41" s="3">
        <v>18</v>
      </c>
      <c r="B41" s="190" t="s">
        <v>234</v>
      </c>
      <c r="C41" s="3" t="s">
        <v>283</v>
      </c>
      <c r="D41" s="189">
        <v>822.03666666666675</v>
      </c>
      <c r="E41" s="341">
        <f t="shared" si="3"/>
        <v>27.401222222222223</v>
      </c>
      <c r="F41" s="342"/>
      <c r="G41" s="342"/>
    </row>
    <row r="42" spans="1:7" ht="22.5" x14ac:dyDescent="0.2">
      <c r="A42" s="3">
        <v>19</v>
      </c>
      <c r="B42" s="190" t="s">
        <v>235</v>
      </c>
      <c r="C42" s="3" t="s">
        <v>283</v>
      </c>
      <c r="D42" s="189">
        <v>170.23</v>
      </c>
      <c r="E42" s="341">
        <f t="shared" si="3"/>
        <v>5.6743333333333332</v>
      </c>
      <c r="F42" s="342"/>
      <c r="G42" s="342"/>
    </row>
    <row r="43" spans="1:7" ht="22.5" x14ac:dyDescent="0.2">
      <c r="A43" s="3">
        <v>20</v>
      </c>
      <c r="B43" s="190" t="s">
        <v>236</v>
      </c>
      <c r="C43" s="3" t="s">
        <v>283</v>
      </c>
      <c r="D43" s="189">
        <v>81.460000000000008</v>
      </c>
      <c r="E43" s="341">
        <f t="shared" si="3"/>
        <v>2.7153333333333336</v>
      </c>
      <c r="F43" s="342"/>
      <c r="G43" s="342"/>
    </row>
    <row r="44" spans="1:7" ht="22.5" x14ac:dyDescent="0.2">
      <c r="A44" s="3">
        <v>21</v>
      </c>
      <c r="B44" s="190" t="s">
        <v>237</v>
      </c>
      <c r="C44" s="3" t="s">
        <v>283</v>
      </c>
      <c r="D44" s="189">
        <v>65.790000000000006</v>
      </c>
      <c r="E44" s="341">
        <f t="shared" si="3"/>
        <v>2.1930000000000001</v>
      </c>
      <c r="F44" s="342"/>
      <c r="G44" s="342"/>
    </row>
    <row r="45" spans="1:7" ht="22.5" x14ac:dyDescent="0.2">
      <c r="A45" s="3">
        <v>22</v>
      </c>
      <c r="B45" s="190" t="s">
        <v>238</v>
      </c>
      <c r="C45" s="3" t="s">
        <v>283</v>
      </c>
      <c r="D45" s="189">
        <v>88.646666666666661</v>
      </c>
      <c r="E45" s="341">
        <f t="shared" si="3"/>
        <v>2.9548888888888887</v>
      </c>
      <c r="F45" s="342"/>
      <c r="G45" s="342"/>
    </row>
    <row r="46" spans="1:7" ht="22.5" x14ac:dyDescent="0.2">
      <c r="A46" s="3">
        <v>23</v>
      </c>
      <c r="B46" s="190" t="s">
        <v>239</v>
      </c>
      <c r="C46" s="3" t="s">
        <v>283</v>
      </c>
      <c r="D46" s="189">
        <v>117.13333333333334</v>
      </c>
      <c r="E46" s="341">
        <f t="shared" si="3"/>
        <v>3.9044444444444446</v>
      </c>
      <c r="F46" s="342"/>
      <c r="G46" s="342"/>
    </row>
    <row r="47" spans="1:7" ht="22.5" x14ac:dyDescent="0.2">
      <c r="A47" s="3">
        <v>24</v>
      </c>
      <c r="B47" s="190" t="s">
        <v>240</v>
      </c>
      <c r="C47" s="3" t="s">
        <v>283</v>
      </c>
      <c r="D47" s="189">
        <v>82.3</v>
      </c>
      <c r="E47" s="341">
        <f t="shared" si="3"/>
        <v>2.7433333333333332</v>
      </c>
      <c r="F47" s="342"/>
      <c r="G47" s="342"/>
    </row>
    <row r="48" spans="1:7" ht="22.5" x14ac:dyDescent="0.2">
      <c r="A48" s="3">
        <v>25</v>
      </c>
      <c r="B48" s="190" t="s">
        <v>241</v>
      </c>
      <c r="C48" s="3" t="s">
        <v>283</v>
      </c>
      <c r="D48" s="189">
        <v>80.286666666666676</v>
      </c>
      <c r="E48" s="341">
        <f t="shared" si="3"/>
        <v>2.6762222222222225</v>
      </c>
      <c r="F48" s="342"/>
      <c r="G48" s="342"/>
    </row>
    <row r="49" spans="1:7" ht="22.5" x14ac:dyDescent="0.2">
      <c r="A49" s="3">
        <v>26</v>
      </c>
      <c r="B49" s="190" t="s">
        <v>242</v>
      </c>
      <c r="C49" s="3" t="s">
        <v>283</v>
      </c>
      <c r="D49" s="189">
        <v>186.29666666666665</v>
      </c>
      <c r="E49" s="341">
        <f t="shared" si="3"/>
        <v>6.2098888888888881</v>
      </c>
      <c r="F49" s="342"/>
      <c r="G49" s="342"/>
    </row>
    <row r="50" spans="1:7" ht="22.5" x14ac:dyDescent="0.2">
      <c r="A50" s="3">
        <v>27</v>
      </c>
      <c r="B50" s="190" t="s">
        <v>243</v>
      </c>
      <c r="C50" s="3" t="s">
        <v>283</v>
      </c>
      <c r="D50" s="189">
        <v>26.12</v>
      </c>
      <c r="E50" s="341">
        <f t="shared" si="3"/>
        <v>0.8706666666666667</v>
      </c>
      <c r="F50" s="342"/>
      <c r="G50" s="342"/>
    </row>
    <row r="51" spans="1:7" ht="22.5" x14ac:dyDescent="0.2">
      <c r="A51" s="3">
        <v>28</v>
      </c>
      <c r="B51" s="190" t="s">
        <v>244</v>
      </c>
      <c r="C51" s="3" t="s">
        <v>283</v>
      </c>
      <c r="D51" s="189">
        <v>10.700000000000001</v>
      </c>
      <c r="E51" s="341">
        <f t="shared" si="3"/>
        <v>0.35666666666666669</v>
      </c>
      <c r="F51" s="342"/>
      <c r="G51" s="342"/>
    </row>
    <row r="52" spans="1:7" ht="33.75" x14ac:dyDescent="0.2">
      <c r="A52" s="3">
        <v>29</v>
      </c>
      <c r="B52" s="190" t="s">
        <v>245</v>
      </c>
      <c r="C52" s="3" t="s">
        <v>283</v>
      </c>
      <c r="D52" s="189">
        <v>317.34666666666664</v>
      </c>
      <c r="E52" s="341">
        <f t="shared" si="3"/>
        <v>10.578222222222221</v>
      </c>
      <c r="F52" s="342"/>
      <c r="G52" s="342"/>
    </row>
    <row r="53" spans="1:7" ht="22.5" x14ac:dyDescent="0.2">
      <c r="A53" s="3">
        <v>30</v>
      </c>
      <c r="B53" s="190" t="s">
        <v>246</v>
      </c>
      <c r="C53" s="3" t="s">
        <v>283</v>
      </c>
      <c r="D53" s="189">
        <v>56.830000000000005</v>
      </c>
      <c r="E53" s="341">
        <f t="shared" si="3"/>
        <v>1.8943333333333334</v>
      </c>
      <c r="F53" s="342"/>
      <c r="G53" s="342"/>
    </row>
    <row r="54" spans="1:7" ht="22.5" x14ac:dyDescent="0.2">
      <c r="A54" s="3">
        <v>31</v>
      </c>
      <c r="B54" s="190" t="s">
        <v>247</v>
      </c>
      <c r="C54" s="3" t="s">
        <v>283</v>
      </c>
      <c r="D54" s="189">
        <v>559.42666666666662</v>
      </c>
      <c r="E54" s="341">
        <f t="shared" si="3"/>
        <v>18.647555555555552</v>
      </c>
      <c r="F54" s="342"/>
      <c r="G54" s="342"/>
    </row>
    <row r="55" spans="1:7" ht="33.75" x14ac:dyDescent="0.2">
      <c r="A55" s="3">
        <v>32</v>
      </c>
      <c r="B55" s="190" t="s">
        <v>248</v>
      </c>
      <c r="C55" s="3" t="s">
        <v>283</v>
      </c>
      <c r="D55" s="189">
        <v>91.780000000000015</v>
      </c>
      <c r="E55" s="341">
        <f t="shared" si="3"/>
        <v>3.0593333333333339</v>
      </c>
      <c r="F55" s="342"/>
      <c r="G55" s="342"/>
    </row>
    <row r="56" spans="1:7" ht="22.5" x14ac:dyDescent="0.2">
      <c r="A56" s="3">
        <v>33</v>
      </c>
      <c r="B56" s="190" t="s">
        <v>249</v>
      </c>
      <c r="C56" s="3" t="s">
        <v>283</v>
      </c>
      <c r="D56" s="189">
        <v>49.77</v>
      </c>
      <c r="E56" s="341">
        <f t="shared" si="3"/>
        <v>1.659</v>
      </c>
      <c r="F56" s="342"/>
      <c r="G56" s="342"/>
    </row>
    <row r="57" spans="1:7" ht="22.5" x14ac:dyDescent="0.2">
      <c r="A57" s="3">
        <v>34</v>
      </c>
      <c r="B57" s="190" t="s">
        <v>250</v>
      </c>
      <c r="C57" s="3" t="s">
        <v>283</v>
      </c>
      <c r="D57" s="189">
        <v>39.450000000000003</v>
      </c>
      <c r="E57" s="341">
        <f t="shared" si="3"/>
        <v>1.3150000000000002</v>
      </c>
      <c r="F57" s="342"/>
      <c r="G57" s="342"/>
    </row>
    <row r="58" spans="1:7" ht="22.5" x14ac:dyDescent="0.2">
      <c r="A58" s="3">
        <v>35</v>
      </c>
      <c r="B58" s="190" t="s">
        <v>251</v>
      </c>
      <c r="C58" s="3" t="s">
        <v>283</v>
      </c>
      <c r="D58" s="189">
        <v>325.7833333333333</v>
      </c>
      <c r="E58" s="341">
        <f t="shared" si="3"/>
        <v>10.859444444444444</v>
      </c>
      <c r="F58" s="342"/>
      <c r="G58" s="342"/>
    </row>
    <row r="59" spans="1:7" ht="22.5" x14ac:dyDescent="0.2">
      <c r="A59" s="3">
        <v>36</v>
      </c>
      <c r="B59" s="190" t="s">
        <v>252</v>
      </c>
      <c r="C59" s="3" t="s">
        <v>283</v>
      </c>
      <c r="D59" s="189">
        <v>21.896666666666665</v>
      </c>
      <c r="E59" s="341">
        <f t="shared" si="3"/>
        <v>0.72988888888888881</v>
      </c>
      <c r="F59" s="342"/>
      <c r="G59" s="342"/>
    </row>
    <row r="60" spans="1:7" ht="22.5" x14ac:dyDescent="0.2">
      <c r="A60" s="3">
        <v>37</v>
      </c>
      <c r="B60" s="190" t="s">
        <v>253</v>
      </c>
      <c r="C60" s="3" t="s">
        <v>283</v>
      </c>
      <c r="D60" s="189">
        <v>55.063333333333333</v>
      </c>
      <c r="E60" s="341">
        <f t="shared" si="3"/>
        <v>1.8354444444444444</v>
      </c>
      <c r="F60" s="342"/>
      <c r="G60" s="342"/>
    </row>
    <row r="61" spans="1:7" ht="22.5" x14ac:dyDescent="0.2">
      <c r="A61" s="3">
        <v>38</v>
      </c>
      <c r="B61" s="190" t="s">
        <v>254</v>
      </c>
      <c r="C61" s="3" t="s">
        <v>283</v>
      </c>
      <c r="D61" s="189">
        <v>34.463333333333338</v>
      </c>
      <c r="E61" s="341">
        <f t="shared" si="3"/>
        <v>1.1487777777777779</v>
      </c>
      <c r="F61" s="342"/>
      <c r="G61" s="342"/>
    </row>
    <row r="62" spans="1:7" ht="22.5" x14ac:dyDescent="0.2">
      <c r="A62" s="3">
        <v>39</v>
      </c>
      <c r="B62" s="190" t="s">
        <v>255</v>
      </c>
      <c r="C62" s="3" t="s">
        <v>283</v>
      </c>
      <c r="D62" s="189">
        <v>762.54</v>
      </c>
      <c r="E62" s="341">
        <f t="shared" si="3"/>
        <v>25.417999999999999</v>
      </c>
      <c r="F62" s="342"/>
      <c r="G62" s="342"/>
    </row>
    <row r="63" spans="1:7" ht="22.5" x14ac:dyDescent="0.2">
      <c r="A63" s="3">
        <v>40</v>
      </c>
      <c r="B63" s="190" t="s">
        <v>256</v>
      </c>
      <c r="C63" s="3" t="s">
        <v>283</v>
      </c>
      <c r="D63" s="189">
        <v>49.473333333333336</v>
      </c>
      <c r="E63" s="341">
        <f t="shared" si="3"/>
        <v>1.6491111111111112</v>
      </c>
      <c r="F63" s="342"/>
      <c r="G63" s="342"/>
    </row>
    <row r="64" spans="1:7" ht="22.5" x14ac:dyDescent="0.2">
      <c r="A64" s="3">
        <v>41</v>
      </c>
      <c r="B64" s="190" t="s">
        <v>257</v>
      </c>
      <c r="C64" s="3" t="s">
        <v>283</v>
      </c>
      <c r="D64" s="189">
        <v>216.73000000000002</v>
      </c>
      <c r="E64" s="341">
        <f t="shared" si="3"/>
        <v>7.2243333333333339</v>
      </c>
      <c r="F64" s="342"/>
      <c r="G64" s="342"/>
    </row>
    <row r="65" spans="1:7" ht="22.5" x14ac:dyDescent="0.2">
      <c r="A65" s="3">
        <v>42</v>
      </c>
      <c r="B65" s="190" t="s">
        <v>258</v>
      </c>
      <c r="C65" s="3" t="s">
        <v>283</v>
      </c>
      <c r="D65" s="189">
        <v>30.409999999999997</v>
      </c>
      <c r="E65" s="341">
        <f t="shared" si="3"/>
        <v>1.0136666666666665</v>
      </c>
      <c r="F65" s="342"/>
      <c r="G65" s="342"/>
    </row>
    <row r="66" spans="1:7" ht="22.5" x14ac:dyDescent="0.2">
      <c r="A66" s="3">
        <v>43</v>
      </c>
      <c r="B66" s="190" t="s">
        <v>259</v>
      </c>
      <c r="C66" s="3" t="s">
        <v>283</v>
      </c>
      <c r="D66" s="189">
        <v>55.98</v>
      </c>
      <c r="E66" s="341">
        <f t="shared" si="3"/>
        <v>1.8659999999999999</v>
      </c>
      <c r="F66" s="342"/>
      <c r="G66" s="342"/>
    </row>
    <row r="67" spans="1:7" ht="22.5" x14ac:dyDescent="0.2">
      <c r="A67" s="3">
        <v>44</v>
      </c>
      <c r="B67" s="190" t="s">
        <v>260</v>
      </c>
      <c r="C67" s="3" t="s">
        <v>283</v>
      </c>
      <c r="D67" s="189">
        <v>132.46666666666667</v>
      </c>
      <c r="E67" s="341">
        <f t="shared" si="3"/>
        <v>4.4155555555555557</v>
      </c>
      <c r="F67" s="342"/>
      <c r="G67" s="342"/>
    </row>
    <row r="68" spans="1:7" ht="22.5" x14ac:dyDescent="0.2">
      <c r="A68" s="3">
        <v>45</v>
      </c>
      <c r="B68" s="190" t="s">
        <v>261</v>
      </c>
      <c r="C68" s="3" t="s">
        <v>283</v>
      </c>
      <c r="D68" s="189">
        <v>202.315</v>
      </c>
      <c r="E68" s="341">
        <f t="shared" si="3"/>
        <v>6.7438333333333329</v>
      </c>
      <c r="F68" s="342"/>
      <c r="G68" s="342"/>
    </row>
    <row r="69" spans="1:7" ht="22.5" x14ac:dyDescent="0.2">
      <c r="A69" s="3">
        <v>46</v>
      </c>
      <c r="B69" s="190" t="s">
        <v>262</v>
      </c>
      <c r="C69" s="3" t="s">
        <v>283</v>
      </c>
      <c r="D69" s="189">
        <v>49.206666666666671</v>
      </c>
      <c r="E69" s="341">
        <f t="shared" si="3"/>
        <v>1.6402222222222222</v>
      </c>
      <c r="F69" s="342"/>
      <c r="G69" s="342"/>
    </row>
    <row r="70" spans="1:7" ht="22.5" x14ac:dyDescent="0.2">
      <c r="A70" s="3">
        <v>47</v>
      </c>
      <c r="B70" s="190" t="s">
        <v>263</v>
      </c>
      <c r="C70" s="3" t="s">
        <v>283</v>
      </c>
      <c r="D70" s="189">
        <v>113.45333333333333</v>
      </c>
      <c r="E70" s="341">
        <f t="shared" si="3"/>
        <v>3.7817777777777777</v>
      </c>
      <c r="F70" s="342"/>
      <c r="G70" s="342"/>
    </row>
    <row r="71" spans="1:7" ht="22.5" x14ac:dyDescent="0.2">
      <c r="A71" s="3">
        <v>48</v>
      </c>
      <c r="B71" s="190" t="s">
        <v>264</v>
      </c>
      <c r="C71" s="3" t="s">
        <v>283</v>
      </c>
      <c r="D71" s="189">
        <v>431.07666666666665</v>
      </c>
      <c r="E71" s="341">
        <f t="shared" si="3"/>
        <v>14.369222222222222</v>
      </c>
      <c r="F71" s="342"/>
      <c r="G71" s="342"/>
    </row>
    <row r="72" spans="1:7" ht="22.5" x14ac:dyDescent="0.2">
      <c r="A72" s="3">
        <v>49</v>
      </c>
      <c r="B72" s="190" t="s">
        <v>265</v>
      </c>
      <c r="C72" s="3" t="s">
        <v>283</v>
      </c>
      <c r="D72" s="189">
        <v>148.61000000000001</v>
      </c>
      <c r="E72" s="341">
        <f t="shared" si="3"/>
        <v>4.9536666666666669</v>
      </c>
      <c r="F72" s="342"/>
      <c r="G72" s="342"/>
    </row>
    <row r="73" spans="1:7" ht="22.5" x14ac:dyDescent="0.2">
      <c r="A73" s="3">
        <v>50</v>
      </c>
      <c r="B73" s="190" t="s">
        <v>266</v>
      </c>
      <c r="C73" s="3" t="s">
        <v>283</v>
      </c>
      <c r="D73" s="189">
        <v>23.543333333333333</v>
      </c>
      <c r="E73" s="341">
        <f t="shared" si="3"/>
        <v>0.7847777777777778</v>
      </c>
      <c r="F73" s="342"/>
      <c r="G73" s="342"/>
    </row>
    <row r="74" spans="1:7" ht="22.5" x14ac:dyDescent="0.2">
      <c r="A74" s="3">
        <v>51</v>
      </c>
      <c r="B74" s="190" t="s">
        <v>267</v>
      </c>
      <c r="C74" s="3" t="s">
        <v>283</v>
      </c>
      <c r="D74" s="189">
        <v>22.646666666666665</v>
      </c>
      <c r="E74" s="341">
        <f t="shared" si="3"/>
        <v>0.75488888888888883</v>
      </c>
      <c r="F74" s="342"/>
      <c r="G74" s="342"/>
    </row>
    <row r="75" spans="1:7" ht="33.75" x14ac:dyDescent="0.2">
      <c r="A75" s="3">
        <v>52</v>
      </c>
      <c r="B75" s="190" t="s">
        <v>268</v>
      </c>
      <c r="C75" s="3" t="s">
        <v>283</v>
      </c>
      <c r="D75" s="189">
        <v>29.25333333333333</v>
      </c>
      <c r="E75" s="341">
        <f t="shared" si="3"/>
        <v>0.97511111111111104</v>
      </c>
      <c r="F75" s="342"/>
      <c r="G75" s="342"/>
    </row>
    <row r="76" spans="1:7" ht="22.5" x14ac:dyDescent="0.2">
      <c r="A76" s="3">
        <v>53</v>
      </c>
      <c r="B76" s="190" t="s">
        <v>269</v>
      </c>
      <c r="C76" s="3" t="s">
        <v>283</v>
      </c>
      <c r="D76" s="189">
        <v>41.783333333333331</v>
      </c>
      <c r="E76" s="341">
        <f t="shared" si="3"/>
        <v>1.3927777777777777</v>
      </c>
      <c r="F76" s="342"/>
      <c r="G76" s="342"/>
    </row>
    <row r="77" spans="1:7" ht="33.75" x14ac:dyDescent="0.2">
      <c r="A77" s="3">
        <v>54</v>
      </c>
      <c r="B77" s="190" t="s">
        <v>270</v>
      </c>
      <c r="C77" s="3" t="s">
        <v>283</v>
      </c>
      <c r="D77" s="189">
        <v>58.086666666666673</v>
      </c>
      <c r="E77" s="341">
        <f t="shared" si="3"/>
        <v>1.9362222222222225</v>
      </c>
      <c r="F77" s="342"/>
      <c r="G77" s="342"/>
    </row>
    <row r="78" spans="1:7" ht="22.5" x14ac:dyDescent="0.2">
      <c r="A78" s="3">
        <v>55</v>
      </c>
      <c r="B78" s="190" t="s">
        <v>271</v>
      </c>
      <c r="C78" s="3" t="s">
        <v>283</v>
      </c>
      <c r="D78" s="189">
        <v>74.626666666666665</v>
      </c>
      <c r="E78" s="341">
        <f t="shared" si="3"/>
        <v>2.4875555555555553</v>
      </c>
      <c r="F78" s="342"/>
      <c r="G78" s="342"/>
    </row>
    <row r="79" spans="1:7" ht="22.5" x14ac:dyDescent="0.2">
      <c r="A79" s="3">
        <v>56</v>
      </c>
      <c r="B79" s="190" t="s">
        <v>272</v>
      </c>
      <c r="C79" s="3" t="s">
        <v>283</v>
      </c>
      <c r="D79" s="189">
        <v>50.573333333333331</v>
      </c>
      <c r="E79" s="341">
        <f t="shared" si="3"/>
        <v>1.6857777777777776</v>
      </c>
      <c r="F79" s="342"/>
      <c r="G79" s="342"/>
    </row>
    <row r="80" spans="1:7" ht="22.5" x14ac:dyDescent="0.2">
      <c r="A80" s="3">
        <v>57</v>
      </c>
      <c r="B80" s="190" t="s">
        <v>273</v>
      </c>
      <c r="C80" s="3" t="s">
        <v>283</v>
      </c>
      <c r="D80" s="189">
        <v>55.97</v>
      </c>
      <c r="E80" s="341">
        <f t="shared" si="3"/>
        <v>1.8656666666666666</v>
      </c>
      <c r="F80" s="342"/>
      <c r="G80" s="342"/>
    </row>
    <row r="81" spans="1:9" ht="22.5" x14ac:dyDescent="0.2">
      <c r="A81" s="3">
        <v>58</v>
      </c>
      <c r="B81" s="190" t="s">
        <v>274</v>
      </c>
      <c r="C81" s="3" t="s">
        <v>283</v>
      </c>
      <c r="D81" s="189">
        <v>31</v>
      </c>
      <c r="E81" s="341">
        <f t="shared" si="3"/>
        <v>1.0333333333333334</v>
      </c>
      <c r="F81" s="342"/>
      <c r="G81" s="342"/>
    </row>
    <row r="82" spans="1:9" ht="22.5" x14ac:dyDescent="0.2">
      <c r="A82" s="3">
        <v>59</v>
      </c>
      <c r="B82" s="190" t="s">
        <v>275</v>
      </c>
      <c r="C82" s="3" t="s">
        <v>283</v>
      </c>
      <c r="D82" s="189">
        <v>424.1366666666666</v>
      </c>
      <c r="E82" s="341">
        <f t="shared" si="3"/>
        <v>14.137888888888886</v>
      </c>
      <c r="F82" s="342"/>
      <c r="G82" s="342"/>
    </row>
    <row r="83" spans="1:9" ht="22.5" x14ac:dyDescent="0.2">
      <c r="A83" s="3">
        <v>60</v>
      </c>
      <c r="B83" s="190" t="s">
        <v>276</v>
      </c>
      <c r="C83" s="3" t="s">
        <v>283</v>
      </c>
      <c r="D83" s="189">
        <v>88.413333333333341</v>
      </c>
      <c r="E83" s="341">
        <f t="shared" si="3"/>
        <v>2.9471111111111115</v>
      </c>
      <c r="F83" s="342"/>
      <c r="G83" s="342"/>
    </row>
    <row r="84" spans="1:9" ht="22.5" x14ac:dyDescent="0.2">
      <c r="A84" s="3">
        <v>61</v>
      </c>
      <c r="B84" s="190" t="s">
        <v>277</v>
      </c>
      <c r="C84" s="3" t="s">
        <v>283</v>
      </c>
      <c r="D84" s="189">
        <v>28.27333333333333</v>
      </c>
      <c r="E84" s="341">
        <f t="shared" si="3"/>
        <v>0.94244444444444431</v>
      </c>
      <c r="F84" s="342"/>
      <c r="G84" s="342"/>
    </row>
    <row r="85" spans="1:9" ht="33.75" x14ac:dyDescent="0.2">
      <c r="A85" s="3">
        <v>62</v>
      </c>
      <c r="B85" s="190" t="s">
        <v>278</v>
      </c>
      <c r="C85" s="3" t="s">
        <v>283</v>
      </c>
      <c r="D85" s="189">
        <v>30.286666666666665</v>
      </c>
      <c r="E85" s="341">
        <f t="shared" si="3"/>
        <v>1.0095555555555555</v>
      </c>
      <c r="F85" s="342"/>
      <c r="G85" s="342"/>
    </row>
    <row r="86" spans="1:9" ht="22.5" x14ac:dyDescent="0.2">
      <c r="A86" s="3">
        <v>63</v>
      </c>
      <c r="B86" s="190" t="s">
        <v>279</v>
      </c>
      <c r="C86" s="3" t="s">
        <v>283</v>
      </c>
      <c r="D86" s="189">
        <v>38.536666666666662</v>
      </c>
      <c r="E86" s="341">
        <f t="shared" si="3"/>
        <v>1.2845555555555555</v>
      </c>
      <c r="F86" s="342"/>
      <c r="G86" s="342"/>
    </row>
    <row r="87" spans="1:9" ht="22.5" x14ac:dyDescent="0.2">
      <c r="A87" s="3">
        <v>64</v>
      </c>
      <c r="B87" s="190" t="s">
        <v>280</v>
      </c>
      <c r="C87" s="3" t="s">
        <v>283</v>
      </c>
      <c r="D87" s="189">
        <v>105.66666666666667</v>
      </c>
      <c r="E87" s="341">
        <f t="shared" si="3"/>
        <v>3.5222222222222226</v>
      </c>
      <c r="F87" s="342"/>
      <c r="G87" s="342"/>
    </row>
    <row r="88" spans="1:9" ht="22.5" x14ac:dyDescent="0.2">
      <c r="A88" s="3">
        <v>65</v>
      </c>
      <c r="B88" s="190" t="s">
        <v>281</v>
      </c>
      <c r="C88" s="3" t="s">
        <v>283</v>
      </c>
      <c r="D88" s="189">
        <v>651.96333333333337</v>
      </c>
      <c r="E88" s="341">
        <f t="shared" si="3"/>
        <v>21.732111111111113</v>
      </c>
      <c r="F88" s="342"/>
      <c r="G88" s="342"/>
    </row>
    <row r="89" spans="1:9" ht="22.5" x14ac:dyDescent="0.2">
      <c r="A89" s="3">
        <v>66</v>
      </c>
      <c r="B89" s="190" t="s">
        <v>282</v>
      </c>
      <c r="C89" s="3" t="s">
        <v>283</v>
      </c>
      <c r="D89" s="191">
        <v>66.646666666666661</v>
      </c>
      <c r="E89" s="348">
        <f t="shared" si="3"/>
        <v>2.2215555555555553</v>
      </c>
      <c r="F89" s="349"/>
      <c r="G89" s="350"/>
      <c r="H89" s="188">
        <f>TRUNC(SUM(E27:G89),2)</f>
        <v>274.52999999999997</v>
      </c>
      <c r="I89" s="188">
        <f>H89/11</f>
        <v>24.957272727272724</v>
      </c>
    </row>
  </sheetData>
  <mergeCells count="72"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9:G8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66:G66"/>
    <mergeCell ref="E67:G67"/>
    <mergeCell ref="E68:G68"/>
    <mergeCell ref="E69:G69"/>
    <mergeCell ref="E60:G60"/>
    <mergeCell ref="E61:G61"/>
    <mergeCell ref="E62:G62"/>
    <mergeCell ref="E63:G63"/>
    <mergeCell ref="E64:G64"/>
    <mergeCell ref="E65:G65"/>
    <mergeCell ref="E55:G55"/>
    <mergeCell ref="E56:G56"/>
    <mergeCell ref="E57:G57"/>
    <mergeCell ref="E58:G58"/>
    <mergeCell ref="E59:G59"/>
    <mergeCell ref="E50:G50"/>
    <mergeCell ref="E51:G51"/>
    <mergeCell ref="E52:G52"/>
    <mergeCell ref="E53:G53"/>
    <mergeCell ref="E54:G54"/>
    <mergeCell ref="E45:G45"/>
    <mergeCell ref="E46:G46"/>
    <mergeCell ref="E47:G47"/>
    <mergeCell ref="E48:G48"/>
    <mergeCell ref="E49:G49"/>
    <mergeCell ref="E40:G40"/>
    <mergeCell ref="E41:G41"/>
    <mergeCell ref="E42:G42"/>
    <mergeCell ref="E43:G43"/>
    <mergeCell ref="E44:G44"/>
    <mergeCell ref="E35:G35"/>
    <mergeCell ref="E36:G36"/>
    <mergeCell ref="E37:G37"/>
    <mergeCell ref="E38:G38"/>
    <mergeCell ref="E39:G39"/>
    <mergeCell ref="E30:G30"/>
    <mergeCell ref="E31:G31"/>
    <mergeCell ref="E32:G32"/>
    <mergeCell ref="E33:G33"/>
    <mergeCell ref="E34:G34"/>
    <mergeCell ref="E25:G25"/>
    <mergeCell ref="E26:G26"/>
    <mergeCell ref="E27:G27"/>
    <mergeCell ref="E28:G28"/>
    <mergeCell ref="E29:G29"/>
    <mergeCell ref="A23:B23"/>
    <mergeCell ref="A22:G22"/>
    <mergeCell ref="E23:G23"/>
    <mergeCell ref="E24:G24"/>
    <mergeCell ref="A2:G2"/>
    <mergeCell ref="A4:B4"/>
    <mergeCell ref="E15:F15"/>
  </mergeCells>
  <pageMargins left="0.511811024" right="0.511811024" top="0.78740157499999996" bottom="0.78740157499999996" header="0.31496062000000002" footer="0.31496062000000002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Quadro Resumo</vt:lpstr>
      <vt:lpstr>Arquiteto</vt:lpstr>
      <vt:lpstr>Técnico de Segurança do Trabalh</vt:lpstr>
      <vt:lpstr>Encarregado de Manutenção</vt:lpstr>
      <vt:lpstr>Manut. Elétrica</vt:lpstr>
      <vt:lpstr>Manut. Predial</vt:lpstr>
      <vt:lpstr>Insumos</vt:lpstr>
      <vt:lpstr>Arquiteto!Area_de_impressao</vt:lpstr>
      <vt:lpstr>'Técnico de Segurança do Trabalh'!Area_de_impressao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2022-11-17T21:40:00Z</cp:lastPrinted>
  <dcterms:created xsi:type="dcterms:W3CDTF">2010-12-08T17:56:29Z</dcterms:created>
  <dcterms:modified xsi:type="dcterms:W3CDTF">2026-02-12T14:51:08Z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