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I:\DADM\ALOG\DCAD\Processos Licitatórios\Editais\2025\Pregão\1 - Processamento\Profissionais do Arquivo - RC 6866\"/>
    </mc:Choice>
  </mc:AlternateContent>
  <xr:revisionPtr revIDLastSave="0" documentId="13_ncr:1_{6C5AD051-FA68-4A5D-AC7A-D959CEA2418F}" xr6:coauthVersionLast="47" xr6:coauthVersionMax="47" xr10:uidLastSave="{00000000-0000-0000-0000-000000000000}"/>
  <bookViews>
    <workbookView xWindow="-120" yWindow="-120" windowWidth="29040" windowHeight="15720" tabRatio="681" xr2:uid="{00000000-000D-0000-FFFF-FFFF00000000}"/>
  </bookViews>
  <sheets>
    <sheet name="Quadro resumo" sheetId="7" r:id="rId1"/>
    <sheet name="Arquivista" sheetId="27" r:id="rId2"/>
    <sheet name="Auxiliar de Arquivo" sheetId="28" r:id="rId3"/>
    <sheet name="Supervisor de Equipe" sheetId="29" r:id="rId4"/>
    <sheet name="Insumos" sheetId="23" r:id="rId5"/>
  </sheets>
  <definedNames>
    <definedName name="_xlnm.Print_Area" localSheetId="1">Arquivista!$A$1:$I$147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29" l="1"/>
  <c r="H58" i="28"/>
  <c r="H58" i="27"/>
  <c r="C12" i="7"/>
  <c r="G143" i="29"/>
  <c r="G142" i="29"/>
  <c r="G141" i="29"/>
  <c r="G116" i="29"/>
  <c r="G77" i="29"/>
  <c r="H59" i="29"/>
  <c r="G47" i="29"/>
  <c r="G54" i="29" s="1"/>
  <c r="G40" i="29"/>
  <c r="G39" i="29"/>
  <c r="H32" i="29"/>
  <c r="H27" i="29"/>
  <c r="H26" i="29"/>
  <c r="G143" i="28"/>
  <c r="G142" i="28"/>
  <c r="G141" i="28"/>
  <c r="G116" i="28"/>
  <c r="G77" i="28"/>
  <c r="H59" i="28"/>
  <c r="G47" i="28"/>
  <c r="G54" i="28" s="1"/>
  <c r="G41" i="28"/>
  <c r="G40" i="28"/>
  <c r="G39" i="28"/>
  <c r="H32" i="28"/>
  <c r="H27" i="28"/>
  <c r="H26" i="28"/>
  <c r="H28" i="28" s="1"/>
  <c r="H59" i="27"/>
  <c r="G77" i="27"/>
  <c r="H27" i="27"/>
  <c r="H32" i="27"/>
  <c r="H62" i="29" l="1"/>
  <c r="H68" i="29" s="1"/>
  <c r="G41" i="29"/>
  <c r="H62" i="28"/>
  <c r="H68" i="28" s="1"/>
  <c r="H28" i="29"/>
  <c r="H30" i="29" s="1"/>
  <c r="H30" i="28"/>
  <c r="H62" i="27"/>
  <c r="H40" i="29" l="1"/>
  <c r="H39" i="29"/>
  <c r="H126" i="29"/>
  <c r="H40" i="28"/>
  <c r="H126" i="28"/>
  <c r="H39" i="28"/>
  <c r="H41" i="28" s="1"/>
  <c r="H47" i="28" s="1"/>
  <c r="G143" i="27"/>
  <c r="G142" i="27"/>
  <c r="G141" i="27"/>
  <c r="G116" i="27"/>
  <c r="G47" i="27"/>
  <c r="G54" i="27" s="1"/>
  <c r="G40" i="27"/>
  <c r="G39" i="27"/>
  <c r="H26" i="27"/>
  <c r="H41" i="29" l="1"/>
  <c r="H49" i="29" s="1"/>
  <c r="H45" i="29"/>
  <c r="H45" i="28"/>
  <c r="H53" i="28"/>
  <c r="H50" i="28"/>
  <c r="H140" i="28"/>
  <c r="H66" i="28"/>
  <c r="H49" i="28"/>
  <c r="H52" i="28"/>
  <c r="H46" i="28"/>
  <c r="H51" i="28"/>
  <c r="H28" i="27"/>
  <c r="G41" i="27"/>
  <c r="H52" i="29" l="1"/>
  <c r="H66" i="29"/>
  <c r="H47" i="29"/>
  <c r="H50" i="29"/>
  <c r="H53" i="29"/>
  <c r="H76" i="29" s="1"/>
  <c r="H46" i="29"/>
  <c r="H54" i="29" s="1"/>
  <c r="H51" i="29"/>
  <c r="H140" i="29"/>
  <c r="H54" i="28"/>
  <c r="H67" i="28" s="1"/>
  <c r="H69" i="28" s="1"/>
  <c r="H76" i="28"/>
  <c r="H78" i="28"/>
  <c r="H77" i="28" s="1"/>
  <c r="H75" i="28"/>
  <c r="H74" i="28" s="1"/>
  <c r="H30" i="27"/>
  <c r="H78" i="29" l="1"/>
  <c r="H77" i="29" s="1"/>
  <c r="H75" i="29"/>
  <c r="H74" i="29" s="1"/>
  <c r="H79" i="28"/>
  <c r="H80" i="28" s="1"/>
  <c r="H88" i="28" s="1"/>
  <c r="H67" i="29"/>
  <c r="H69" i="29" s="1"/>
  <c r="H79" i="29"/>
  <c r="H80" i="29" s="1"/>
  <c r="H127" i="28"/>
  <c r="H40" i="27"/>
  <c r="H126" i="27"/>
  <c r="H39" i="27"/>
  <c r="H128" i="28" l="1"/>
  <c r="H93" i="28"/>
  <c r="H94" i="28" s="1"/>
  <c r="H99" i="28" s="1"/>
  <c r="H128" i="29"/>
  <c r="H127" i="29"/>
  <c r="H93" i="29"/>
  <c r="H94" i="29" s="1"/>
  <c r="H99" i="29" s="1"/>
  <c r="H88" i="29"/>
  <c r="H87" i="28"/>
  <c r="H86" i="28"/>
  <c r="H41" i="27"/>
  <c r="H140" i="27" s="1"/>
  <c r="H89" i="28" l="1"/>
  <c r="H98" i="28" s="1"/>
  <c r="H100" i="28" s="1"/>
  <c r="H129" i="28" s="1"/>
  <c r="H86" i="29"/>
  <c r="H87" i="29"/>
  <c r="H45" i="27"/>
  <c r="H51" i="27"/>
  <c r="H47" i="27"/>
  <c r="H52" i="27"/>
  <c r="H49" i="27"/>
  <c r="H66" i="27"/>
  <c r="H46" i="27"/>
  <c r="H53" i="27"/>
  <c r="H76" i="27" s="1"/>
  <c r="H50" i="27"/>
  <c r="H139" i="28" l="1"/>
  <c r="H141" i="28" s="1"/>
  <c r="H89" i="29"/>
  <c r="H98" i="29" s="1"/>
  <c r="H54" i="27"/>
  <c r="H79" i="27" s="1"/>
  <c r="H78" i="27"/>
  <c r="H77" i="27" s="1"/>
  <c r="H100" i="29" l="1"/>
  <c r="H129" i="29" s="1"/>
  <c r="H139" i="29"/>
  <c r="H142" i="28"/>
  <c r="H67" i="27"/>
  <c r="G5" i="23"/>
  <c r="H5" i="23" s="1"/>
  <c r="H141" i="29" l="1"/>
  <c r="H142" i="29" s="1"/>
  <c r="H143" i="29" s="1"/>
  <c r="H143" i="28"/>
  <c r="H144" i="28" l="1"/>
  <c r="H144" i="29"/>
  <c r="H6" i="23"/>
  <c r="H107" i="29" l="1"/>
  <c r="H109" i="29" s="1"/>
  <c r="H130" i="29" s="1"/>
  <c r="H131" i="29" s="1"/>
  <c r="H107" i="28"/>
  <c r="H109" i="28" s="1"/>
  <c r="H130" i="28" s="1"/>
  <c r="H131" i="28" s="1"/>
  <c r="H107" i="27"/>
  <c r="H109" i="27" s="1"/>
  <c r="H130" i="27" s="1"/>
  <c r="H114" i="28" l="1"/>
  <c r="H115" i="28" s="1"/>
  <c r="H116" i="28" s="1"/>
  <c r="H114" i="29"/>
  <c r="H115" i="29" s="1"/>
  <c r="H68" i="27"/>
  <c r="H69" i="27" s="1"/>
  <c r="H119" i="28" l="1"/>
  <c r="H117" i="28"/>
  <c r="H118" i="28"/>
  <c r="H120" i="28" s="1"/>
  <c r="H132" i="28" s="1"/>
  <c r="H133" i="28" s="1"/>
  <c r="H116" i="29"/>
  <c r="H127" i="27"/>
  <c r="H75" i="27"/>
  <c r="H74" i="27" s="1"/>
  <c r="H80" i="27" s="1"/>
  <c r="H118" i="29" l="1"/>
  <c r="H120" i="29" s="1"/>
  <c r="H132" i="29" s="1"/>
  <c r="H133" i="29" s="1"/>
  <c r="H119" i="29"/>
  <c r="H117" i="29"/>
  <c r="H138" i="28"/>
  <c r="H145" i="28" s="1"/>
  <c r="E10" i="7"/>
  <c r="F10" i="7" s="1"/>
  <c r="G10" i="7" s="1"/>
  <c r="H128" i="27"/>
  <c r="H88" i="27"/>
  <c r="H93" i="27"/>
  <c r="H94" i="27" s="1"/>
  <c r="H99" i="27" s="1"/>
  <c r="H138" i="29" l="1"/>
  <c r="H145" i="29" s="1"/>
  <c r="E11" i="7"/>
  <c r="F11" i="7" s="1"/>
  <c r="G11" i="7" s="1"/>
  <c r="H87" i="27"/>
  <c r="H86" i="27"/>
  <c r="H89" i="27" l="1"/>
  <c r="H98" i="27" s="1"/>
  <c r="H100" i="27" s="1"/>
  <c r="H129" i="27" s="1"/>
  <c r="H131" i="27" s="1"/>
  <c r="H139" i="27" l="1"/>
  <c r="H141" i="27" s="1"/>
  <c r="H142" i="27" s="1"/>
  <c r="H114" i="27"/>
  <c r="H115" i="27" s="1"/>
  <c r="H116" i="27" s="1"/>
  <c r="H118" i="27" l="1"/>
  <c r="H119" i="27"/>
  <c r="H117" i="27"/>
  <c r="H143" i="27"/>
  <c r="H144" i="27" s="1"/>
  <c r="H120" i="27" l="1"/>
  <c r="H132" i="27" s="1"/>
  <c r="H133" i="27" l="1"/>
  <c r="E9" i="7" s="1"/>
  <c r="F9" i="7" s="1"/>
  <c r="H138" i="27" l="1"/>
  <c r="H145" i="27" s="1"/>
  <c r="G9" i="7"/>
  <c r="G12" i="7" s="1"/>
  <c r="G13" i="7" s="1"/>
  <c r="F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00000000-0006-0000-0100-000001000000}">
      <text>
        <r>
          <rPr>
            <sz val="9"/>
            <color indexed="81"/>
            <rFont val="Segoe UI"/>
            <family val="2"/>
          </rPr>
          <t xml:space="preserve">Nota 1: O Módulo 1 refere-se ao valor mensal devido ao empregado pela prestação do serviço no período de 12 meses.
</t>
        </r>
      </text>
    </comment>
    <comment ref="H25" authorId="1" shapeId="0" xr:uid="{228B2ABD-718F-4E3D-9B20-C39BDF1EBBBF}">
      <text>
        <r>
          <rPr>
            <sz val="9"/>
            <color indexed="81"/>
            <rFont val="Segoe UI"/>
            <charset val="1"/>
          </rPr>
          <t>Na execução do contrato esse valor será zerado quando do pagamento das férias do titular.</t>
        </r>
      </text>
    </comment>
    <comment ref="D27" authorId="0" shapeId="0" xr:uid="{00000000-0006-0000-0100-000002000000}">
      <text>
        <r>
          <rPr>
            <sz val="9"/>
            <color indexed="81"/>
            <rFont val="Segoe UI"/>
            <family val="2"/>
          </rPr>
          <t>Grau mínimo 10%, grau médio 20% e grau máximo 40%.</t>
        </r>
      </text>
    </comment>
    <comment ref="B37" authorId="0" shapeId="0" xr:uid="{00000000-0006-0000-0100-000004000000}">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00000000-0006-0000-0100-000005000000}">
      <text>
        <r>
          <rPr>
            <sz val="9"/>
            <color indexed="81"/>
            <rFont val="Segoe UI"/>
            <family val="2"/>
          </rPr>
          <t>Tot.1 ÷ 12 meses</t>
        </r>
      </text>
    </comment>
    <comment ref="G40" authorId="2" shapeId="0" xr:uid="{00000000-0006-0000-0100-000006000000}">
      <text>
        <r>
          <rPr>
            <sz val="9"/>
            <color indexed="81"/>
            <rFont val="Segoe UI"/>
            <family val="2"/>
          </rPr>
          <t>(Tot.1 ÷ 12 meses) + [(Tot.1 ÷ 3) ÷ 12 meses]</t>
        </r>
      </text>
    </comment>
    <comment ref="B43" authorId="0" shapeId="0" xr:uid="{00000000-0006-0000-0100-000007000000}">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00000000-0006-0000-0100-000008000000}">
      <text>
        <r>
          <rPr>
            <sz val="9"/>
            <color indexed="81"/>
            <rFont val="Segoe UI"/>
            <family val="2"/>
          </rPr>
          <t>Percentual fixo:
Lei 8.212/91, Art. 22, I</t>
        </r>
      </text>
    </comment>
    <comment ref="G46" authorId="0" shapeId="0" xr:uid="{00000000-0006-0000-0100-000009000000}">
      <text>
        <r>
          <rPr>
            <sz val="9"/>
            <color indexed="81"/>
            <rFont val="Segoe UI"/>
            <family val="2"/>
          </rPr>
          <t>Percentual fixo:
- C.F./88, Art. 212, §5º
- Decreto 6.003/2006, Art. 1º, §1º</t>
        </r>
      </text>
    </comment>
    <comment ref="E47" authorId="0" shapeId="0" xr:uid="{00000000-0006-0000-0100-00000A000000}">
      <text>
        <r>
          <rPr>
            <sz val="9"/>
            <color indexed="81"/>
            <rFont val="Segoe UI"/>
            <family val="2"/>
          </rPr>
          <t>Riscos Ambientais do Trabalho:
1%, 2% ou 3%
Lei 8.212/91, Art. 22, II</t>
        </r>
      </text>
    </comment>
    <comment ref="F47" authorId="0" shapeId="0" xr:uid="{00000000-0006-0000-0100-00000B000000}">
      <text>
        <r>
          <rPr>
            <sz val="9"/>
            <color indexed="81"/>
            <rFont val="Segoe UI"/>
            <family val="2"/>
          </rPr>
          <t>Fator Acidentário de Prevenção:
0,50 a 2
Decreto 6.957/09, Art. 1º, §1º</t>
        </r>
      </text>
    </comment>
    <comment ref="G49" authorId="0" shapeId="0" xr:uid="{00000000-0006-0000-0100-00000C000000}">
      <text>
        <r>
          <rPr>
            <sz val="9"/>
            <color indexed="81"/>
            <rFont val="Segoe UI"/>
            <family val="2"/>
          </rPr>
          <t>Percentual fixo:
- Lei 8.036/90, Art. 30</t>
        </r>
      </text>
    </comment>
    <comment ref="G50" authorId="0" shapeId="0" xr:uid="{00000000-0006-0000-0100-00000D000000}">
      <text>
        <r>
          <rPr>
            <sz val="9"/>
            <color indexed="81"/>
            <rFont val="Segoe UI"/>
            <family val="2"/>
          </rPr>
          <t>Percentual fixo:
- Decreto-Lei 6.246/44, Art. 1º
- Decreto-Lei 8.621/46, Art. 4º</t>
        </r>
      </text>
    </comment>
    <comment ref="G51" authorId="0" shapeId="0" xr:uid="{00000000-0006-0000-0100-00000E000000}">
      <text>
        <r>
          <rPr>
            <sz val="9"/>
            <color indexed="81"/>
            <rFont val="Segoe UI"/>
            <family val="2"/>
          </rPr>
          <t>Percentual fixo:
- Lei 8.029/90, alterada pela Lei 8.154/90</t>
        </r>
      </text>
    </comment>
    <comment ref="G52" authorId="0" shapeId="0" xr:uid="{00000000-0006-0000-0100-00000F000000}">
      <text>
        <r>
          <rPr>
            <sz val="9"/>
            <color indexed="81"/>
            <rFont val="Segoe UI"/>
            <family val="2"/>
          </rPr>
          <t>Percentual fixo:
- Decreto-Lei 1.146/70, Art. 1º, inciso I</t>
        </r>
      </text>
    </comment>
    <comment ref="G53" authorId="0" shapeId="0" xr:uid="{00000000-0006-0000-0100-000010000000}">
      <text>
        <r>
          <rPr>
            <sz val="9"/>
            <color indexed="81"/>
            <rFont val="Segoe UI"/>
            <family val="2"/>
          </rPr>
          <t>Percentual fixo:
- Lei 8.036/90, Art. 15</t>
        </r>
      </text>
    </comment>
    <comment ref="B56" authorId="0" shapeId="0" xr:uid="{00000000-0006-0000-0100-000011000000}">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00000000-0006-0000-0100-000012000000}">
      <text>
        <r>
          <rPr>
            <sz val="9"/>
            <color indexed="81"/>
            <rFont val="Segoe UI"/>
            <family val="2"/>
          </rPr>
          <t>*Considerada média de 22 dias úteis mensais</t>
        </r>
      </text>
    </comment>
    <comment ref="C75" authorId="2" shapeId="0" xr:uid="{00000000-0006-0000-0100-000013000000}">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00000000-0006-0000-0100-000014000000}">
      <text>
        <r>
          <rPr>
            <sz val="9"/>
            <color indexed="81"/>
            <rFont val="Segoe UI"/>
            <family val="2"/>
          </rPr>
          <t>Percentual fixo</t>
        </r>
      </text>
    </comment>
    <comment ref="G77" authorId="1" shapeId="0" xr:uid="{D88E72D4-7F24-4793-ABA9-3A0301B0B49B}">
      <text>
        <r>
          <rPr>
            <sz val="9"/>
            <color indexed="81"/>
            <rFont val="Segoe UI"/>
            <charset val="1"/>
          </rPr>
          <t xml:space="preserve">A fórmula não deve ser alterada, de modo que o somatório do percentual do API e do APT totalize 100%.
</t>
        </r>
      </text>
    </comment>
    <comment ref="F78" authorId="2" shapeId="0" xr:uid="{00000000-0006-0000-0100-000016000000}">
      <text>
        <r>
          <rPr>
            <sz val="9"/>
            <color indexed="81"/>
            <rFont val="Segoe UI"/>
            <family val="2"/>
          </rPr>
          <t>Percentual fixo</t>
        </r>
      </text>
    </comment>
    <comment ref="C79" authorId="2" shapeId="0" xr:uid="{00000000-0006-0000-0100-000017000000}">
      <text>
        <r>
          <rPr>
            <sz val="9"/>
            <color indexed="81"/>
            <rFont val="Segoe UI"/>
            <family val="2"/>
          </rPr>
          <t>(Remuneração +13º salário + Férias e Adicional de férias + FGTS + Benefícios) ÷ 12 meses</t>
        </r>
      </text>
    </comment>
    <comment ref="F79" authorId="2" shapeId="0" xr:uid="{00000000-0006-0000-0100-000018000000}">
      <text>
        <r>
          <rPr>
            <sz val="9"/>
            <color indexed="81"/>
            <rFont val="Segoe UI"/>
            <family val="2"/>
          </rPr>
          <t>Valor fixo</t>
        </r>
      </text>
    </comment>
    <comment ref="G79" authorId="2" shapeId="0" xr:uid="{00000000-0006-0000-0100-000019000000}">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00000000-0006-0000-0100-00001A000000}">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00000000-0006-0000-0100-00001B000000}">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00000000-0006-0000-0100-00001C000000}">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00000000-0006-0000-0100-00001D000000}">
      <text>
        <r>
          <rPr>
            <sz val="9"/>
            <color indexed="81"/>
            <rFont val="Segoe UI"/>
            <family val="2"/>
          </rPr>
          <t>Necessidade da empresa, de acordo com as probabilidades consignadas em sua proposta, de um repositor durante o ano (em dias).</t>
        </r>
      </text>
    </comment>
    <comment ref="C88" authorId="2" shapeId="0" xr:uid="{00000000-0006-0000-0100-00001E000000}">
      <text>
        <r>
          <rPr>
            <sz val="9"/>
            <color indexed="81"/>
            <rFont val="Segoe UI"/>
            <family val="2"/>
          </rPr>
          <t>(Módulo 1 + Módulo 2 + Módulo 3) ÷ 30 dias</t>
        </r>
      </text>
    </comment>
    <comment ref="G92" authorId="0" shapeId="0" xr:uid="{00000000-0006-0000-0100-00001F000000}">
      <text>
        <r>
          <rPr>
            <sz val="9"/>
            <color indexed="81"/>
            <rFont val="Segoe UI"/>
            <family val="2"/>
          </rPr>
          <t xml:space="preserve">Dias necessários para substituição.
</t>
        </r>
      </text>
    </comment>
    <comment ref="B103" authorId="0" shapeId="0" xr:uid="{00000000-0006-0000-0100-000020000000}">
      <text>
        <r>
          <rPr>
            <sz val="9"/>
            <color indexed="81"/>
            <rFont val="Segoe UI"/>
            <family val="2"/>
          </rPr>
          <t>Nota: Valores mensais por posto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13BD5CB6-ED7C-4677-AB22-D09B3FF38DDF}">
      <text>
        <r>
          <rPr>
            <sz val="9"/>
            <color indexed="81"/>
            <rFont val="Segoe UI"/>
            <family val="2"/>
          </rPr>
          <t xml:space="preserve">Nota 1: O Módulo 1 refere-se ao valor mensal devido ao empregado pela prestação do serviço no período de 12 meses.
</t>
        </r>
      </text>
    </comment>
    <comment ref="H25" authorId="1" shapeId="0" xr:uid="{39D18206-4C22-4805-A130-0CC03D64606A}">
      <text>
        <r>
          <rPr>
            <sz val="9"/>
            <color indexed="81"/>
            <rFont val="Segoe UI"/>
            <charset val="1"/>
          </rPr>
          <t>Na execução do contrato esse valor será zerado quando do pagamento das férias do titular.</t>
        </r>
      </text>
    </comment>
    <comment ref="D27" authorId="0" shapeId="0" xr:uid="{64EF5C7B-0757-4F00-B2E0-2F683A119FAB}">
      <text>
        <r>
          <rPr>
            <sz val="9"/>
            <color indexed="81"/>
            <rFont val="Segoe UI"/>
            <family val="2"/>
          </rPr>
          <t>Grau mínimo 10%, grau médio 20% e grau máximo 40%.</t>
        </r>
      </text>
    </comment>
    <comment ref="B37" authorId="0" shapeId="0" xr:uid="{EC4F694B-9545-4B9E-9A2F-70E0F1FD69EE}">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F41051EA-D579-4E13-BD2D-F06C700687E3}">
      <text>
        <r>
          <rPr>
            <sz val="9"/>
            <color indexed="81"/>
            <rFont val="Segoe UI"/>
            <family val="2"/>
          </rPr>
          <t>Tot.1 ÷ 12 meses</t>
        </r>
      </text>
    </comment>
    <comment ref="G40" authorId="2" shapeId="0" xr:uid="{59E33B2F-DFF8-4FC9-BDA9-B1CF6F7A6343}">
      <text>
        <r>
          <rPr>
            <sz val="9"/>
            <color indexed="81"/>
            <rFont val="Segoe UI"/>
            <family val="2"/>
          </rPr>
          <t>(Tot.1 ÷ 12 meses) + [(Tot.1 ÷ 3) ÷ 12 meses]</t>
        </r>
      </text>
    </comment>
    <comment ref="B43" authorId="0" shapeId="0" xr:uid="{43683167-152A-4736-AC77-1D2D3281B7A6}">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009A7F4F-4C2C-44F5-96CB-3A536810F671}">
      <text>
        <r>
          <rPr>
            <sz val="9"/>
            <color indexed="81"/>
            <rFont val="Segoe UI"/>
            <family val="2"/>
          </rPr>
          <t>Percentual fixo:
Lei 8.212/91, Art. 22, I</t>
        </r>
      </text>
    </comment>
    <comment ref="G46" authorId="0" shapeId="0" xr:uid="{62EDD2BF-AA3A-4891-A32E-C6E5C038F55F}">
      <text>
        <r>
          <rPr>
            <sz val="9"/>
            <color indexed="81"/>
            <rFont val="Segoe UI"/>
            <family val="2"/>
          </rPr>
          <t>Percentual fixo:
- C.F./88, Art. 212, §5º
- Decreto 6.003/2006, Art. 1º, §1º</t>
        </r>
      </text>
    </comment>
    <comment ref="E47" authorId="0" shapeId="0" xr:uid="{825DEEC4-5C07-4A3B-9A41-2FFC93CA22F1}">
      <text>
        <r>
          <rPr>
            <sz val="9"/>
            <color indexed="81"/>
            <rFont val="Segoe UI"/>
            <family val="2"/>
          </rPr>
          <t>Riscos Ambientais do Trabalho:
1%, 2% ou 3%
Lei 8.212/91, Art. 22, II</t>
        </r>
      </text>
    </comment>
    <comment ref="F47" authorId="0" shapeId="0" xr:uid="{F30CA0B6-9B6C-4211-B0EE-D58FCA33E77C}">
      <text>
        <r>
          <rPr>
            <sz val="9"/>
            <color indexed="81"/>
            <rFont val="Segoe UI"/>
            <family val="2"/>
          </rPr>
          <t>Fator Acidentário de Prevenção:
0,50 a 2
Decreto 6.957/09, Art. 1º, §1º</t>
        </r>
      </text>
    </comment>
    <comment ref="G49" authorId="0" shapeId="0" xr:uid="{E3E4CE20-735D-478F-8B7D-CC3DC377F35B}">
      <text>
        <r>
          <rPr>
            <sz val="9"/>
            <color indexed="81"/>
            <rFont val="Segoe UI"/>
            <family val="2"/>
          </rPr>
          <t>Percentual fixo:
- Lei 8.036/90, Art. 30</t>
        </r>
      </text>
    </comment>
    <comment ref="G50" authorId="0" shapeId="0" xr:uid="{905B8C5A-A966-4303-AFD4-0A128F3A23AC}">
      <text>
        <r>
          <rPr>
            <sz val="9"/>
            <color indexed="81"/>
            <rFont val="Segoe UI"/>
            <family val="2"/>
          </rPr>
          <t>Percentual fixo:
- Decreto-Lei 6.246/44, Art. 1º
- Decreto-Lei 8.621/46, Art. 4º</t>
        </r>
      </text>
    </comment>
    <comment ref="G51" authorId="0" shapeId="0" xr:uid="{802195A3-815F-4D88-B0C3-4345CEC6BAE5}">
      <text>
        <r>
          <rPr>
            <sz val="9"/>
            <color indexed="81"/>
            <rFont val="Segoe UI"/>
            <family val="2"/>
          </rPr>
          <t>Percentual fixo:
- Lei 8.029/90, alterada pela Lei 8.154/90</t>
        </r>
      </text>
    </comment>
    <comment ref="G52" authorId="0" shapeId="0" xr:uid="{04944F5B-94D3-4BA6-8B85-1A954B0513E2}">
      <text>
        <r>
          <rPr>
            <sz val="9"/>
            <color indexed="81"/>
            <rFont val="Segoe UI"/>
            <family val="2"/>
          </rPr>
          <t>Percentual fixo:
- Decreto-Lei 1.146/70, Art. 1º, inciso I</t>
        </r>
      </text>
    </comment>
    <comment ref="G53" authorId="0" shapeId="0" xr:uid="{974557AB-6D75-4D6B-92A5-3C07BC56BC12}">
      <text>
        <r>
          <rPr>
            <sz val="9"/>
            <color indexed="81"/>
            <rFont val="Segoe UI"/>
            <family val="2"/>
          </rPr>
          <t>Percentual fixo:
- Lei 8.036/90, Art. 15</t>
        </r>
      </text>
    </comment>
    <comment ref="B56" authorId="0" shapeId="0" xr:uid="{CEC9F5B2-09AC-49F5-8524-457657486E29}">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6A411B8E-A7DB-4E46-BB22-4DFCCD131726}">
      <text>
        <r>
          <rPr>
            <sz val="9"/>
            <color indexed="81"/>
            <rFont val="Segoe UI"/>
            <family val="2"/>
          </rPr>
          <t>*Considerada média de 22 dias úteis mensais</t>
        </r>
      </text>
    </comment>
    <comment ref="C75" authorId="2" shapeId="0" xr:uid="{E720F5E1-62AC-43A3-BA19-29DDD10AEAF9}">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925E4917-D06A-46CA-BAF5-EF1EE9E5BE7F}">
      <text>
        <r>
          <rPr>
            <sz val="9"/>
            <color indexed="81"/>
            <rFont val="Segoe UI"/>
            <family val="2"/>
          </rPr>
          <t>Percentual fixo</t>
        </r>
      </text>
    </comment>
    <comment ref="G77" authorId="1" shapeId="0" xr:uid="{F6FD7866-0F26-4653-A54F-0795F5C9D896}">
      <text>
        <r>
          <rPr>
            <sz val="9"/>
            <color indexed="81"/>
            <rFont val="Segoe UI"/>
            <charset val="1"/>
          </rPr>
          <t xml:space="preserve">A fórmula não deve ser alterada, de modo que o somatório do percentual do API e do APT totalize 100%.
</t>
        </r>
      </text>
    </comment>
    <comment ref="F78" authorId="2" shapeId="0" xr:uid="{3C5F51B7-AF50-4D44-859E-AE4EA9EEC07E}">
      <text>
        <r>
          <rPr>
            <sz val="9"/>
            <color indexed="81"/>
            <rFont val="Segoe UI"/>
            <family val="2"/>
          </rPr>
          <t>Percentual fixo</t>
        </r>
      </text>
    </comment>
    <comment ref="C79" authorId="2" shapeId="0" xr:uid="{1950E089-E177-4900-962F-F4FA75F03B8E}">
      <text>
        <r>
          <rPr>
            <sz val="9"/>
            <color indexed="81"/>
            <rFont val="Segoe UI"/>
            <family val="2"/>
          </rPr>
          <t>(Remuneração +13º salário + Férias e Adicional de férias + FGTS + Benefícios) ÷ 12 meses</t>
        </r>
      </text>
    </comment>
    <comment ref="F79" authorId="2" shapeId="0" xr:uid="{634B6C4C-7A91-4584-B624-74EF93350DDE}">
      <text>
        <r>
          <rPr>
            <sz val="9"/>
            <color indexed="81"/>
            <rFont val="Segoe UI"/>
            <family val="2"/>
          </rPr>
          <t>Valor fixo</t>
        </r>
      </text>
    </comment>
    <comment ref="G79" authorId="2" shapeId="0" xr:uid="{B071A562-7E85-49C5-A2AC-50BA31388E6B}">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FD02AAEF-DB54-4C78-8500-AC7A847A3B2F}">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D3F370AB-1C07-45AD-8826-1593D9B47767}">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B0C73A8B-EAEB-47D6-B37D-BD8552EB82E1}">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0CF922E4-6FBB-4F45-BDE4-A137E0CC00B2}">
      <text>
        <r>
          <rPr>
            <sz val="9"/>
            <color indexed="81"/>
            <rFont val="Segoe UI"/>
            <family val="2"/>
          </rPr>
          <t>Necessidade da empresa, de acordo com as probabilidades consignadas em sua proposta, de um repositor durante o ano (em dias).</t>
        </r>
      </text>
    </comment>
    <comment ref="C88" authorId="2" shapeId="0" xr:uid="{B507F280-CE92-447F-AF48-F50538C9C989}">
      <text>
        <r>
          <rPr>
            <sz val="9"/>
            <color indexed="81"/>
            <rFont val="Segoe UI"/>
            <family val="2"/>
          </rPr>
          <t>(Módulo 1 + Módulo 2 + Módulo 3) ÷ 30 dias</t>
        </r>
      </text>
    </comment>
    <comment ref="G92" authorId="0" shapeId="0" xr:uid="{FADF3A57-FEE7-4E8E-BEA3-C944E6920C2A}">
      <text>
        <r>
          <rPr>
            <sz val="9"/>
            <color indexed="81"/>
            <rFont val="Segoe UI"/>
            <family val="2"/>
          </rPr>
          <t xml:space="preserve">Dias necessários para substituição.
</t>
        </r>
      </text>
    </comment>
    <comment ref="B103" authorId="0" shapeId="0" xr:uid="{06567C8A-F78A-4BAD-A137-F963B5883D87}">
      <text>
        <r>
          <rPr>
            <sz val="9"/>
            <color indexed="81"/>
            <rFont val="Segoe UI"/>
            <family val="2"/>
          </rPr>
          <t>Nota: Valores mensais por posto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michelly</author>
    <author>Michelly de Souza Ferraz</author>
    <author>Felipe Mazza Mascarenhas</author>
  </authors>
  <commentList>
    <comment ref="B23" authorId="0" shapeId="0" xr:uid="{736F8F10-138F-48D6-B13F-440F628FBEA5}">
      <text>
        <r>
          <rPr>
            <sz val="9"/>
            <color indexed="81"/>
            <rFont val="Segoe UI"/>
            <family val="2"/>
          </rPr>
          <t xml:space="preserve">Nota 1: O Módulo 1 refere-se ao valor mensal devido ao empregado pela prestação do serviço no período de 12 meses.
</t>
        </r>
      </text>
    </comment>
    <comment ref="H25" authorId="1" shapeId="0" xr:uid="{A7E7C226-B5A7-489B-B151-9E2CFFB36750}">
      <text>
        <r>
          <rPr>
            <sz val="9"/>
            <color indexed="81"/>
            <rFont val="Segoe UI"/>
            <charset val="1"/>
          </rPr>
          <t>Na execução do contrato esse valor será zerado quando do pagamento das férias do titular.</t>
        </r>
      </text>
    </comment>
    <comment ref="D27" authorId="0" shapeId="0" xr:uid="{F82C8A0D-8DE8-424A-88B6-448A050D3F13}">
      <text>
        <r>
          <rPr>
            <sz val="9"/>
            <color indexed="81"/>
            <rFont val="Segoe UI"/>
            <family val="2"/>
          </rPr>
          <t>Grau mínimo 10%, grau médio 20% e grau máximo 40%.</t>
        </r>
      </text>
    </comment>
    <comment ref="B37" authorId="0" shapeId="0" xr:uid="{E07142EB-CCDB-4AAD-A2B6-4462DBFFBFD4}">
      <text>
        <r>
          <rPr>
            <sz val="9"/>
            <color indexed="81"/>
            <rFont val="Segoe UI"/>
            <family val="2"/>
          </rPr>
          <t>Nota 1: Como a planilha de custos e formação de preços é calculada mensalmente, provisiona-se proporcionalmente 1/12 (um doze avos) dos valores referentes a gratificação natalina e adicional de férias.
Nota 2: O adicional de férias contido no Submódulo 2.1 corresponde a 1/3 (um terço) da remuneração que por sua vez é divido por 12 (doze) conforme Nota 1 acima.</t>
        </r>
      </text>
    </comment>
    <comment ref="G39" authorId="2" shapeId="0" xr:uid="{CAB40597-4F55-49BE-99C1-54CD818EEA35}">
      <text>
        <r>
          <rPr>
            <sz val="9"/>
            <color indexed="81"/>
            <rFont val="Segoe UI"/>
            <family val="2"/>
          </rPr>
          <t>Tot.1 ÷ 12 meses</t>
        </r>
      </text>
    </comment>
    <comment ref="G40" authorId="2" shapeId="0" xr:uid="{364719E8-41DB-4F0B-9679-86205CCD1693}">
      <text>
        <r>
          <rPr>
            <sz val="9"/>
            <color indexed="81"/>
            <rFont val="Segoe UI"/>
            <family val="2"/>
          </rPr>
          <t>(Tot.1 ÷ 12 meses) + [(Tot.1 ÷ 3) ÷ 12 meses]</t>
        </r>
      </text>
    </comment>
    <comment ref="B43" authorId="0" shapeId="0" xr:uid="{0DFF4392-4B0F-44D7-B6E6-8D9FD7B00227}">
      <text>
        <r>
          <rPr>
            <sz val="9"/>
            <color indexed="81"/>
            <rFont val="Segoe UI"/>
            <family val="2"/>
          </rPr>
          <t xml:space="preserve">Nota 1: Os percentuais dos encargos previdenciários, do FGTS e demais contribuições são aqueles estabelecidos pela legislação vigente.
Nota 2: O SAT a depender do grau de risco do serviço irá variar entre 1%, para risco leve, de 2%, para risco médio, e de 3% de risco grave.
Nota 3: Esses percentuais incidem sobre o Módulo 1 e o Submódulo 2.1.
</t>
        </r>
      </text>
    </comment>
    <comment ref="G45" authorId="0" shapeId="0" xr:uid="{157E8901-EC26-47B4-A26A-92F94EB76230}">
      <text>
        <r>
          <rPr>
            <sz val="9"/>
            <color indexed="81"/>
            <rFont val="Segoe UI"/>
            <family val="2"/>
          </rPr>
          <t>Percentual fixo:
Lei 8.212/91, Art. 22, I</t>
        </r>
      </text>
    </comment>
    <comment ref="G46" authorId="0" shapeId="0" xr:uid="{507EFEFD-1FC7-4CB9-A7A1-8FEE0FD38C0A}">
      <text>
        <r>
          <rPr>
            <sz val="9"/>
            <color indexed="81"/>
            <rFont val="Segoe UI"/>
            <family val="2"/>
          </rPr>
          <t>Percentual fixo:
- C.F./88, Art. 212, §5º
- Decreto 6.003/2006, Art. 1º, §1º</t>
        </r>
      </text>
    </comment>
    <comment ref="E47" authorId="0" shapeId="0" xr:uid="{20D2D8A3-754E-4141-8813-E67EDFA66EBB}">
      <text>
        <r>
          <rPr>
            <sz val="9"/>
            <color indexed="81"/>
            <rFont val="Segoe UI"/>
            <family val="2"/>
          </rPr>
          <t>Riscos Ambientais do Trabalho:
1%, 2% ou 3%
Lei 8.212/91, Art. 22, II</t>
        </r>
      </text>
    </comment>
    <comment ref="F47" authorId="0" shapeId="0" xr:uid="{7F7FDC9B-F4E0-408D-A768-518E6A892ECF}">
      <text>
        <r>
          <rPr>
            <sz val="9"/>
            <color indexed="81"/>
            <rFont val="Segoe UI"/>
            <family val="2"/>
          </rPr>
          <t>Fator Acidentário de Prevenção:
0,50 a 2
Decreto 6.957/09, Art. 1º, §1º</t>
        </r>
      </text>
    </comment>
    <comment ref="G49" authorId="0" shapeId="0" xr:uid="{C53627DC-25F6-414A-BBB8-F512221998B2}">
      <text>
        <r>
          <rPr>
            <sz val="9"/>
            <color indexed="81"/>
            <rFont val="Segoe UI"/>
            <family val="2"/>
          </rPr>
          <t>Percentual fixo:
- Lei 8.036/90, Art. 30</t>
        </r>
      </text>
    </comment>
    <comment ref="G50" authorId="0" shapeId="0" xr:uid="{5DE1869F-D6C7-4746-80EB-FF3EB2563872}">
      <text>
        <r>
          <rPr>
            <sz val="9"/>
            <color indexed="81"/>
            <rFont val="Segoe UI"/>
            <family val="2"/>
          </rPr>
          <t>Percentual fixo:
- Decreto-Lei 6.246/44, Art. 1º
- Decreto-Lei 8.621/46, Art. 4º</t>
        </r>
      </text>
    </comment>
    <comment ref="G51" authorId="0" shapeId="0" xr:uid="{13B17DFB-3314-4948-8FCF-6BFB6632E74D}">
      <text>
        <r>
          <rPr>
            <sz val="9"/>
            <color indexed="81"/>
            <rFont val="Segoe UI"/>
            <family val="2"/>
          </rPr>
          <t>Percentual fixo:
- Lei 8.029/90, alterada pela Lei 8.154/90</t>
        </r>
      </text>
    </comment>
    <comment ref="G52" authorId="0" shapeId="0" xr:uid="{2A20AC99-EF70-4F37-A9F3-E3CD836BB4B8}">
      <text>
        <r>
          <rPr>
            <sz val="9"/>
            <color indexed="81"/>
            <rFont val="Segoe UI"/>
            <family val="2"/>
          </rPr>
          <t>Percentual fixo:
- Decreto-Lei 1.146/70, Art. 1º, inciso I</t>
        </r>
      </text>
    </comment>
    <comment ref="G53" authorId="0" shapeId="0" xr:uid="{3172BEB8-FAD3-44EF-826A-80C0247E9468}">
      <text>
        <r>
          <rPr>
            <sz val="9"/>
            <color indexed="81"/>
            <rFont val="Segoe UI"/>
            <family val="2"/>
          </rPr>
          <t>Percentual fixo:
- Lei 8.036/90, Art. 15</t>
        </r>
      </text>
    </comment>
    <comment ref="B56" authorId="0" shapeId="0" xr:uid="{59785170-2AFE-4B44-9BB5-23FCD70F4DBF}">
      <text>
        <r>
          <rPr>
            <sz val="9"/>
            <color indexed="81"/>
            <rFont val="Segoe UI"/>
            <family val="2"/>
          </rPr>
          <t>Nota 1: O valor informado deverá ser o custo real do benefício (descontado o valor eventualmente pago pelo empregado).
Nota 2: Observar a previsão dos benefícios contidos em Acordos, Convenções e Dissídios Coletivos de Trabalho e atentar-se ao disposto no art. 6º da IN 05, de 25/05/2017.</t>
        </r>
      </text>
    </comment>
    <comment ref="C57" authorId="2" shapeId="0" xr:uid="{66B79949-2AEB-4A76-BA0A-AC8B6DA9A211}">
      <text>
        <r>
          <rPr>
            <sz val="9"/>
            <color indexed="81"/>
            <rFont val="Segoe UI"/>
            <family val="2"/>
          </rPr>
          <t>*Considerada média de 22 dias úteis mensais</t>
        </r>
      </text>
    </comment>
    <comment ref="C75" authorId="2" shapeId="0" xr:uid="{6751E127-F5C5-4309-A962-67A70AB566C4}">
      <text>
        <r>
          <rPr>
            <sz val="9"/>
            <color indexed="81"/>
            <rFont val="Segoe UI"/>
            <family val="2"/>
          </rPr>
          <t>O pagamento relativo à rubrica de benefícios dependerá de como a Convenção Coletiva de Trabalho aborda o assunto. Se pagamento por dia trabalhado, não deve constar esses valores na memória de cálculo.
(Remuneração +13º salário + Férias e Adicional de férias + FGTS + Benefícios - Vale Transporte) ÷ 12 meses</t>
        </r>
      </text>
    </comment>
    <comment ref="F76" authorId="2" shapeId="0" xr:uid="{3061273A-99C8-4D6C-BA2B-8350724CEE11}">
      <text>
        <r>
          <rPr>
            <sz val="9"/>
            <color indexed="81"/>
            <rFont val="Segoe UI"/>
            <family val="2"/>
          </rPr>
          <t>Percentual fixo</t>
        </r>
      </text>
    </comment>
    <comment ref="G77" authorId="1" shapeId="0" xr:uid="{30B2F154-B48D-4C5F-896A-4E0D1F24367E}">
      <text>
        <r>
          <rPr>
            <sz val="9"/>
            <color indexed="81"/>
            <rFont val="Segoe UI"/>
            <charset val="1"/>
          </rPr>
          <t xml:space="preserve">A fórmula não deve ser alterada, de modo que o somatório do percentual do API e do APT totalize 100%.
</t>
        </r>
      </text>
    </comment>
    <comment ref="F78" authorId="2" shapeId="0" xr:uid="{BA4E4187-22C7-4106-BB0D-C09D70A245F1}">
      <text>
        <r>
          <rPr>
            <sz val="9"/>
            <color indexed="81"/>
            <rFont val="Segoe UI"/>
            <family val="2"/>
          </rPr>
          <t>Percentual fixo</t>
        </r>
      </text>
    </comment>
    <comment ref="C79" authorId="2" shapeId="0" xr:uid="{282D6F91-0D5B-4827-BDA5-AB5D7C5290DA}">
      <text>
        <r>
          <rPr>
            <sz val="9"/>
            <color indexed="81"/>
            <rFont val="Segoe UI"/>
            <family val="2"/>
          </rPr>
          <t>(Remuneração +13º salário + Férias e Adicional de férias + FGTS + Benefícios) ÷ 12 meses</t>
        </r>
      </text>
    </comment>
    <comment ref="F79" authorId="2" shapeId="0" xr:uid="{4663DFF7-8705-44CB-ACA7-665811DAE6DD}">
      <text>
        <r>
          <rPr>
            <sz val="9"/>
            <color indexed="81"/>
            <rFont val="Segoe UI"/>
            <family val="2"/>
          </rPr>
          <t>Valor fixo</t>
        </r>
      </text>
    </comment>
    <comment ref="G79" authorId="2" shapeId="0" xr:uid="{57A159E2-B0DA-4FFB-96D3-3BF744F2556A}">
      <text>
        <r>
          <rPr>
            <sz val="9"/>
            <color indexed="81"/>
            <rFont val="Segoe UI"/>
            <family val="2"/>
          </rPr>
          <t>Lei nº 12.506, de 2011.
“Art. 1º O aviso prévio, de que trata o Capítulo VI do Título IV da Consolidação das Leis do Trabalho - CLT, aprovada pelo Decreto-Lei nº 5.452, de 1º de maio de 1943, será concedido na proporção de 30 (trinta) dias aos empregados que contem até 1 (um) ano de serviço na mesma empresa.
Parágrafo único. Ao aviso prévio previsto neste artigo serão acrescidos 3 (três) dias por ano de serviço prestado na mesma empresa, até o máximo de 60 (sessenta) dias, perfazendo um total de até 90 (noventa) dias.”</t>
        </r>
      </text>
    </comment>
    <comment ref="B83" authorId="0" shapeId="0" xr:uid="{6DC2E057-4146-4275-AE6C-0A7682BAD20B}">
      <text>
        <r>
          <rPr>
            <sz val="9"/>
            <color indexed="81"/>
            <rFont val="Segoe UI"/>
            <family val="2"/>
          </rPr>
          <t>Nota 1: Os itens que contemplam o módulo 4 se referem ao custo dos dias trabalhados pelo repositor/substituto, quando o empregado alocado na prestação de serviço estiver ausente, conforme as previsões estabelecidas na legislação.</t>
        </r>
      </text>
    </comment>
    <comment ref="G85" authorId="0" shapeId="0" xr:uid="{F9FE4174-412D-4457-82C7-B708B5B033E5}">
      <text>
        <r>
          <rPr>
            <sz val="9"/>
            <color indexed="81"/>
            <rFont val="Segoe UI"/>
            <family val="2"/>
          </rPr>
          <t xml:space="preserve">Estimativa de dias:
Férias – 30 dias/ano
Ausências Legais – 2,96 faltas/ano
Licença Paternidade – 0,075 (5 dias/ano * 1,5% incidência)
Ausência por Acidente de Trabalho – 1,2 (15 dia/ano * 8% incidência)
Afastamento Maternidade – 2,4 (4 meses/ano * 2% incidência)
Outras Ausências - 1 falta/ano
Total de 38 dias (aproximadamente) de ausência ao ano.
</t>
        </r>
      </text>
    </comment>
    <comment ref="G86" authorId="2" shapeId="0" xr:uid="{B1FE9799-0123-40D6-9B09-4C7530A9F28D}">
      <text>
        <r>
          <rPr>
            <sz val="9"/>
            <color indexed="81"/>
            <rFont val="Segoe UI"/>
            <family val="2"/>
          </rPr>
          <t xml:space="preserve">Quantidade </t>
        </r>
        <r>
          <rPr>
            <b/>
            <sz val="9"/>
            <color indexed="81"/>
            <rFont val="Segoe UI"/>
            <family val="2"/>
          </rPr>
          <t>fixa</t>
        </r>
        <r>
          <rPr>
            <sz val="9"/>
            <color indexed="81"/>
            <rFont val="Segoe UI"/>
            <family val="2"/>
          </rPr>
          <t xml:space="preserve"> de dias = 30</t>
        </r>
      </text>
    </comment>
    <comment ref="G87" authorId="0" shapeId="0" xr:uid="{D8ADF144-2E52-4955-8B5E-76740008F5D8}">
      <text>
        <r>
          <rPr>
            <sz val="9"/>
            <color indexed="81"/>
            <rFont val="Segoe UI"/>
            <family val="2"/>
          </rPr>
          <t>Necessidade da empresa, de acordo com as probabilidades consignadas em sua proposta, de um repositor durante o ano (em dias).</t>
        </r>
      </text>
    </comment>
    <comment ref="C88" authorId="2" shapeId="0" xr:uid="{B9777BC9-280C-4B96-AA05-F17846032223}">
      <text>
        <r>
          <rPr>
            <sz val="9"/>
            <color indexed="81"/>
            <rFont val="Segoe UI"/>
            <family val="2"/>
          </rPr>
          <t>(Módulo 1 + Módulo 2 + Módulo 3) ÷ 30 dias</t>
        </r>
      </text>
    </comment>
    <comment ref="G92" authorId="0" shapeId="0" xr:uid="{68481641-D9C4-453E-9B24-328F552D911A}">
      <text>
        <r>
          <rPr>
            <sz val="9"/>
            <color indexed="81"/>
            <rFont val="Segoe UI"/>
            <family val="2"/>
          </rPr>
          <t xml:space="preserve">Dias necessários para substituição.
</t>
        </r>
      </text>
    </comment>
    <comment ref="B103" authorId="0" shapeId="0" xr:uid="{ED640FB1-2D17-41E3-9084-E5DB18814A0B}">
      <text>
        <r>
          <rPr>
            <sz val="9"/>
            <color indexed="81"/>
            <rFont val="Segoe UI"/>
            <family val="2"/>
          </rPr>
          <t>Nota: Valores mensais por posto</t>
        </r>
      </text>
    </comment>
  </commentList>
</comments>
</file>

<file path=xl/sharedStrings.xml><?xml version="1.0" encoding="utf-8"?>
<sst xmlns="http://schemas.openxmlformats.org/spreadsheetml/2006/main" count="854" uniqueCount="210">
  <si>
    <t>Adicional Noturno</t>
  </si>
  <si>
    <t>%</t>
  </si>
  <si>
    <t>Outros (especificar)</t>
  </si>
  <si>
    <t>Lucro</t>
  </si>
  <si>
    <t>A</t>
  </si>
  <si>
    <t>B</t>
  </si>
  <si>
    <t>C</t>
  </si>
  <si>
    <t>D</t>
  </si>
  <si>
    <t>E</t>
  </si>
  <si>
    <t>F</t>
  </si>
  <si>
    <t>G</t>
  </si>
  <si>
    <t>H</t>
  </si>
  <si>
    <t>Materiais</t>
  </si>
  <si>
    <t>Equipamentos</t>
  </si>
  <si>
    <t>4.1</t>
  </si>
  <si>
    <t>4.2</t>
  </si>
  <si>
    <t>Custos Indiretos</t>
  </si>
  <si>
    <t>Salário Base</t>
  </si>
  <si>
    <t>PIS</t>
  </si>
  <si>
    <t>COFINS</t>
  </si>
  <si>
    <t>ISS</t>
  </si>
  <si>
    <t>C.1</t>
  </si>
  <si>
    <t>C.2</t>
  </si>
  <si>
    <t>C.3</t>
  </si>
  <si>
    <t xml:space="preserve">Adicional Periculosidade </t>
  </si>
  <si>
    <t>Adicional Insalubridade</t>
  </si>
  <si>
    <t>13º Salário, Férias e Adicional de Férias</t>
  </si>
  <si>
    <t>GPS, FGTS e Outras Contribuições</t>
  </si>
  <si>
    <t>SESC ou SESI</t>
  </si>
  <si>
    <t xml:space="preserve">INSS </t>
  </si>
  <si>
    <t xml:space="preserve">Salário Educação </t>
  </si>
  <si>
    <t xml:space="preserve">SENAI - SENAC </t>
  </si>
  <si>
    <t xml:space="preserve">SEBRAE </t>
  </si>
  <si>
    <t xml:space="preserve">INCRA </t>
  </si>
  <si>
    <t xml:space="preserve">FGTS </t>
  </si>
  <si>
    <t>Submódulo 2.1 - 13º Salário, Férias e Adicional de Férias</t>
  </si>
  <si>
    <t>Submódulo 2.3 - Benefícios Mensais e Diários</t>
  </si>
  <si>
    <t>2.1</t>
  </si>
  <si>
    <t>2.2</t>
  </si>
  <si>
    <t>2.3</t>
  </si>
  <si>
    <t>Benefícios Mensais e Diários</t>
  </si>
  <si>
    <t>Ausências Legais</t>
  </si>
  <si>
    <t>Módulo 4 - Custo de Reposição do Profissional Ausente</t>
  </si>
  <si>
    <t>Intrajornada</t>
  </si>
  <si>
    <t xml:space="preserve">Uniformes </t>
  </si>
  <si>
    <t>Subtotal (A + B + C + D + E)</t>
  </si>
  <si>
    <t xml:space="preserve">Transporte </t>
  </si>
  <si>
    <t xml:space="preserve">Auxílio-Refeição/Alimentação  </t>
  </si>
  <si>
    <t>Valor (R$)</t>
  </si>
  <si>
    <t>PLANILHA DE CUSTOS E FORMAÇÃO DE PREÇOS</t>
  </si>
  <si>
    <t xml:space="preserve">Dados para composição dos custos referentes a mão de obra </t>
  </si>
  <si>
    <t xml:space="preserve">Tipo de Serviço (mesmo serviço com características distintas) </t>
  </si>
  <si>
    <t xml:space="preserve">Classificação Brasileira de Ocupações (CBO) </t>
  </si>
  <si>
    <t xml:space="preserve">Salário Normativo da Categoria Profissional </t>
  </si>
  <si>
    <t>Data-Base da Categoria (dia/mês/ano)</t>
  </si>
  <si>
    <t xml:space="preserve">Ano do Acordo, Convenção ou Dissídio Coletivo: </t>
  </si>
  <si>
    <t>Indicação dos sindicatos, acordos coletivos ou convenções coletivas</t>
  </si>
  <si>
    <t>Composição da Remuneração</t>
  </si>
  <si>
    <t>Total</t>
  </si>
  <si>
    <t>Provisão para Rescisão</t>
  </si>
  <si>
    <t>Insumos Diversos</t>
  </si>
  <si>
    <t>Custos Indiretos, Tributos e Lucro</t>
  </si>
  <si>
    <t>Férias e Adicional de Férias</t>
  </si>
  <si>
    <t>Módulo 1 - COMPOSIÇÃO DA REMUNERAÇÃO</t>
  </si>
  <si>
    <t>Módulo 2 - ENCARGOS E BENEFÍCIOS ANUAIS, MENSAIS E DIÁRIOS</t>
  </si>
  <si>
    <t>Submódulo 2.2 - Encargos Previdenciários (GPS), Fundo de Garantia por Tempo de Serviço (FGTS) e outras contribuições</t>
  </si>
  <si>
    <t>GPS, FGTS e outras contribuições</t>
  </si>
  <si>
    <t>Encargos e Benefícios Anuais, Mensais e Diários</t>
  </si>
  <si>
    <t>Quadro-Resumo do Módulo 2 - Encargos e Benefícios anuais, mensais e diários</t>
  </si>
  <si>
    <t>Módulo 3 - PROVISÃO PARA RESCISÃO</t>
  </si>
  <si>
    <t>Módulo 4 - CUSTO DE REPOSIÇÃO DO PROFISSIONAL AUSENTE</t>
  </si>
  <si>
    <t>Quadro-Resumo do Módulo 4 - Custo De Reposição do Profissional Ausente</t>
  </si>
  <si>
    <t>Custo de Reposição do Profissional Ausente</t>
  </si>
  <si>
    <t>Módulo 5 - INSUMOS DIVERSOS</t>
  </si>
  <si>
    <t>Módulo 6 - CUSTOS INDIRETOS, TRIBUTOS E LUCRO</t>
  </si>
  <si>
    <t>VALOR TOTAL POR EMPREGADO</t>
  </si>
  <si>
    <t>Módulo 1 - Composição da Remuneração</t>
  </si>
  <si>
    <t>Módulo 2 - Encargos e Benefícios Anuais, Mensais e Diários</t>
  </si>
  <si>
    <t>Módulo 3 - Provisão para Rescisão</t>
  </si>
  <si>
    <t>Módulo 5 - Insumos Diversos</t>
  </si>
  <si>
    <t>Módulo 6 - Custos Indiretos, Tributos e Lucro</t>
  </si>
  <si>
    <t>Item</t>
  </si>
  <si>
    <t>Cargo</t>
  </si>
  <si>
    <t>Meses</t>
  </si>
  <si>
    <t>Valor Mensal</t>
  </si>
  <si>
    <t>Valor Total</t>
  </si>
  <si>
    <t>QUADRO RESUMO</t>
  </si>
  <si>
    <t>Submódulo 4.1 - Substituto nas Ausências Legais</t>
  </si>
  <si>
    <t>Substituto nas Ausências Legais</t>
  </si>
  <si>
    <t>Submódulo 4.2 - Substituto na Intrajornada</t>
  </si>
  <si>
    <t>Substituto na Intrajornada</t>
  </si>
  <si>
    <t>Substituto na cobertura de Intervalo para repouso ou alimentação</t>
  </si>
  <si>
    <t>Registro Eletrônico de Ponto</t>
  </si>
  <si>
    <t>Valor Unitário</t>
  </si>
  <si>
    <t>API com Probabilidade</t>
  </si>
  <si>
    <t>Aviso Prévio Indenizado - API</t>
  </si>
  <si>
    <t>Multa do FGTS do API</t>
  </si>
  <si>
    <t>APT com Probabilidade</t>
  </si>
  <si>
    <t>Multa do FGTS do APT</t>
  </si>
  <si>
    <t xml:space="preserve">FAP </t>
  </si>
  <si>
    <t>SAT - GIIL/RAT</t>
  </si>
  <si>
    <t xml:space="preserve">RAT </t>
  </si>
  <si>
    <t>Assistência médica e familiar</t>
  </si>
  <si>
    <t>Dias</t>
  </si>
  <si>
    <t>Valor Total por Empregado</t>
  </si>
  <si>
    <t>Tributos</t>
  </si>
  <si>
    <t>Total Custo Variável (Pagamento pelo Fato Gerador)</t>
  </si>
  <si>
    <t>Quant. h/mês</t>
  </si>
  <si>
    <r>
      <t>13º (Décimo-terceiro) salário</t>
    </r>
    <r>
      <rPr>
        <sz val="9"/>
        <color indexed="10"/>
        <rFont val="Tahoma"/>
        <family val="2"/>
      </rPr>
      <t xml:space="preserve"> </t>
    </r>
  </si>
  <si>
    <t>Custo diário do substituto</t>
  </si>
  <si>
    <t>CUSTO TOTAL MENSAL</t>
  </si>
  <si>
    <t>EQUIPAMENTOS</t>
  </si>
  <si>
    <t>Investimento</t>
  </si>
  <si>
    <t>Custo mensal por posto</t>
  </si>
  <si>
    <t>Quant. por posto</t>
  </si>
  <si>
    <t>BASE DE CÁLCULO DOS TRIBUTOS</t>
  </si>
  <si>
    <t>Mão de Obra vinculada à execução contratual (valor por posto)</t>
  </si>
  <si>
    <t>Memória de cálculo da hora extra</t>
  </si>
  <si>
    <t>Quant. de postos</t>
  </si>
  <si>
    <t>Quant. de equipamentos</t>
  </si>
  <si>
    <t>VALOR TOTAL</t>
  </si>
  <si>
    <t>Valor da hora extra</t>
  </si>
  <si>
    <t>Anexo II</t>
  </si>
  <si>
    <r>
      <t xml:space="preserve">Ref.: Pregão eletrônico nº </t>
    </r>
    <r>
      <rPr>
        <b/>
        <sz val="9"/>
        <color rgb="FFFF0000"/>
        <rFont val="Tahoma"/>
        <family val="2"/>
      </rPr>
      <t>XX</t>
    </r>
    <r>
      <rPr>
        <b/>
        <sz val="9"/>
        <rFont val="Tahoma"/>
        <family val="2"/>
      </rPr>
      <t>/202</t>
    </r>
    <r>
      <rPr>
        <b/>
        <sz val="9"/>
        <color rgb="FFFF0000"/>
        <rFont val="Tahoma"/>
        <family val="2"/>
      </rPr>
      <t>X</t>
    </r>
  </si>
  <si>
    <t>Os valores destinados ao pagamento de férias, décimo terceiro salário, ausências legais e verbas rescisórias dos empregados da contratada que participarem da execução dos serviços contratados serão efetuados pela contratante à contratada somente na ocorrência do fato gerador</t>
  </si>
  <si>
    <t>Pagamento Mensal Sem Fato Gerador</t>
  </si>
  <si>
    <t>Categoria Profissional (nome do cargo)</t>
  </si>
  <si>
    <t>1.A x 30%</t>
  </si>
  <si>
    <t>Tot.1</t>
  </si>
  <si>
    <t>Tot.1 x 8,33%</t>
  </si>
  <si>
    <t>Tot.2.1</t>
  </si>
  <si>
    <t>Tot.1 x 11,11%</t>
  </si>
  <si>
    <t>(Tot.1 + Tot.2.1) x 20%</t>
  </si>
  <si>
    <t>(Tot.1 + Tot.2.1) x 2,5%</t>
  </si>
  <si>
    <t>(Tot.1 + Tot.2.1) x 1,5%</t>
  </si>
  <si>
    <t>(Tot.1 + Tot.2.1) x 1%</t>
  </si>
  <si>
    <t>(Tot.1 + Tot.2.1) x 0,6%</t>
  </si>
  <si>
    <t>(Tot.1 + Tot.2.1) x 0,2%</t>
  </si>
  <si>
    <t>(Tot.1 + Tot.2.1) x 8%</t>
  </si>
  <si>
    <t>(Tot.1 + Tot.2.1) x (RAT x FAP)</t>
  </si>
  <si>
    <t>Tot.2.2</t>
  </si>
  <si>
    <t>Tot.2.3</t>
  </si>
  <si>
    <t>Tot.2</t>
  </si>
  <si>
    <t>(VT diário x 22 d.u.) - (1.A x 6%)</t>
  </si>
  <si>
    <t>(VR/VA x 22 d.u.) - (Custo do empregado)</t>
  </si>
  <si>
    <t>(Tot.1 + Tot.2 + Tot.3) ÷ 30 dias</t>
  </si>
  <si>
    <t>Tot.3</t>
  </si>
  <si>
    <t>Tot.4.1</t>
  </si>
  <si>
    <t>Tot.4.2</t>
  </si>
  <si>
    <t>Tot.4</t>
  </si>
  <si>
    <t>Tot.5</t>
  </si>
  <si>
    <t>Tot.6</t>
  </si>
  <si>
    <t>(4.1.C x 30 dias) ÷ 12 meses</t>
  </si>
  <si>
    <t>6.A + 6.B + 6.C.1 + 6.C.2 + 6.C.3</t>
  </si>
  <si>
    <t>Tot.7</t>
  </si>
  <si>
    <t>Tot.8</t>
  </si>
  <si>
    <t>Provisão para férias, 13º salário , ausências legais, Rescisão</t>
  </si>
  <si>
    <t>Tot.2.1 + Tot.3 + Tot.4.1</t>
  </si>
  <si>
    <t>Outros (ausências legais, paternidade,  acidente de trabalho, maternidade, outros)</t>
  </si>
  <si>
    <r>
      <t xml:space="preserve">(3.B + 3.C) x </t>
    </r>
    <r>
      <rPr>
        <sz val="8"/>
        <color rgb="FFFF0000"/>
        <rFont val="Tahoma"/>
        <family val="2"/>
      </rPr>
      <t>XX</t>
    </r>
    <r>
      <rPr>
        <sz val="8"/>
        <rFont val="Tahoma"/>
        <family val="2"/>
      </rPr>
      <t>%</t>
    </r>
  </si>
  <si>
    <r>
      <t xml:space="preserve">3.E x </t>
    </r>
    <r>
      <rPr>
        <sz val="8"/>
        <color rgb="FFFF0000"/>
        <rFont val="Tahoma"/>
        <family val="2"/>
      </rPr>
      <t>XX</t>
    </r>
    <r>
      <rPr>
        <sz val="8"/>
        <rFont val="Tahoma"/>
        <family val="2"/>
      </rPr>
      <t>%</t>
    </r>
  </si>
  <si>
    <r>
      <t xml:space="preserve">(4.1.C x </t>
    </r>
    <r>
      <rPr>
        <sz val="8"/>
        <color rgb="FFFF0000"/>
        <rFont val="Tahoma"/>
        <family val="2"/>
      </rPr>
      <t>XX</t>
    </r>
    <r>
      <rPr>
        <sz val="8"/>
        <rFont val="Tahoma"/>
        <family val="2"/>
      </rPr>
      <t xml:space="preserve"> dias) ÷ 12 meses</t>
    </r>
  </si>
  <si>
    <r>
      <t xml:space="preserve">7.F x </t>
    </r>
    <r>
      <rPr>
        <sz val="8"/>
        <color rgb="FFFF0000"/>
        <rFont val="Tahoma"/>
        <family val="2"/>
      </rPr>
      <t>XX</t>
    </r>
    <r>
      <rPr>
        <sz val="8"/>
        <rFont val="Tahoma"/>
        <family val="2"/>
      </rPr>
      <t>%</t>
    </r>
  </si>
  <si>
    <r>
      <t xml:space="preserve">(7.F + 6.A) x </t>
    </r>
    <r>
      <rPr>
        <sz val="8"/>
        <color rgb="FFFF0000"/>
        <rFont val="Tahoma"/>
        <family val="2"/>
      </rPr>
      <t>XX</t>
    </r>
    <r>
      <rPr>
        <sz val="8"/>
        <rFont val="Tahoma"/>
        <family val="2"/>
      </rPr>
      <t>%</t>
    </r>
  </si>
  <si>
    <r>
      <t xml:space="preserve">(7.F + 6.A + 6.B) ÷ </t>
    </r>
    <r>
      <rPr>
        <sz val="8"/>
        <color rgb="FFFF0000"/>
        <rFont val="Tahoma"/>
        <family val="2"/>
      </rPr>
      <t>XX</t>
    </r>
  </si>
  <si>
    <r>
      <t xml:space="preserve">6.C x </t>
    </r>
    <r>
      <rPr>
        <sz val="8"/>
        <color rgb="FFFF0000"/>
        <rFont val="Tahoma"/>
        <family val="2"/>
      </rPr>
      <t>XX</t>
    </r>
    <r>
      <rPr>
        <sz val="8"/>
        <rFont val="Tahoma"/>
        <family val="2"/>
      </rPr>
      <t>%</t>
    </r>
  </si>
  <si>
    <r>
      <t xml:space="preserve">(8.B + 8.C) x </t>
    </r>
    <r>
      <rPr>
        <sz val="8"/>
        <color rgb="FFFF0000"/>
        <rFont val="Tahoma"/>
        <family val="2"/>
      </rPr>
      <t>XX</t>
    </r>
    <r>
      <rPr>
        <sz val="8"/>
        <color theme="1"/>
        <rFont val="Tahoma"/>
        <family val="2"/>
      </rPr>
      <t>%</t>
    </r>
  </si>
  <si>
    <r>
      <t xml:space="preserve">(8.B + 8.C + 8.D) x </t>
    </r>
    <r>
      <rPr>
        <sz val="8"/>
        <color rgb="FFFF0000"/>
        <rFont val="Tahoma"/>
        <family val="2"/>
      </rPr>
      <t>XX</t>
    </r>
    <r>
      <rPr>
        <sz val="8"/>
        <color theme="1"/>
        <rFont val="Tahoma"/>
        <family val="2"/>
      </rPr>
      <t>%</t>
    </r>
  </si>
  <si>
    <t>7.F + 7.G</t>
  </si>
  <si>
    <t>7.A + 7.B + 7.C + 7.D + 7.E</t>
  </si>
  <si>
    <r>
      <t xml:space="preserve">1.A x </t>
    </r>
    <r>
      <rPr>
        <sz val="8"/>
        <color rgb="FFFF0000"/>
        <rFont val="Tahoma"/>
        <family val="2"/>
      </rPr>
      <t>XX</t>
    </r>
    <r>
      <rPr>
        <sz val="8"/>
        <rFont val="Tahoma"/>
        <family val="2"/>
      </rPr>
      <t xml:space="preserve">% </t>
    </r>
    <r>
      <rPr>
        <sz val="8"/>
        <color rgb="FFFF0000"/>
        <rFont val="Tahoma"/>
        <family val="2"/>
      </rPr>
      <t>(10%, 20% ou 40%)</t>
    </r>
  </si>
  <si>
    <t>2.2.H x 40%</t>
  </si>
  <si>
    <t>Encargos Previdenciários, FGTS e outras contribuições</t>
  </si>
  <si>
    <t>8.A - 8.G</t>
  </si>
  <si>
    <r>
      <t xml:space="preserve">(8.B + 8.C + 8.D + 8.E) x </t>
    </r>
    <r>
      <rPr>
        <sz val="8"/>
        <color rgb="FFFF0000"/>
        <rFont val="Tahoma"/>
        <family val="2"/>
      </rPr>
      <t>XX</t>
    </r>
    <r>
      <rPr>
        <sz val="8"/>
        <color theme="1"/>
        <rFont val="Tahoma"/>
        <family val="2"/>
      </rPr>
      <t>%</t>
    </r>
  </si>
  <si>
    <t>8.B + 8.C + 8.D + 8.E + 8.F</t>
  </si>
  <si>
    <t>Aviso Prévio - Lei nº 12.506/2011, Art. 1º</t>
  </si>
  <si>
    <t>[(1.A + 1.B) x 20%]/220h x 8h x nº dias trabalhados mês</t>
  </si>
  <si>
    <t>(Tot.1 + Tot.2.1 + 2.2.H + Tot.2.3 - 2.3.A) ÷ 12 meses</t>
  </si>
  <si>
    <t>Tot. 2.1 x Encargos % 2.2</t>
  </si>
  <si>
    <r>
      <t xml:space="preserve">(Tot.1 + Tot.2 + Tot.3) ÷ 220h x (1+50%) x </t>
    </r>
    <r>
      <rPr>
        <sz val="8"/>
        <color rgb="FFFF0000"/>
        <rFont val="Tahoma"/>
        <family val="2"/>
      </rPr>
      <t>XX</t>
    </r>
    <r>
      <rPr>
        <sz val="8"/>
        <rFont val="Tahoma"/>
        <family val="2"/>
      </rPr>
      <t xml:space="preserve"> dias</t>
    </r>
  </si>
  <si>
    <r>
      <t>[Local]</t>
    </r>
    <r>
      <rPr>
        <sz val="9"/>
        <rFont val="Tahoma"/>
        <family val="2"/>
      </rPr>
      <t xml:space="preserve">, </t>
    </r>
    <r>
      <rPr>
        <sz val="9"/>
        <color rgb="FFFF0000"/>
        <rFont val="Tahoma"/>
        <family val="2"/>
      </rPr>
      <t>XX</t>
    </r>
    <r>
      <rPr>
        <sz val="9"/>
        <rFont val="Tahoma"/>
        <family val="2"/>
      </rPr>
      <t xml:space="preserve"> de </t>
    </r>
    <r>
      <rPr>
        <sz val="9"/>
        <color rgb="FFFF0000"/>
        <rFont val="Tahoma"/>
        <family val="2"/>
      </rPr>
      <t>XXXXXX</t>
    </r>
    <r>
      <rPr>
        <sz val="9"/>
        <rFont val="Tahoma"/>
        <family val="2"/>
      </rPr>
      <t xml:space="preserve"> de </t>
    </r>
    <r>
      <rPr>
        <sz val="9"/>
        <color rgb="FFFF0000"/>
        <rFont val="Tahoma"/>
        <family val="2"/>
      </rPr>
      <t>XXXX</t>
    </r>
    <r>
      <rPr>
        <sz val="9"/>
        <rFont val="Tahoma"/>
        <family val="2"/>
      </rPr>
      <t>.</t>
    </r>
  </si>
  <si>
    <t>________________________________________</t>
  </si>
  <si>
    <t>[Assinatura do Representante legal]</t>
  </si>
  <si>
    <t xml:space="preserve"> Nome: ___________________</t>
  </si>
  <si>
    <t xml:space="preserve"> Cargo: ___________________</t>
  </si>
  <si>
    <t>CPF: ____________________</t>
  </si>
  <si>
    <t>Preencher apenas as células em amarelo e substituir os caracteres em vermelho</t>
  </si>
  <si>
    <t>CUSTO POR EMPREGADO</t>
  </si>
  <si>
    <t>Módulo 7 - QUADRO-RESUMO DO CUSTO POR EMPREGADO</t>
  </si>
  <si>
    <t>PAGAMENTO MÍNIMO MENSAL SEM FATO GERADOR E/OU OUTRAS OCORRÊNCIAS</t>
  </si>
  <si>
    <t>Módulo 8- QUADRO-RESUMO DO PAGAMENTO MENSAL SEM FATO GERADOR E/OU OUTRAS OCORRÊNCIAS</t>
  </si>
  <si>
    <t>Prazo de depreciação do equipamento (meses)</t>
  </si>
  <si>
    <t>Contrato inicial</t>
  </si>
  <si>
    <t>{[(Tot.1+Tot.2.1+Tot.2.2)÷30 dias] x 3 dias} ÷ 12 meses</t>
  </si>
  <si>
    <t>Sal. Mínimo</t>
  </si>
  <si>
    <t>O proponente declara:
a) que as informações prestadas são verídicas, assumindo a responsabilidade integral por eventuais erros no enquadramento sindical ou fraude pela utilização de instrumento coletivo incompatível com o enquadramento sindical declarado, e por qualquer ônus decorrente de reenquadramentos que ocorram durante a vigência contratual, sujeitando-se às sanções previstas na Lei 13.303/16.
b) que a proposta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e que foi elaborada de forma independente.</t>
  </si>
  <si>
    <t>Seguem em anexo:
a) cópia da carta ou do registro sindical do sindicato ao qual este Licitante declara ser enquadrado.
b) cópia do Acordo, Convenção Coletiva de Trabalho ou Dissídio Coletivo utilizado por este Licitante para a elaboração da planilha de custos e formação de preços que embasam o valor global ofertado. 
c) documento comprobatório do RAT.</t>
  </si>
  <si>
    <r>
      <t xml:space="preserve">Segue a indicação do enquadramento sindical do licitante, relacionando qual a atividade econômica preponderante e a justificativa para adoção do instrumento coletivo do trabalho em que se baseia a proposta: </t>
    </r>
    <r>
      <rPr>
        <sz val="9"/>
        <color rgb="FFFF0000"/>
        <rFont val="Tahoma"/>
        <family val="2"/>
      </rPr>
      <t>XXXX</t>
    </r>
  </si>
  <si>
    <r>
      <t xml:space="preserve">VALIDADE DA PROPOSTA: </t>
    </r>
    <r>
      <rPr>
        <sz val="9"/>
        <color rgb="FFFF0000"/>
        <rFont val="Tahoma"/>
        <family val="2"/>
      </rPr>
      <t>XX</t>
    </r>
    <r>
      <rPr>
        <sz val="9"/>
        <rFont val="Tahoma"/>
        <family val="2"/>
      </rPr>
      <t xml:space="preserve"> (</t>
    </r>
    <r>
      <rPr>
        <sz val="9"/>
        <color rgb="FFFF0000"/>
        <rFont val="Tahoma"/>
        <family val="2"/>
      </rPr>
      <t>XXXX</t>
    </r>
    <r>
      <rPr>
        <sz val="9"/>
        <rFont val="Tahoma"/>
        <family val="2"/>
      </rPr>
      <t>) dias, a contar do dia da sessão de recebimento da mesma (observar o subitem 6.5 do Edital).</t>
    </r>
  </si>
  <si>
    <t>Substituto nas férias</t>
  </si>
  <si>
    <t>Arquivista</t>
  </si>
  <si>
    <t>Auxiliar de Arquivo</t>
  </si>
  <si>
    <t>Supervisor de Equipe</t>
  </si>
  <si>
    <t xml:space="preserve">Quantidade (Posto) </t>
  </si>
  <si>
    <r>
      <t>OBJETO:</t>
    </r>
    <r>
      <rPr>
        <sz val="9"/>
        <rFont val="Tahoma"/>
        <family val="2"/>
      </rPr>
      <t xml:space="preserve"> Serviços Arquivísticos, com dedicação exclusiva de mão de obra necessária às rotinas relacionadas à gestão documental para a Finep Rio de Janeiro.</t>
    </r>
  </si>
  <si>
    <t>CBO 261305</t>
  </si>
  <si>
    <t>CBO 415105</t>
  </si>
  <si>
    <t>-</t>
  </si>
  <si>
    <t>Não há.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</si>
</sst>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0.00_ ;\-#,##0.00\ "/>
    <numFmt numFmtId="166" formatCode="#,##0_ ;\-#,##0\ "/>
    <numFmt numFmtId="167" formatCode="&quot;R$&quot;\ #,##0.00"/>
  </numFmts>
  <fonts count="29"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Tahoma"/>
      <family val="2"/>
    </font>
    <font>
      <sz val="9"/>
      <name val="Tahoma"/>
      <family val="2"/>
    </font>
    <font>
      <b/>
      <sz val="10"/>
      <name val="Tahoma"/>
      <family val="2"/>
    </font>
    <font>
      <b/>
      <sz val="9"/>
      <color rgb="FFFF0000"/>
      <name val="Tahoma"/>
      <family val="2"/>
    </font>
    <font>
      <sz val="9"/>
      <color indexed="10"/>
      <name val="Tahoma"/>
      <family val="2"/>
    </font>
    <font>
      <sz val="9"/>
      <color rgb="FFFF0000"/>
      <name val="Tahoma"/>
      <family val="2"/>
    </font>
    <font>
      <b/>
      <sz val="11"/>
      <color theme="1"/>
      <name val="Tahoma"/>
      <family val="2"/>
    </font>
    <font>
      <sz val="8"/>
      <color theme="1"/>
      <name val="Tahoma"/>
      <family val="2"/>
    </font>
    <font>
      <sz val="9"/>
      <color theme="1"/>
      <name val="Tahoma"/>
      <family val="2"/>
    </font>
    <font>
      <b/>
      <sz val="9"/>
      <color theme="1"/>
      <name val="Tahoma"/>
      <family val="2"/>
    </font>
    <font>
      <sz val="8"/>
      <name val="Tahoma"/>
      <family val="2"/>
    </font>
    <font>
      <sz val="8"/>
      <color rgb="FFFF0000"/>
      <name val="Tahoma"/>
      <family val="2"/>
    </font>
    <font>
      <b/>
      <sz val="8"/>
      <color rgb="FFFF0000"/>
      <name val="Tahoma"/>
      <family val="2"/>
    </font>
    <font>
      <b/>
      <sz val="9"/>
      <color theme="3"/>
      <name val="Tahoma"/>
      <family val="2"/>
    </font>
    <font>
      <sz val="9"/>
      <color indexed="8"/>
      <name val="Tahoma"/>
      <family val="2"/>
    </font>
    <font>
      <b/>
      <sz val="8"/>
      <name val="Tahoma"/>
      <family val="2"/>
    </font>
    <font>
      <sz val="9"/>
      <color indexed="81"/>
      <name val="Segoe UI"/>
      <family val="2"/>
    </font>
    <font>
      <b/>
      <sz val="9"/>
      <color indexed="81"/>
      <name val="Segoe UI"/>
      <family val="2"/>
    </font>
    <font>
      <b/>
      <sz val="11"/>
      <name val="Tahoma"/>
      <family val="2"/>
    </font>
    <font>
      <b/>
      <sz val="8"/>
      <color theme="1"/>
      <name val="Tahoma"/>
      <family val="2"/>
    </font>
    <font>
      <sz val="7.5"/>
      <name val="Tahoma"/>
      <family val="2"/>
    </font>
    <font>
      <sz val="9"/>
      <color theme="3"/>
      <name val="Tahoma"/>
      <family val="2"/>
    </font>
    <font>
      <sz val="9"/>
      <color indexed="81"/>
      <name val="Segoe UI"/>
      <charset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14">
    <xf numFmtId="0" fontId="0" fillId="0" borderId="0"/>
    <xf numFmtId="164" fontId="3" fillId="0" borderId="0" applyFill="0" applyBorder="0" applyAlignment="0" applyProtection="0"/>
    <xf numFmtId="9" fontId="3" fillId="0" borderId="0" applyFill="0" applyBorder="0" applyAlignment="0" applyProtection="0"/>
    <xf numFmtId="43"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cellStyleXfs>
  <cellXfs count="261">
    <xf numFmtId="0" fontId="0" fillId="0" borderId="0" xfId="0"/>
    <xf numFmtId="0" fontId="14" fillId="0" borderId="0" xfId="0" applyFont="1" applyAlignment="1">
      <alignment vertical="center"/>
    </xf>
    <xf numFmtId="0" fontId="7" fillId="0" borderId="0" xfId="0" applyFont="1" applyAlignment="1">
      <alignment horizontal="center" vertical="center" wrapText="1"/>
    </xf>
    <xf numFmtId="0" fontId="14" fillId="5" borderId="1" xfId="0" applyFont="1" applyFill="1" applyBorder="1" applyAlignment="1">
      <alignment horizontal="center" vertical="center" wrapText="1"/>
    </xf>
    <xf numFmtId="8" fontId="6" fillId="0" borderId="1" xfId="0" applyNumberFormat="1" applyFont="1" applyBorder="1" applyAlignment="1">
      <alignment vertical="center"/>
    </xf>
    <xf numFmtId="0" fontId="20" fillId="6" borderId="17" xfId="0" applyFont="1" applyFill="1" applyBorder="1" applyAlignment="1">
      <alignment horizontal="center" vertical="center"/>
    </xf>
    <xf numFmtId="165" fontId="14" fillId="5" borderId="1" xfId="0" applyNumberFormat="1" applyFont="1" applyFill="1" applyBorder="1" applyAlignment="1">
      <alignment vertical="center"/>
    </xf>
    <xf numFmtId="10" fontId="14" fillId="0" borderId="1" xfId="2" applyNumberFormat="1" applyFont="1" applyBorder="1" applyAlignment="1">
      <alignment horizontal="center" vertical="center" wrapText="1"/>
    </xf>
    <xf numFmtId="0" fontId="6" fillId="0" borderId="8" xfId="0" applyFont="1" applyBorder="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6" fillId="0" borderId="1" xfId="0" applyFont="1" applyBorder="1" applyAlignment="1">
      <alignment horizontal="center" vertical="center"/>
    </xf>
    <xf numFmtId="0" fontId="7" fillId="3" borderId="1" xfId="0" applyFont="1" applyFill="1" applyBorder="1" applyAlignment="1">
      <alignment vertical="center"/>
    </xf>
    <xf numFmtId="43" fontId="7" fillId="0" borderId="1" xfId="3" applyFont="1" applyBorder="1" applyAlignment="1">
      <alignment vertical="center"/>
    </xf>
    <xf numFmtId="43" fontId="6" fillId="3" borderId="1" xfId="3" applyFont="1" applyFill="1" applyBorder="1" applyAlignment="1">
      <alignment vertical="center"/>
    </xf>
    <xf numFmtId="43" fontId="6" fillId="0" borderId="0" xfId="3" applyFont="1" applyFill="1" applyBorder="1" applyAlignment="1">
      <alignment vertical="center"/>
    </xf>
    <xf numFmtId="10" fontId="7" fillId="0" borderId="1" xfId="0" applyNumberFormat="1" applyFont="1" applyBorder="1" applyAlignment="1">
      <alignment horizontal="center" vertical="center"/>
    </xf>
    <xf numFmtId="43" fontId="7" fillId="0" borderId="1" xfId="3" applyFont="1" applyFill="1" applyBorder="1" applyAlignment="1">
      <alignment vertical="center"/>
    </xf>
    <xf numFmtId="10" fontId="6" fillId="3" borderId="1" xfId="0" applyNumberFormat="1" applyFont="1" applyFill="1" applyBorder="1" applyAlignment="1">
      <alignment horizontal="center" vertical="center"/>
    </xf>
    <xf numFmtId="10" fontId="6" fillId="3" borderId="13" xfId="0" applyNumberFormat="1" applyFont="1" applyFill="1" applyBorder="1" applyAlignment="1">
      <alignment horizontal="center" vertical="center"/>
    </xf>
    <xf numFmtId="43" fontId="6" fillId="0" borderId="1" xfId="3" applyFont="1" applyFill="1" applyBorder="1" applyAlignment="1">
      <alignment vertical="center"/>
    </xf>
    <xf numFmtId="10" fontId="11" fillId="0" borderId="1" xfId="0" applyNumberFormat="1" applyFont="1" applyBorder="1" applyAlignment="1">
      <alignment horizontal="center" vertical="center"/>
    </xf>
    <xf numFmtId="0" fontId="16" fillId="0" borderId="0" xfId="0" applyFont="1" applyAlignment="1">
      <alignment horizontal="left" vertical="center" wrapText="1"/>
    </xf>
    <xf numFmtId="43" fontId="7" fillId="0" borderId="1" xfId="3" applyFont="1" applyFill="1" applyBorder="1" applyAlignment="1">
      <alignment horizontal="center" vertical="center"/>
    </xf>
    <xf numFmtId="2" fontId="6" fillId="0" borderId="0" xfId="0" applyNumberFormat="1" applyFont="1" applyAlignment="1">
      <alignment vertical="center"/>
    </xf>
    <xf numFmtId="0" fontId="6" fillId="3" borderId="1" xfId="0" applyFont="1" applyFill="1" applyBorder="1" applyAlignment="1">
      <alignment vertical="center"/>
    </xf>
    <xf numFmtId="164" fontId="6" fillId="3" borderId="1" xfId="1" applyFont="1" applyFill="1" applyBorder="1" applyAlignment="1">
      <alignment vertical="center"/>
    </xf>
    <xf numFmtId="2" fontId="5" fillId="0" borderId="0" xfId="0" applyNumberFormat="1" applyFont="1" applyAlignment="1">
      <alignment vertical="center"/>
    </xf>
    <xf numFmtId="43" fontId="7" fillId="7" borderId="1" xfId="3" applyFont="1" applyFill="1" applyBorder="1" applyAlignment="1">
      <alignment vertical="center"/>
    </xf>
    <xf numFmtId="10" fontId="7" fillId="7" borderId="1" xfId="2" applyNumberFormat="1" applyFont="1" applyFill="1" applyBorder="1" applyAlignment="1">
      <alignment horizontal="center" vertical="center"/>
    </xf>
    <xf numFmtId="43" fontId="7" fillId="0" borderId="1" xfId="0" applyNumberFormat="1" applyFont="1" applyBorder="1" applyAlignment="1">
      <alignment vertical="center"/>
    </xf>
    <xf numFmtId="9"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43" fontId="7" fillId="7" borderId="1" xfId="3" applyFont="1" applyFill="1" applyBorder="1" applyAlignment="1">
      <alignment horizontal="right" vertical="center"/>
    </xf>
    <xf numFmtId="10" fontId="7" fillId="7"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4" fontId="15" fillId="4" borderId="1" xfId="0" applyNumberFormat="1" applyFont="1" applyFill="1" applyBorder="1" applyAlignment="1">
      <alignment horizontal="center" vertical="center" wrapText="1"/>
    </xf>
    <xf numFmtId="0" fontId="14" fillId="5" borderId="0" xfId="0" applyFont="1" applyFill="1" applyAlignment="1">
      <alignment horizontal="center" vertical="center" wrapText="1"/>
    </xf>
    <xf numFmtId="0" fontId="15" fillId="5" borderId="0" xfId="0" applyFont="1" applyFill="1" applyAlignment="1">
      <alignment horizontal="center" vertical="center" wrapText="1"/>
    </xf>
    <xf numFmtId="4" fontId="14" fillId="5" borderId="1" xfId="0" applyNumberFormat="1" applyFont="1" applyFill="1" applyBorder="1" applyAlignment="1">
      <alignment horizontal="center" vertical="center" wrapText="1"/>
    </xf>
    <xf numFmtId="3" fontId="14" fillId="5" borderId="1" xfId="0" applyNumberFormat="1" applyFont="1" applyFill="1" applyBorder="1" applyAlignment="1">
      <alignment horizontal="center" vertical="center" wrapText="1"/>
    </xf>
    <xf numFmtId="4" fontId="15" fillId="5" borderId="0" xfId="0" applyNumberFormat="1" applyFont="1" applyFill="1" applyAlignment="1">
      <alignment horizontal="center" vertical="center" wrapText="1"/>
    </xf>
    <xf numFmtId="4" fontId="14" fillId="7" borderId="1" xfId="0" applyNumberFormat="1" applyFont="1" applyFill="1" applyBorder="1" applyAlignment="1">
      <alignment horizontal="center" vertical="center" wrapText="1"/>
    </xf>
    <xf numFmtId="3" fontId="14" fillId="7" borderId="1" xfId="0" applyNumberFormat="1" applyFont="1" applyFill="1" applyBorder="1" applyAlignment="1">
      <alignment horizontal="center" vertical="center" wrapText="1"/>
    </xf>
    <xf numFmtId="10" fontId="7" fillId="7" borderId="1" xfId="0" applyNumberFormat="1" applyFont="1" applyFill="1" applyBorder="1" applyAlignment="1">
      <alignment horizontal="right" vertical="center"/>
    </xf>
    <xf numFmtId="10" fontId="7" fillId="7" borderId="1" xfId="2" applyNumberFormat="1" applyFont="1" applyFill="1" applyBorder="1" applyAlignment="1">
      <alignment horizontal="right" vertical="center"/>
    </xf>
    <xf numFmtId="0" fontId="7" fillId="3" borderId="1" xfId="2" applyNumberFormat="1" applyFont="1" applyFill="1" applyBorder="1" applyAlignment="1">
      <alignment horizontal="right" vertical="center"/>
    </xf>
    <xf numFmtId="43" fontId="7" fillId="0" borderId="1" xfId="3" applyFont="1" applyBorder="1" applyAlignment="1">
      <alignment horizontal="center" vertical="center"/>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7" fillId="0" borderId="0" xfId="0" applyFont="1" applyAlignment="1">
      <alignment vertical="center"/>
    </xf>
    <xf numFmtId="8" fontId="7" fillId="0" borderId="0" xfId="0" applyNumberFormat="1" applyFont="1" applyAlignment="1">
      <alignment vertical="center"/>
    </xf>
    <xf numFmtId="8" fontId="6" fillId="2" borderId="1" xfId="0" applyNumberFormat="1" applyFont="1" applyFill="1" applyBorder="1" applyAlignment="1">
      <alignment vertical="center"/>
    </xf>
    <xf numFmtId="2" fontId="7" fillId="7" borderId="1" xfId="0" applyNumberFormat="1" applyFont="1" applyFill="1" applyBorder="1" applyAlignment="1">
      <alignment horizontal="center" vertical="center"/>
    </xf>
    <xf numFmtId="0" fontId="6" fillId="0" borderId="0" xfId="0" applyFont="1" applyAlignment="1">
      <alignment vertical="center"/>
    </xf>
    <xf numFmtId="0" fontId="5" fillId="5" borderId="0" xfId="0" applyFont="1" applyFill="1" applyAlignment="1">
      <alignment vertical="center"/>
    </xf>
    <xf numFmtId="0" fontId="17" fillId="5" borderId="0" xfId="0" applyFont="1" applyFill="1" applyAlignment="1">
      <alignment vertical="center"/>
    </xf>
    <xf numFmtId="0" fontId="18" fillId="5" borderId="0" xfId="0" applyFont="1" applyFill="1" applyAlignment="1">
      <alignment horizontal="center" vertical="center"/>
    </xf>
    <xf numFmtId="0" fontId="6" fillId="5" borderId="0" xfId="0" applyFont="1" applyFill="1" applyAlignment="1">
      <alignment horizontal="left" vertical="center"/>
    </xf>
    <xf numFmtId="0" fontId="7" fillId="5" borderId="0" xfId="0" applyFont="1" applyFill="1" applyAlignment="1">
      <alignment horizontal="center" vertical="center"/>
    </xf>
    <xf numFmtId="0" fontId="8" fillId="5" borderId="0" xfId="0" applyFont="1" applyFill="1" applyAlignment="1">
      <alignment horizontal="left" vertical="center"/>
    </xf>
    <xf numFmtId="0" fontId="7" fillId="5" borderId="9" xfId="0" applyFont="1" applyFill="1" applyBorder="1" applyAlignment="1">
      <alignment vertical="center"/>
    </xf>
    <xf numFmtId="0" fontId="7" fillId="5" borderId="3" xfId="0" applyFont="1" applyFill="1" applyBorder="1" applyAlignment="1">
      <alignment vertical="center"/>
    </xf>
    <xf numFmtId="0" fontId="7" fillId="5" borderId="10" xfId="0" applyFont="1" applyFill="1" applyBorder="1" applyAlignment="1">
      <alignment vertical="center"/>
    </xf>
    <xf numFmtId="43" fontId="7" fillId="5" borderId="1" xfId="3" applyFont="1" applyFill="1" applyBorder="1" applyAlignment="1">
      <alignment vertical="center"/>
    </xf>
    <xf numFmtId="43" fontId="6" fillId="5" borderId="0" xfId="3" applyFont="1" applyFill="1" applyBorder="1" applyAlignment="1">
      <alignment vertical="center"/>
    </xf>
    <xf numFmtId="0" fontId="3" fillId="5" borderId="0" xfId="0" applyFont="1" applyFill="1" applyAlignment="1">
      <alignment vertical="center"/>
    </xf>
    <xf numFmtId="0" fontId="16" fillId="5" borderId="14" xfId="0" applyFont="1" applyFill="1" applyBorder="1" applyAlignment="1">
      <alignment horizontal="left" vertical="center" wrapText="1"/>
    </xf>
    <xf numFmtId="0" fontId="16" fillId="5" borderId="0" xfId="0" applyFont="1" applyFill="1" applyAlignment="1">
      <alignment horizontal="left" vertical="center" wrapText="1"/>
    </xf>
    <xf numFmtId="0" fontId="16" fillId="5" borderId="18" xfId="0" applyFont="1" applyFill="1" applyBorder="1" applyAlignment="1">
      <alignment horizontal="left" vertical="center" wrapText="1"/>
    </xf>
    <xf numFmtId="10" fontId="6" fillId="5" borderId="0" xfId="0" applyNumberFormat="1" applyFont="1" applyFill="1" applyAlignment="1">
      <alignment horizontal="center" vertical="center"/>
    </xf>
    <xf numFmtId="2" fontId="6" fillId="5" borderId="0" xfId="0" applyNumberFormat="1" applyFont="1" applyFill="1" applyAlignment="1">
      <alignment vertical="center"/>
    </xf>
    <xf numFmtId="0" fontId="4" fillId="5" borderId="0" xfId="0" applyFont="1" applyFill="1" applyAlignment="1">
      <alignment vertical="center"/>
    </xf>
    <xf numFmtId="0" fontId="7" fillId="0" borderId="11" xfId="0" applyFont="1" applyBorder="1" applyAlignment="1">
      <alignment vertical="center"/>
    </xf>
    <xf numFmtId="0" fontId="6" fillId="3" borderId="10" xfId="0" applyFont="1" applyFill="1" applyBorder="1" applyAlignment="1">
      <alignment vertical="center"/>
    </xf>
    <xf numFmtId="0" fontId="7" fillId="0" borderId="1" xfId="0" applyFont="1" applyBorder="1" applyAlignment="1">
      <alignment vertical="center"/>
    </xf>
    <xf numFmtId="0" fontId="6" fillId="0" borderId="9" xfId="0" applyFont="1" applyBorder="1" applyAlignment="1">
      <alignment vertical="center"/>
    </xf>
    <xf numFmtId="0" fontId="7" fillId="0" borderId="9" xfId="0" applyFont="1" applyBorder="1" applyAlignment="1">
      <alignment vertical="center" wrapText="1"/>
    </xf>
    <xf numFmtId="0" fontId="14" fillId="0" borderId="1" xfId="0" applyFont="1" applyBorder="1" applyAlignment="1">
      <alignment vertical="center" wrapText="1"/>
    </xf>
    <xf numFmtId="43" fontId="6" fillId="0" borderId="1" xfId="3" applyFont="1" applyFill="1" applyBorder="1" applyAlignment="1">
      <alignment horizontal="center" vertical="center"/>
    </xf>
    <xf numFmtId="0" fontId="6" fillId="3" borderId="9" xfId="0" applyFont="1" applyFill="1" applyBorder="1" applyAlignment="1">
      <alignment horizontal="center" vertical="center"/>
    </xf>
    <xf numFmtId="0" fontId="6" fillId="3" borderId="3" xfId="0" applyFont="1" applyFill="1" applyBorder="1" applyAlignment="1">
      <alignment horizontal="center" vertical="center"/>
    </xf>
    <xf numFmtId="0" fontId="15" fillId="2" borderId="1" xfId="0" applyFont="1" applyFill="1" applyBorder="1" applyAlignment="1">
      <alignment horizontal="center" vertical="center"/>
    </xf>
    <xf numFmtId="0" fontId="6" fillId="0" borderId="9" xfId="0" applyFont="1" applyBorder="1" applyAlignment="1">
      <alignment horizontal="center" vertical="center"/>
    </xf>
    <xf numFmtId="0" fontId="19" fillId="5" borderId="0" xfId="0" applyFont="1" applyFill="1" applyAlignment="1">
      <alignment horizontal="left" vertical="center"/>
    </xf>
    <xf numFmtId="0" fontId="7" fillId="0" borderId="9" xfId="0" applyFont="1" applyBorder="1" applyAlignment="1">
      <alignment vertical="center"/>
    </xf>
    <xf numFmtId="0" fontId="7" fillId="0" borderId="3" xfId="0" applyFont="1" applyBorder="1" applyAlignment="1">
      <alignment vertical="center"/>
    </xf>
    <xf numFmtId="0" fontId="6" fillId="3" borderId="1" xfId="0" applyFont="1" applyFill="1" applyBorder="1" applyAlignment="1">
      <alignment horizontal="center" vertical="center"/>
    </xf>
    <xf numFmtId="0" fontId="21" fillId="5" borderId="0" xfId="0" applyFont="1" applyFill="1" applyAlignment="1">
      <alignment horizontal="left" vertical="center"/>
    </xf>
    <xf numFmtId="0" fontId="6" fillId="5" borderId="12"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0" borderId="0" xfId="0" applyFont="1" applyAlignment="1">
      <alignment horizontal="center" vertical="center"/>
    </xf>
    <xf numFmtId="0" fontId="9" fillId="5" borderId="0" xfId="0" applyFont="1" applyFill="1" applyAlignment="1">
      <alignment horizontal="center" vertical="center"/>
    </xf>
    <xf numFmtId="43" fontId="7" fillId="0" borderId="0" xfId="3" applyFont="1" applyBorder="1" applyAlignment="1">
      <alignment vertical="center"/>
    </xf>
    <xf numFmtId="43" fontId="7" fillId="5" borderId="0" xfId="3" applyFont="1" applyFill="1" applyBorder="1" applyAlignment="1">
      <alignment vertical="center"/>
    </xf>
    <xf numFmtId="43" fontId="7" fillId="0" borderId="0" xfId="3" applyFont="1" applyBorder="1" applyAlignment="1">
      <alignment horizontal="center" vertical="center"/>
    </xf>
    <xf numFmtId="43" fontId="7" fillId="0" borderId="0" xfId="0" applyNumberFormat="1" applyFont="1" applyAlignment="1">
      <alignment vertical="center"/>
    </xf>
    <xf numFmtId="43" fontId="7" fillId="0" borderId="0" xfId="3" applyFont="1" applyFill="1" applyBorder="1" applyAlignment="1">
      <alignment vertical="center"/>
    </xf>
    <xf numFmtId="0" fontId="6" fillId="5" borderId="0" xfId="0" applyFont="1" applyFill="1" applyAlignment="1">
      <alignment horizontal="center" vertical="center" wrapText="1"/>
    </xf>
    <xf numFmtId="43" fontId="6" fillId="0" borderId="0" xfId="3" applyFont="1" applyFill="1" applyBorder="1" applyAlignment="1">
      <alignment horizontal="center" vertical="center"/>
    </xf>
    <xf numFmtId="43" fontId="7" fillId="0" borderId="0" xfId="3" applyFont="1" applyFill="1" applyBorder="1" applyAlignment="1">
      <alignment horizontal="center" vertical="center"/>
    </xf>
    <xf numFmtId="165" fontId="14" fillId="5" borderId="0" xfId="0" applyNumberFormat="1" applyFont="1" applyFill="1" applyAlignment="1">
      <alignment vertical="center"/>
    </xf>
    <xf numFmtId="165" fontId="11" fillId="0" borderId="0" xfId="1" applyNumberFormat="1" applyFont="1" applyBorder="1" applyAlignment="1">
      <alignment horizontal="right" vertical="center" wrapText="1"/>
    </xf>
    <xf numFmtId="0" fontId="11" fillId="0" borderId="0" xfId="0" applyFont="1" applyAlignment="1">
      <alignment horizontal="left" vertical="center" wrapText="1"/>
    </xf>
    <xf numFmtId="0" fontId="0" fillId="0" borderId="0" xfId="0" applyAlignment="1">
      <alignment vertical="center"/>
    </xf>
    <xf numFmtId="165" fontId="14" fillId="0" borderId="1" xfId="0" applyNumberFormat="1" applyFont="1" applyBorder="1" applyAlignment="1">
      <alignment vertical="center"/>
    </xf>
    <xf numFmtId="165" fontId="14" fillId="0" borderId="0" xfId="0" applyNumberFormat="1" applyFont="1" applyAlignment="1">
      <alignment vertical="center"/>
    </xf>
    <xf numFmtId="0" fontId="19"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horizontal="center" vertical="center" wrapText="1"/>
    </xf>
    <xf numFmtId="43" fontId="7" fillId="0" borderId="0" xfId="3" applyFont="1" applyFill="1" applyBorder="1" applyAlignment="1">
      <alignment horizontal="right" vertical="center"/>
    </xf>
    <xf numFmtId="164" fontId="6" fillId="0" borderId="0" xfId="1" applyFont="1" applyFill="1" applyBorder="1" applyAlignment="1">
      <alignment vertical="center"/>
    </xf>
    <xf numFmtId="165" fontId="15" fillId="0" borderId="0" xfId="0" applyNumberFormat="1" applyFont="1" applyAlignment="1">
      <alignment vertical="center"/>
    </xf>
    <xf numFmtId="43" fontId="6" fillId="0" borderId="0" xfId="0" applyNumberFormat="1"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6" fillId="3" borderId="10" xfId="0" applyFont="1" applyFill="1" applyBorder="1" applyAlignment="1">
      <alignment horizontal="center" vertical="center"/>
    </xf>
    <xf numFmtId="0" fontId="6" fillId="0" borderId="2" xfId="0" applyFont="1" applyBorder="1" applyAlignment="1">
      <alignment horizontal="center" vertical="center"/>
    </xf>
    <xf numFmtId="0" fontId="19" fillId="0" borderId="1" xfId="0" applyFont="1" applyBorder="1" applyAlignment="1">
      <alignment vertical="center" wrapText="1"/>
    </xf>
    <xf numFmtId="165" fontId="27" fillId="0" borderId="1" xfId="1" applyNumberFormat="1" applyFont="1" applyBorder="1" applyAlignment="1">
      <alignment horizontal="right" vertical="center" wrapText="1"/>
    </xf>
    <xf numFmtId="0" fontId="15" fillId="0" borderId="0" xfId="0" applyFont="1" applyAlignment="1">
      <alignment horizontal="center" vertical="center" wrapText="1"/>
    </xf>
    <xf numFmtId="4" fontId="14" fillId="0" borderId="0" xfId="0" applyNumberFormat="1" applyFont="1" applyAlignment="1">
      <alignment horizontal="center" vertical="center" wrapText="1"/>
    </xf>
    <xf numFmtId="0" fontId="12" fillId="0" borderId="0" xfId="0" applyFont="1" applyAlignment="1">
      <alignment vertical="center" wrapText="1"/>
    </xf>
    <xf numFmtId="0" fontId="14" fillId="0" borderId="1" xfId="0" applyFont="1" applyBorder="1" applyAlignment="1">
      <alignment horizontal="left" vertical="center" wrapText="1"/>
    </xf>
    <xf numFmtId="0" fontId="6" fillId="0" borderId="1" xfId="0" applyFont="1" applyBorder="1" applyAlignment="1">
      <alignment vertical="center"/>
    </xf>
    <xf numFmtId="0" fontId="16" fillId="5" borderId="0" xfId="0" applyFont="1" applyFill="1" applyAlignment="1">
      <alignment vertical="center"/>
    </xf>
    <xf numFmtId="0" fontId="27" fillId="0" borderId="11" xfId="0" applyFont="1" applyBorder="1" applyAlignment="1">
      <alignment vertical="center" wrapText="1"/>
    </xf>
    <xf numFmtId="0" fontId="6" fillId="3" borderId="2"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9" borderId="1" xfId="0" applyFont="1" applyFill="1" applyBorder="1" applyAlignment="1">
      <alignment horizontal="center" vertical="center"/>
    </xf>
    <xf numFmtId="0" fontId="6" fillId="5" borderId="8" xfId="0" applyFont="1" applyFill="1" applyBorder="1" applyAlignment="1">
      <alignment vertical="center" wrapText="1"/>
    </xf>
    <xf numFmtId="0" fontId="6" fillId="5" borderId="16" xfId="0" applyFont="1" applyFill="1" applyBorder="1" applyAlignment="1">
      <alignment vertical="center" wrapText="1"/>
    </xf>
    <xf numFmtId="10" fontId="7" fillId="0" borderId="2" xfId="0" applyNumberFormat="1" applyFont="1" applyBorder="1" applyAlignment="1">
      <alignment horizontal="center" vertical="center"/>
    </xf>
    <xf numFmtId="43" fontId="7" fillId="0" borderId="2" xfId="3" applyFont="1" applyFill="1" applyBorder="1" applyAlignment="1">
      <alignment vertical="center"/>
    </xf>
    <xf numFmtId="0" fontId="6" fillId="5" borderId="0" xfId="0" applyFont="1" applyFill="1" applyAlignment="1">
      <alignment vertical="center"/>
    </xf>
    <xf numFmtId="0" fontId="6" fillId="0" borderId="8" xfId="0" applyFont="1" applyBorder="1" applyAlignment="1">
      <alignment vertical="center"/>
    </xf>
    <xf numFmtId="0" fontId="6" fillId="0" borderId="16" xfId="0" applyFont="1" applyBorder="1" applyAlignment="1">
      <alignment vertical="center"/>
    </xf>
    <xf numFmtId="0" fontId="6" fillId="5" borderId="8" xfId="0" applyFont="1" applyFill="1" applyBorder="1" applyAlignment="1">
      <alignment vertical="center"/>
    </xf>
    <xf numFmtId="0" fontId="6" fillId="5" borderId="16" xfId="0" applyFont="1" applyFill="1" applyBorder="1" applyAlignment="1">
      <alignment vertical="center"/>
    </xf>
    <xf numFmtId="0" fontId="13" fillId="5" borderId="9" xfId="0" applyFont="1" applyFill="1" applyBorder="1" applyAlignment="1">
      <alignment vertical="center"/>
    </xf>
    <xf numFmtId="0" fontId="13" fillId="5" borderId="3" xfId="0" applyFont="1" applyFill="1" applyBorder="1" applyAlignment="1">
      <alignment vertical="center"/>
    </xf>
    <xf numFmtId="0" fontId="13" fillId="5" borderId="10" xfId="0" applyFont="1" applyFill="1" applyBorder="1" applyAlignment="1">
      <alignment vertical="center"/>
    </xf>
    <xf numFmtId="0" fontId="13" fillId="0" borderId="10" xfId="0" applyFont="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wrapText="1"/>
    </xf>
    <xf numFmtId="0" fontId="6" fillId="2" borderId="3" xfId="0" applyFont="1" applyFill="1" applyBorder="1" applyAlignment="1">
      <alignment vertical="center"/>
    </xf>
    <xf numFmtId="0" fontId="14" fillId="5" borderId="2" xfId="0" applyFont="1" applyFill="1" applyBorder="1" applyAlignment="1">
      <alignment vertical="center" wrapText="1"/>
    </xf>
    <xf numFmtId="0" fontId="13" fillId="5" borderId="16" xfId="0" applyFont="1" applyFill="1" applyBorder="1" applyAlignment="1">
      <alignment vertical="center"/>
    </xf>
    <xf numFmtId="165" fontId="14" fillId="5" borderId="2" xfId="0" applyNumberFormat="1" applyFont="1" applyFill="1" applyBorder="1" applyAlignment="1">
      <alignment vertical="center"/>
    </xf>
    <xf numFmtId="0" fontId="25" fillId="2" borderId="10" xfId="0" applyFont="1" applyFill="1" applyBorder="1" applyAlignment="1">
      <alignment vertical="center"/>
    </xf>
    <xf numFmtId="0" fontId="21" fillId="3" borderId="3" xfId="0" applyFont="1" applyFill="1" applyBorder="1" applyAlignment="1">
      <alignment vertical="center"/>
    </xf>
    <xf numFmtId="0" fontId="21" fillId="3" borderId="10" xfId="0" applyFont="1" applyFill="1" applyBorder="1" applyAlignment="1">
      <alignment vertical="center"/>
    </xf>
    <xf numFmtId="0" fontId="6" fillId="5" borderId="18" xfId="0" applyFont="1" applyFill="1" applyBorder="1" applyAlignment="1">
      <alignment horizontal="center" vertical="center"/>
    </xf>
    <xf numFmtId="0" fontId="16" fillId="0" borderId="9" xfId="0" applyFont="1" applyBorder="1" applyAlignment="1">
      <alignment vertical="center"/>
    </xf>
    <xf numFmtId="0" fontId="16" fillId="0" borderId="3" xfId="0" applyFont="1" applyBorder="1" applyAlignment="1">
      <alignment vertical="center"/>
    </xf>
    <xf numFmtId="0" fontId="16" fillId="0" borderId="10" xfId="0" applyFont="1" applyBorder="1" applyAlignment="1">
      <alignment vertical="center"/>
    </xf>
    <xf numFmtId="0" fontId="16" fillId="0" borderId="9" xfId="0" applyFont="1" applyBorder="1" applyAlignment="1">
      <alignment vertical="center" wrapText="1"/>
    </xf>
    <xf numFmtId="0" fontId="16" fillId="0" borderId="3" xfId="0" applyFont="1" applyBorder="1" applyAlignment="1">
      <alignment vertical="center" wrapText="1"/>
    </xf>
    <xf numFmtId="0" fontId="16" fillId="0" borderId="10" xfId="0" applyFont="1" applyBorder="1" applyAlignment="1">
      <alignment vertical="center" wrapText="1"/>
    </xf>
    <xf numFmtId="0" fontId="21" fillId="0" borderId="9" xfId="0" applyFont="1" applyBorder="1" applyAlignment="1">
      <alignment vertical="center"/>
    </xf>
    <xf numFmtId="0" fontId="21" fillId="0" borderId="3" xfId="0" applyFont="1" applyBorder="1" applyAlignment="1">
      <alignment vertical="center"/>
    </xf>
    <xf numFmtId="0" fontId="21" fillId="0" borderId="10" xfId="0" applyFont="1" applyBorder="1" applyAlignment="1">
      <alignment vertical="center"/>
    </xf>
    <xf numFmtId="0" fontId="21" fillId="3" borderId="9" xfId="0" applyFont="1" applyFill="1" applyBorder="1" applyAlignment="1">
      <alignment vertical="center"/>
    </xf>
    <xf numFmtId="4" fontId="16" fillId="8" borderId="1" xfId="0" applyNumberFormat="1" applyFont="1" applyFill="1" applyBorder="1" applyAlignment="1">
      <alignment vertical="center"/>
    </xf>
    <xf numFmtId="0" fontId="16" fillId="8" borderId="1" xfId="0" applyFont="1" applyFill="1" applyBorder="1" applyAlignment="1">
      <alignment vertical="center"/>
    </xf>
    <xf numFmtId="10" fontId="7" fillId="3" borderId="1" xfId="0" applyNumberFormat="1" applyFont="1" applyFill="1" applyBorder="1" applyAlignment="1">
      <alignment horizontal="center" vertical="center"/>
    </xf>
    <xf numFmtId="9" fontId="7" fillId="5" borderId="1" xfId="2" applyFont="1" applyFill="1" applyBorder="1" applyAlignment="1">
      <alignment horizontal="center" vertical="center"/>
    </xf>
    <xf numFmtId="10" fontId="7" fillId="5" borderId="1" xfId="2"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7" fillId="0" borderId="1" xfId="0" applyFont="1" applyBorder="1" applyAlignment="1">
      <alignment vertical="center" wrapText="1"/>
    </xf>
    <xf numFmtId="166" fontId="7" fillId="0" borderId="1" xfId="3"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8" fontId="7" fillId="0" borderId="1" xfId="0" applyNumberFormat="1" applyFont="1" applyBorder="1" applyAlignment="1">
      <alignment vertical="center" wrapText="1"/>
    </xf>
    <xf numFmtId="8" fontId="7" fillId="5" borderId="1" xfId="0" applyNumberFormat="1" applyFont="1" applyFill="1" applyBorder="1" applyAlignment="1">
      <alignment horizontal="right" vertical="center" wrapText="1"/>
    </xf>
    <xf numFmtId="0" fontId="7" fillId="0" borderId="0" xfId="0" applyFont="1" applyAlignment="1">
      <alignment horizontal="left" vertical="center" wrapText="1"/>
    </xf>
    <xf numFmtId="0" fontId="24" fillId="3" borderId="6"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14" fillId="4" borderId="1" xfId="0" applyFont="1" applyFill="1" applyBorder="1" applyAlignment="1">
      <alignment horizontal="left" vertical="center"/>
    </xf>
    <xf numFmtId="167" fontId="14" fillId="7" borderId="1" xfId="0" applyNumberFormat="1" applyFont="1" applyFill="1" applyBorder="1" applyAlignment="1">
      <alignment horizontal="left" vertical="center"/>
    </xf>
    <xf numFmtId="0" fontId="14" fillId="7" borderId="1" xfId="0" applyFont="1" applyFill="1" applyBorder="1" applyAlignment="1">
      <alignment horizontal="left" vertical="center"/>
    </xf>
    <xf numFmtId="0" fontId="14" fillId="4" borderId="1" xfId="0" applyFont="1" applyFill="1" applyBorder="1" applyAlignment="1">
      <alignment horizontal="center"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10" xfId="0" applyFont="1" applyBorder="1" applyAlignment="1">
      <alignment horizontal="left" vertical="center"/>
    </xf>
    <xf numFmtId="0" fontId="6" fillId="2" borderId="9"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5" borderId="0" xfId="0" applyFont="1" applyFill="1" applyAlignment="1">
      <alignment horizontal="center" vertical="center"/>
    </xf>
    <xf numFmtId="0" fontId="9" fillId="5" borderId="0" xfId="0" applyFont="1" applyFill="1" applyAlignment="1">
      <alignment horizontal="center" vertical="center"/>
    </xf>
    <xf numFmtId="0" fontId="6" fillId="3" borderId="3"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5" fillId="2"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5" xfId="0" applyFont="1" applyFill="1" applyBorder="1" applyAlignment="1">
      <alignment horizontal="center" vertical="center"/>
    </xf>
    <xf numFmtId="10" fontId="7" fillId="0" borderId="15" xfId="0" applyNumberFormat="1" applyFont="1" applyBorder="1" applyAlignment="1">
      <alignment horizontal="center" vertical="center"/>
    </xf>
    <xf numFmtId="10" fontId="7" fillId="0" borderId="16" xfId="0" applyNumberFormat="1" applyFont="1" applyBorder="1" applyAlignment="1">
      <alignment horizontal="center" vertical="center"/>
    </xf>
    <xf numFmtId="43" fontId="7" fillId="0" borderId="1" xfId="3"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16" fillId="0" borderId="1" xfId="0" applyFont="1" applyBorder="1" applyAlignment="1">
      <alignment horizontal="left" vertical="center" wrapText="1"/>
    </xf>
    <xf numFmtId="0" fontId="6" fillId="2" borderId="10"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3" borderId="9" xfId="0" applyFont="1" applyFill="1" applyBorder="1" applyAlignment="1">
      <alignment horizontal="left" vertical="center"/>
    </xf>
    <xf numFmtId="0" fontId="6" fillId="3" borderId="3" xfId="0" applyFont="1" applyFill="1" applyBorder="1" applyAlignment="1">
      <alignment horizontal="left" vertical="center"/>
    </xf>
    <xf numFmtId="0" fontId="6" fillId="3" borderId="10" xfId="0" applyFont="1" applyFill="1" applyBorder="1" applyAlignment="1">
      <alignment horizontal="left" vertical="center"/>
    </xf>
    <xf numFmtId="0" fontId="19" fillId="5" borderId="0" xfId="0" applyFont="1" applyFill="1" applyAlignment="1">
      <alignment horizontal="left"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21" fillId="3" borderId="3" xfId="0" applyFont="1" applyFill="1" applyBorder="1" applyAlignment="1">
      <alignment horizontal="left" vertical="center"/>
    </xf>
    <xf numFmtId="0" fontId="13" fillId="0" borderId="9"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27" fillId="0" borderId="9"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15" fillId="2" borderId="9" xfId="0" applyFont="1" applyFill="1" applyBorder="1" applyAlignment="1">
      <alignment horizontal="center" vertical="center"/>
    </xf>
    <xf numFmtId="0" fontId="15" fillId="2" borderId="3" xfId="0" applyFont="1" applyFill="1" applyBorder="1" applyAlignment="1">
      <alignment horizontal="center"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13" fillId="5" borderId="9" xfId="0" applyFont="1" applyFill="1" applyBorder="1" applyAlignment="1">
      <alignment horizontal="left" vertical="center"/>
    </xf>
    <xf numFmtId="0" fontId="13" fillId="5" borderId="3" xfId="0" applyFont="1" applyFill="1" applyBorder="1" applyAlignment="1">
      <alignment horizontal="left" vertical="center"/>
    </xf>
    <xf numFmtId="0" fontId="25" fillId="2" borderId="9" xfId="0" applyFont="1" applyFill="1" applyBorder="1" applyAlignment="1">
      <alignment horizontal="left" vertical="center"/>
    </xf>
    <xf numFmtId="0" fontId="25" fillId="2" borderId="3" xfId="0" applyFont="1" applyFill="1" applyBorder="1" applyAlignment="1">
      <alignment horizontal="left" vertical="center"/>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cellXfs>
  <cellStyles count="14">
    <cellStyle name="Moeda" xfId="1" builtinId="4"/>
    <cellStyle name="Moeda 2" xfId="6" xr:uid="{00000000-0005-0000-0000-000001000000}"/>
    <cellStyle name="Moeda 3" xfId="11" xr:uid="{00000000-0005-0000-0000-000002000000}"/>
    <cellStyle name="Normal" xfId="0" builtinId="0"/>
    <cellStyle name="Normal 2" xfId="5" xr:uid="{00000000-0005-0000-0000-000004000000}"/>
    <cellStyle name="Normal 3" xfId="4" xr:uid="{00000000-0005-0000-0000-000005000000}"/>
    <cellStyle name="Normal 4" xfId="12" xr:uid="{00000000-0005-0000-0000-000006000000}"/>
    <cellStyle name="Porcentagem" xfId="2" builtinId="5"/>
    <cellStyle name="Porcentagem 2" xfId="7" xr:uid="{00000000-0005-0000-0000-000008000000}"/>
    <cellStyle name="Porcentagem 3" xfId="10" xr:uid="{00000000-0005-0000-0000-000009000000}"/>
    <cellStyle name="Vírgula" xfId="3" builtinId="3"/>
    <cellStyle name="Vírgula 2" xfId="8" xr:uid="{00000000-0005-0000-0000-00000B000000}"/>
    <cellStyle name="Vírgula 3" xfId="9" xr:uid="{00000000-0005-0000-0000-00000C000000}"/>
    <cellStyle name="Vírgula 4" xfId="13" xr:uid="{00000000-0005-0000-0000-00000D000000}"/>
  </cellStyles>
  <dxfs count="0"/>
  <tableStyles count="0" defaultTableStyle="TableStyleMedium9" defaultPivotStyle="PivotStyleLight16"/>
  <colors>
    <mruColors>
      <color rgb="FFFFFF99"/>
      <color rgb="FF00CC00"/>
      <color rgb="FF33C3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H29"/>
  <sheetViews>
    <sheetView showGridLines="0" tabSelected="1" topLeftCell="A7" zoomScaleNormal="100" workbookViewId="0">
      <selection activeCell="B15" sqref="B15:G15"/>
    </sheetView>
  </sheetViews>
  <sheetFormatPr defaultColWidth="9.140625" defaultRowHeight="22.5" customHeight="1" x14ac:dyDescent="0.2"/>
  <cols>
    <col min="1" max="1" width="3.28515625" style="53" customWidth="1"/>
    <col min="2" max="2" width="20.85546875" style="53" customWidth="1"/>
    <col min="3" max="4" width="13.28515625" style="53" customWidth="1"/>
    <col min="5" max="5" width="14.28515625" style="53" customWidth="1"/>
    <col min="6" max="6" width="14.42578125" style="53" bestFit="1" customWidth="1"/>
    <col min="7" max="7" width="16.140625" style="53" bestFit="1" customWidth="1"/>
    <col min="8" max="8" width="14.7109375" style="53" bestFit="1" customWidth="1"/>
    <col min="9" max="16384" width="9.140625" style="53"/>
  </cols>
  <sheetData>
    <row r="1" spans="2:8" ht="22.5" customHeight="1" x14ac:dyDescent="0.2">
      <c r="B1" s="186" t="s">
        <v>122</v>
      </c>
      <c r="C1" s="186"/>
      <c r="D1" s="186"/>
      <c r="E1" s="186"/>
      <c r="F1" s="186"/>
      <c r="G1" s="186"/>
    </row>
    <row r="3" spans="2:8" ht="22.5" customHeight="1" x14ac:dyDescent="0.2">
      <c r="B3" s="57" t="s">
        <v>123</v>
      </c>
    </row>
    <row r="4" spans="2:8" ht="22.5" customHeight="1" x14ac:dyDescent="0.2">
      <c r="B4" s="187" t="s">
        <v>205</v>
      </c>
      <c r="C4" s="187"/>
      <c r="D4" s="187"/>
      <c r="E4" s="187"/>
      <c r="F4" s="187"/>
      <c r="G4" s="187"/>
      <c r="H4" s="54"/>
    </row>
    <row r="5" spans="2:8" ht="22.5" customHeight="1" thickBot="1" x14ac:dyDescent="0.25"/>
    <row r="6" spans="2:8" ht="22.5" customHeight="1" thickBot="1" x14ac:dyDescent="0.25">
      <c r="B6" s="180" t="s">
        <v>86</v>
      </c>
      <c r="C6" s="181"/>
      <c r="D6" s="181"/>
      <c r="E6" s="181"/>
      <c r="F6" s="181"/>
      <c r="G6" s="182"/>
    </row>
    <row r="7" spans="2:8" ht="22.5" customHeight="1" x14ac:dyDescent="0.2">
      <c r="B7" s="8"/>
      <c r="C7" s="8"/>
      <c r="D7" s="8"/>
      <c r="E7" s="8"/>
      <c r="F7" s="8"/>
      <c r="G7" s="8"/>
    </row>
    <row r="8" spans="2:8" ht="22.5" customHeight="1" x14ac:dyDescent="0.2">
      <c r="B8" s="173" t="s">
        <v>82</v>
      </c>
      <c r="C8" s="173" t="s">
        <v>204</v>
      </c>
      <c r="D8" s="173" t="s">
        <v>83</v>
      </c>
      <c r="E8" s="173" t="s">
        <v>93</v>
      </c>
      <c r="F8" s="173" t="s">
        <v>84</v>
      </c>
      <c r="G8" s="173" t="s">
        <v>85</v>
      </c>
    </row>
    <row r="9" spans="2:8" ht="22.5" customHeight="1" x14ac:dyDescent="0.2">
      <c r="B9" s="174" t="s">
        <v>201</v>
      </c>
      <c r="C9" s="175">
        <v>2</v>
      </c>
      <c r="D9" s="176">
        <v>30</v>
      </c>
      <c r="E9" s="177">
        <f>Arquivista!H133</f>
        <v>13786.18</v>
      </c>
      <c r="F9" s="178">
        <f t="shared" ref="F9:G11" si="0">E9*C9</f>
        <v>27572.36</v>
      </c>
      <c r="G9" s="178">
        <f t="shared" si="0"/>
        <v>827170.8</v>
      </c>
    </row>
    <row r="10" spans="2:8" ht="22.5" customHeight="1" x14ac:dyDescent="0.2">
      <c r="B10" s="174" t="s">
        <v>202</v>
      </c>
      <c r="C10" s="175">
        <v>10</v>
      </c>
      <c r="D10" s="176">
        <v>30</v>
      </c>
      <c r="E10" s="177">
        <f>'Auxiliar de Arquivo'!H133</f>
        <v>7878.7600000000011</v>
      </c>
      <c r="F10" s="178">
        <f t="shared" si="0"/>
        <v>78787.600000000006</v>
      </c>
      <c r="G10" s="178">
        <f t="shared" si="0"/>
        <v>2363628</v>
      </c>
    </row>
    <row r="11" spans="2:8" ht="22.5" customHeight="1" x14ac:dyDescent="0.2">
      <c r="B11" s="174" t="s">
        <v>203</v>
      </c>
      <c r="C11" s="175">
        <v>1</v>
      </c>
      <c r="D11" s="176">
        <v>30</v>
      </c>
      <c r="E11" s="177">
        <f>'Supervisor de Equipe'!H133</f>
        <v>14934.37</v>
      </c>
      <c r="F11" s="178">
        <f t="shared" si="0"/>
        <v>14934.37</v>
      </c>
      <c r="G11" s="178">
        <f t="shared" si="0"/>
        <v>448031.10000000003</v>
      </c>
    </row>
    <row r="12" spans="2:8" ht="22.5" customHeight="1" x14ac:dyDescent="0.2">
      <c r="B12" s="11" t="s">
        <v>58</v>
      </c>
      <c r="C12" s="175">
        <f>SUM(C9:C11)</f>
        <v>13</v>
      </c>
      <c r="D12" s="184"/>
      <c r="E12" s="185"/>
      <c r="F12" s="4">
        <f>SUM(F9:F11)</f>
        <v>121294.33</v>
      </c>
      <c r="G12" s="4">
        <f>SUM(G9:G11)</f>
        <v>3638829.9</v>
      </c>
    </row>
    <row r="13" spans="2:8" ht="22.5" customHeight="1" x14ac:dyDescent="0.2">
      <c r="B13" s="183" t="s">
        <v>120</v>
      </c>
      <c r="C13" s="183"/>
      <c r="D13" s="183"/>
      <c r="E13" s="183"/>
      <c r="F13" s="183"/>
      <c r="G13" s="55">
        <f>G12</f>
        <v>3638829.9</v>
      </c>
    </row>
    <row r="14" spans="2:8" ht="14.1" customHeight="1" x14ac:dyDescent="0.2">
      <c r="F14" s="1"/>
    </row>
    <row r="15" spans="2:8" ht="101.1" customHeight="1" x14ac:dyDescent="0.2">
      <c r="B15" s="179" t="s">
        <v>196</v>
      </c>
      <c r="C15" s="179"/>
      <c r="D15" s="179"/>
      <c r="E15" s="179"/>
      <c r="F15" s="179"/>
      <c r="G15" s="179"/>
    </row>
    <row r="16" spans="2:8" ht="14.1" customHeight="1" x14ac:dyDescent="0.2">
      <c r="F16" s="1"/>
    </row>
    <row r="17" spans="2:7" ht="63.6" customHeight="1" x14ac:dyDescent="0.2">
      <c r="B17" s="179" t="s">
        <v>197</v>
      </c>
      <c r="C17" s="179"/>
      <c r="D17" s="179"/>
      <c r="E17" s="179"/>
      <c r="F17" s="179"/>
      <c r="G17" s="179"/>
    </row>
    <row r="18" spans="2:7" ht="14.1" customHeight="1" x14ac:dyDescent="0.2">
      <c r="F18" s="1"/>
    </row>
    <row r="19" spans="2:7" ht="29.45" customHeight="1" x14ac:dyDescent="0.2">
      <c r="B19" s="179" t="s">
        <v>198</v>
      </c>
      <c r="C19" s="179"/>
      <c r="D19" s="179"/>
      <c r="E19" s="179"/>
      <c r="F19" s="179"/>
      <c r="G19" s="179"/>
    </row>
    <row r="20" spans="2:7" ht="14.1" customHeight="1" x14ac:dyDescent="0.2">
      <c r="F20" s="1"/>
    </row>
    <row r="21" spans="2:7" ht="22.5" customHeight="1" x14ac:dyDescent="0.2">
      <c r="B21" s="179" t="s">
        <v>199</v>
      </c>
      <c r="C21" s="179"/>
      <c r="D21" s="179"/>
      <c r="E21" s="179"/>
      <c r="F21" s="179"/>
      <c r="G21" s="179"/>
    </row>
    <row r="22" spans="2:7" ht="22.5" customHeight="1" x14ac:dyDescent="0.2">
      <c r="F22" s="1"/>
    </row>
    <row r="23" spans="2:7" ht="22.5" customHeight="1" x14ac:dyDescent="0.2">
      <c r="D23" s="118" t="s">
        <v>181</v>
      </c>
      <c r="F23" s="1"/>
    </row>
    <row r="24" spans="2:7" ht="22.5" customHeight="1" x14ac:dyDescent="0.2">
      <c r="E24" s="119"/>
    </row>
    <row r="25" spans="2:7" ht="22.5" customHeight="1" x14ac:dyDescent="0.2">
      <c r="D25" s="119" t="s">
        <v>182</v>
      </c>
    </row>
    <row r="26" spans="2:7" ht="22.5" customHeight="1" x14ac:dyDescent="0.2">
      <c r="D26" s="119" t="s">
        <v>183</v>
      </c>
    </row>
    <row r="27" spans="2:7" ht="22.5" customHeight="1" x14ac:dyDescent="0.2">
      <c r="D27" s="119" t="s">
        <v>184</v>
      </c>
    </row>
    <row r="28" spans="2:7" ht="22.5" customHeight="1" x14ac:dyDescent="0.2">
      <c r="D28" s="119" t="s">
        <v>185</v>
      </c>
    </row>
    <row r="29" spans="2:7" ht="22.5" customHeight="1" x14ac:dyDescent="0.2">
      <c r="D29" s="119" t="s">
        <v>186</v>
      </c>
    </row>
  </sheetData>
  <mergeCells count="9">
    <mergeCell ref="B21:G21"/>
    <mergeCell ref="B6:G6"/>
    <mergeCell ref="B13:F13"/>
    <mergeCell ref="D12:E12"/>
    <mergeCell ref="B1:G1"/>
    <mergeCell ref="B4:G4"/>
    <mergeCell ref="B15:G15"/>
    <mergeCell ref="B17:G17"/>
    <mergeCell ref="B19:G19"/>
  </mergeCells>
  <printOptions horizontalCentered="1"/>
  <pageMargins left="0.51181102362204722" right="0.51181102362204722" top="0.98425196850393704" bottom="0.78740157480314965"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I146"/>
  <sheetViews>
    <sheetView showGridLines="0" topLeftCell="A93" zoomScale="130" zoomScaleNormal="130" workbookViewId="0">
      <selection activeCell="H25" sqref="H25"/>
    </sheetView>
  </sheetViews>
  <sheetFormatPr defaultColWidth="9.140625" defaultRowHeight="12.75" x14ac:dyDescent="0.2"/>
  <cols>
    <col min="1" max="1" width="3.5703125" style="58" customWidth="1"/>
    <col min="2" max="2" width="8.28515625" style="58" customWidth="1"/>
    <col min="3" max="3" width="39.140625" style="58" customWidth="1"/>
    <col min="4" max="4" width="29.140625" style="58" customWidth="1"/>
    <col min="5" max="6" width="8.140625" style="58" customWidth="1"/>
    <col min="7" max="7" width="9.140625" style="58" customWidth="1"/>
    <col min="8" max="9" width="15.28515625" style="58" customWidth="1"/>
    <col min="10" max="16384" width="9.140625" style="58"/>
  </cols>
  <sheetData>
    <row r="1" spans="2:9" x14ac:dyDescent="0.2">
      <c r="C1" s="108"/>
      <c r="D1" s="9"/>
      <c r="E1" s="9"/>
      <c r="F1" s="9"/>
      <c r="G1" s="9"/>
      <c r="H1" s="9"/>
      <c r="I1" s="9"/>
    </row>
    <row r="2" spans="2:9" x14ac:dyDescent="0.2">
      <c r="B2" s="200" t="s">
        <v>49</v>
      </c>
      <c r="C2" s="200"/>
      <c r="D2" s="200"/>
      <c r="E2" s="200"/>
      <c r="F2" s="200"/>
      <c r="G2" s="200"/>
      <c r="H2" s="200"/>
      <c r="I2" s="94"/>
    </row>
    <row r="3" spans="2:9" x14ac:dyDescent="0.2">
      <c r="B3" s="201" t="s">
        <v>187</v>
      </c>
      <c r="C3" s="201"/>
      <c r="D3" s="201"/>
      <c r="E3" s="201"/>
      <c r="F3" s="201"/>
      <c r="G3" s="201"/>
      <c r="H3" s="201"/>
      <c r="I3" s="96"/>
    </row>
    <row r="4" spans="2:9" x14ac:dyDescent="0.2">
      <c r="B4" s="60"/>
      <c r="C4" s="60"/>
      <c r="D4" s="60"/>
      <c r="E4" s="60"/>
      <c r="F4" s="60"/>
      <c r="G4" s="60"/>
      <c r="H4" s="60"/>
      <c r="I4" s="60"/>
    </row>
    <row r="5" spans="2:9" x14ac:dyDescent="0.2">
      <c r="B5" s="60"/>
      <c r="C5" s="60"/>
      <c r="D5" s="60"/>
      <c r="E5" s="60"/>
      <c r="F5" s="60"/>
      <c r="G5" s="60"/>
      <c r="H5" s="60"/>
      <c r="I5" s="60"/>
    </row>
    <row r="6" spans="2:9" x14ac:dyDescent="0.2">
      <c r="B6" s="128" t="s">
        <v>126</v>
      </c>
      <c r="C6" s="128"/>
      <c r="D6" s="203" t="s">
        <v>201</v>
      </c>
      <c r="E6" s="204"/>
      <c r="F6" s="205"/>
      <c r="I6" s="10"/>
    </row>
    <row r="7" spans="2:9" x14ac:dyDescent="0.2">
      <c r="B7" s="60"/>
      <c r="C7" s="60"/>
      <c r="D7" s="60"/>
      <c r="E7" s="60"/>
      <c r="F7" s="60"/>
      <c r="G7" s="60"/>
      <c r="H7" s="60"/>
      <c r="I7" s="9"/>
    </row>
    <row r="8" spans="2:9" x14ac:dyDescent="0.2">
      <c r="B8" s="206" t="s">
        <v>50</v>
      </c>
      <c r="C8" s="206"/>
      <c r="D8" s="206"/>
      <c r="E8" s="206"/>
      <c r="F8" s="206"/>
      <c r="G8" s="129"/>
      <c r="H8" s="129"/>
      <c r="I8" s="59"/>
    </row>
    <row r="9" spans="2:9" x14ac:dyDescent="0.2">
      <c r="B9" s="191">
        <v>1</v>
      </c>
      <c r="C9" s="188" t="s">
        <v>51</v>
      </c>
      <c r="D9" s="188"/>
      <c r="E9" s="188"/>
      <c r="F9" s="188"/>
      <c r="G9" s="129"/>
      <c r="H9" s="129"/>
      <c r="I9" s="59"/>
    </row>
    <row r="10" spans="2:9" x14ac:dyDescent="0.2">
      <c r="B10" s="191"/>
      <c r="C10" s="190" t="s">
        <v>208</v>
      </c>
      <c r="D10" s="190"/>
      <c r="E10" s="190"/>
      <c r="F10" s="190"/>
      <c r="G10" s="129"/>
      <c r="H10" s="129"/>
      <c r="I10" s="59"/>
    </row>
    <row r="11" spans="2:9" x14ac:dyDescent="0.2">
      <c r="B11" s="191">
        <v>2</v>
      </c>
      <c r="C11" s="188" t="s">
        <v>52</v>
      </c>
      <c r="D11" s="188"/>
      <c r="E11" s="188"/>
      <c r="F11" s="188"/>
      <c r="G11" s="129"/>
      <c r="H11" s="129"/>
      <c r="I11" s="59"/>
    </row>
    <row r="12" spans="2:9" x14ac:dyDescent="0.2">
      <c r="B12" s="191"/>
      <c r="C12" s="190" t="s">
        <v>206</v>
      </c>
      <c r="D12" s="190"/>
      <c r="E12" s="190"/>
      <c r="F12" s="190"/>
      <c r="G12" s="129"/>
      <c r="H12" s="129"/>
      <c r="I12" s="59"/>
    </row>
    <row r="13" spans="2:9" x14ac:dyDescent="0.2">
      <c r="B13" s="191">
        <v>3</v>
      </c>
      <c r="C13" s="188" t="s">
        <v>53</v>
      </c>
      <c r="D13" s="188"/>
      <c r="E13" s="188"/>
      <c r="F13" s="188"/>
      <c r="G13" s="129"/>
      <c r="H13" s="129"/>
      <c r="I13" s="59"/>
    </row>
    <row r="14" spans="2:9" x14ac:dyDescent="0.2">
      <c r="B14" s="191"/>
      <c r="C14" s="189" t="s">
        <v>209</v>
      </c>
      <c r="D14" s="189"/>
      <c r="E14" s="189"/>
      <c r="F14" s="189"/>
      <c r="G14" s="129"/>
      <c r="H14" s="129"/>
      <c r="I14" s="59"/>
    </row>
    <row r="15" spans="2:9" x14ac:dyDescent="0.2">
      <c r="B15" s="191">
        <v>4</v>
      </c>
      <c r="C15" s="188" t="s">
        <v>54</v>
      </c>
      <c r="D15" s="188"/>
      <c r="E15" s="188"/>
      <c r="F15" s="188"/>
      <c r="G15" s="129"/>
      <c r="H15" s="129"/>
      <c r="I15" s="59"/>
    </row>
    <row r="16" spans="2:9" x14ac:dyDescent="0.2">
      <c r="B16" s="191"/>
      <c r="C16" s="190" t="s">
        <v>209</v>
      </c>
      <c r="D16" s="190"/>
      <c r="E16" s="190"/>
      <c r="F16" s="190"/>
      <c r="G16" s="129"/>
      <c r="H16" s="129"/>
      <c r="I16" s="59"/>
    </row>
    <row r="17" spans="2:9" x14ac:dyDescent="0.2">
      <c r="B17" s="191">
        <v>5</v>
      </c>
      <c r="C17" s="188" t="s">
        <v>55</v>
      </c>
      <c r="D17" s="188"/>
      <c r="E17" s="188"/>
      <c r="F17" s="188"/>
      <c r="G17" s="129"/>
      <c r="H17" s="129"/>
      <c r="I17" s="59"/>
    </row>
    <row r="18" spans="2:9" x14ac:dyDescent="0.2">
      <c r="B18" s="191"/>
      <c r="C18" s="190" t="s">
        <v>209</v>
      </c>
      <c r="D18" s="190"/>
      <c r="E18" s="190"/>
      <c r="F18" s="190"/>
      <c r="G18" s="129"/>
      <c r="H18" s="129"/>
      <c r="I18" s="59"/>
    </row>
    <row r="19" spans="2:9" x14ac:dyDescent="0.2">
      <c r="B19" s="191">
        <v>6</v>
      </c>
      <c r="C19" s="188" t="s">
        <v>56</v>
      </c>
      <c r="D19" s="188"/>
      <c r="E19" s="188"/>
      <c r="F19" s="188"/>
      <c r="G19" s="129"/>
      <c r="H19" s="129"/>
      <c r="I19" s="59"/>
    </row>
    <row r="20" spans="2:9" x14ac:dyDescent="0.2">
      <c r="B20" s="191"/>
      <c r="C20" s="190" t="s">
        <v>209</v>
      </c>
      <c r="D20" s="190"/>
      <c r="E20" s="190"/>
      <c r="F20" s="190"/>
      <c r="G20" s="129"/>
      <c r="H20" s="129"/>
      <c r="I20" s="59"/>
    </row>
    <row r="21" spans="2:9" x14ac:dyDescent="0.2">
      <c r="B21" s="61"/>
      <c r="C21" s="61"/>
      <c r="D21" s="61"/>
      <c r="E21" s="61"/>
      <c r="F21" s="61"/>
      <c r="G21" s="62"/>
      <c r="H21" s="62"/>
      <c r="I21" s="59"/>
    </row>
    <row r="22" spans="2:9" x14ac:dyDescent="0.2">
      <c r="B22" s="63"/>
      <c r="C22" s="63"/>
      <c r="D22" s="63"/>
      <c r="E22" s="63"/>
      <c r="F22" s="63"/>
      <c r="G22" s="63"/>
      <c r="H22" s="134" t="s">
        <v>193</v>
      </c>
    </row>
    <row r="23" spans="2:9" x14ac:dyDescent="0.2">
      <c r="B23" s="195" t="s">
        <v>63</v>
      </c>
      <c r="C23" s="196"/>
      <c r="D23" s="196"/>
      <c r="E23" s="196"/>
      <c r="F23" s="196"/>
      <c r="G23" s="132"/>
      <c r="H23" s="133"/>
      <c r="I23" s="95"/>
    </row>
    <row r="24" spans="2:9" x14ac:dyDescent="0.2">
      <c r="B24" s="90">
        <v>1</v>
      </c>
      <c r="C24" s="184" t="s">
        <v>57</v>
      </c>
      <c r="D24" s="202"/>
      <c r="E24" s="202"/>
      <c r="F24" s="185"/>
      <c r="G24" s="131" t="s">
        <v>1</v>
      </c>
      <c r="H24" s="131" t="s">
        <v>48</v>
      </c>
      <c r="I24" s="95"/>
    </row>
    <row r="25" spans="2:9" ht="12.75" customHeight="1" x14ac:dyDescent="0.2">
      <c r="B25" s="11" t="s">
        <v>4</v>
      </c>
      <c r="C25" s="88" t="s">
        <v>17</v>
      </c>
      <c r="D25" s="192"/>
      <c r="E25" s="193"/>
      <c r="F25" s="194"/>
      <c r="G25" s="12"/>
      <c r="H25" s="28">
        <v>4595.92</v>
      </c>
      <c r="I25" s="101"/>
    </row>
    <row r="26" spans="2:9" x14ac:dyDescent="0.2">
      <c r="B26" s="11" t="s">
        <v>5</v>
      </c>
      <c r="C26" s="88" t="s">
        <v>24</v>
      </c>
      <c r="D26" s="192" t="s">
        <v>127</v>
      </c>
      <c r="E26" s="193"/>
      <c r="F26" s="194"/>
      <c r="G26" s="171"/>
      <c r="H26" s="13">
        <f>TRUNC(H$25*$G26,2)</f>
        <v>0</v>
      </c>
      <c r="I26" s="97"/>
    </row>
    <row r="27" spans="2:9" x14ac:dyDescent="0.2">
      <c r="B27" s="11" t="s">
        <v>6</v>
      </c>
      <c r="C27" s="89" t="s">
        <v>25</v>
      </c>
      <c r="D27" s="158" t="s">
        <v>170</v>
      </c>
      <c r="E27" s="169" t="s">
        <v>195</v>
      </c>
      <c r="F27" s="168">
        <v>1518</v>
      </c>
      <c r="G27" s="171"/>
      <c r="H27" s="13">
        <f>TRUNC(F$27*$G27,2)</f>
        <v>0</v>
      </c>
      <c r="I27" s="97"/>
    </row>
    <row r="28" spans="2:9" x14ac:dyDescent="0.2">
      <c r="B28" s="11" t="s">
        <v>7</v>
      </c>
      <c r="C28" s="89" t="s">
        <v>0</v>
      </c>
      <c r="D28" s="192" t="s">
        <v>177</v>
      </c>
      <c r="E28" s="193"/>
      <c r="F28" s="194"/>
      <c r="G28" s="172"/>
      <c r="H28" s="67">
        <f>TRUNC(((H$25+H26)*$G28)/220*8*15,2)</f>
        <v>0</v>
      </c>
      <c r="I28" s="98"/>
    </row>
    <row r="29" spans="2:9" x14ac:dyDescent="0.2">
      <c r="B29" s="11" t="s">
        <v>10</v>
      </c>
      <c r="C29" s="89" t="s">
        <v>2</v>
      </c>
      <c r="D29" s="192"/>
      <c r="E29" s="193"/>
      <c r="F29" s="194"/>
      <c r="G29" s="29"/>
      <c r="H29" s="49"/>
      <c r="I29" s="99"/>
    </row>
    <row r="30" spans="2:9" x14ac:dyDescent="0.2">
      <c r="B30" s="11" t="s">
        <v>128</v>
      </c>
      <c r="C30" s="184" t="s">
        <v>58</v>
      </c>
      <c r="D30" s="202"/>
      <c r="E30" s="202"/>
      <c r="F30" s="185"/>
      <c r="G30" s="25"/>
      <c r="H30" s="14">
        <f>SUM(H25:H29)</f>
        <v>4595.92</v>
      </c>
      <c r="I30" s="15"/>
    </row>
    <row r="31" spans="2:9" ht="22.5" x14ac:dyDescent="0.2">
      <c r="B31" s="94"/>
      <c r="C31" s="219" t="s">
        <v>117</v>
      </c>
      <c r="D31" s="219"/>
      <c r="E31" s="219"/>
      <c r="F31" s="219"/>
      <c r="G31" s="52" t="s">
        <v>107</v>
      </c>
      <c r="H31" s="51" t="s">
        <v>121</v>
      </c>
      <c r="I31" s="2"/>
    </row>
    <row r="32" spans="2:9" x14ac:dyDescent="0.2">
      <c r="B32" s="94"/>
      <c r="C32" s="219"/>
      <c r="D32" s="219"/>
      <c r="E32" s="219"/>
      <c r="F32" s="219"/>
      <c r="G32" s="50"/>
      <c r="H32" s="30">
        <f>IF($G$32="",0,TRUNC((H25+H26+H27)/220,2))</f>
        <v>0</v>
      </c>
      <c r="I32" s="100"/>
    </row>
    <row r="33" spans="2:9" x14ac:dyDescent="0.2">
      <c r="B33" s="94"/>
      <c r="C33" s="94"/>
      <c r="D33" s="94"/>
      <c r="E33" s="94"/>
      <c r="F33" s="94"/>
      <c r="G33" s="94"/>
      <c r="H33" s="68"/>
      <c r="I33" s="15"/>
    </row>
    <row r="34" spans="2:9" x14ac:dyDescent="0.2">
      <c r="B34" s="94"/>
      <c r="C34" s="94"/>
      <c r="D34" s="94"/>
      <c r="E34" s="94"/>
      <c r="F34" s="94"/>
      <c r="G34" s="94"/>
      <c r="H34" s="68"/>
      <c r="I34" s="15"/>
    </row>
    <row r="35" spans="2:9" ht="12.75" customHeight="1" x14ac:dyDescent="0.2">
      <c r="B35" s="195" t="s">
        <v>64</v>
      </c>
      <c r="C35" s="196"/>
      <c r="D35" s="196"/>
      <c r="E35" s="196"/>
      <c r="F35" s="196"/>
      <c r="G35" s="132"/>
      <c r="H35" s="133"/>
      <c r="I35" s="95"/>
    </row>
    <row r="36" spans="2:9" x14ac:dyDescent="0.2">
      <c r="B36" s="198"/>
      <c r="C36" s="199"/>
      <c r="D36" s="199"/>
      <c r="E36" s="199"/>
      <c r="F36" s="199"/>
      <c r="G36" s="57"/>
      <c r="H36" s="57"/>
      <c r="I36" s="95"/>
    </row>
    <row r="37" spans="2:9" x14ac:dyDescent="0.2">
      <c r="B37" s="197" t="s">
        <v>35</v>
      </c>
      <c r="C37" s="197"/>
      <c r="D37" s="197"/>
      <c r="E37" s="197"/>
      <c r="F37" s="197"/>
      <c r="G37" s="57"/>
      <c r="H37" s="57"/>
      <c r="I37" s="95"/>
    </row>
    <row r="38" spans="2:9" x14ac:dyDescent="0.2">
      <c r="B38" s="131" t="s">
        <v>37</v>
      </c>
      <c r="C38" s="207" t="s">
        <v>26</v>
      </c>
      <c r="D38" s="208"/>
      <c r="E38" s="208"/>
      <c r="F38" s="209"/>
      <c r="G38" s="90" t="s">
        <v>1</v>
      </c>
      <c r="H38" s="90" t="s">
        <v>48</v>
      </c>
      <c r="I38" s="95"/>
    </row>
    <row r="39" spans="2:9" x14ac:dyDescent="0.2">
      <c r="B39" s="11" t="s">
        <v>4</v>
      </c>
      <c r="C39" s="88" t="s">
        <v>108</v>
      </c>
      <c r="D39" s="192" t="s">
        <v>129</v>
      </c>
      <c r="E39" s="193"/>
      <c r="F39" s="194"/>
      <c r="G39" s="137">
        <f>1/12</f>
        <v>8.3333333333333329E-2</v>
      </c>
      <c r="H39" s="138">
        <f>TRUNC((H$30*$G39),2)</f>
        <v>382.99</v>
      </c>
      <c r="I39" s="101"/>
    </row>
    <row r="40" spans="2:9" x14ac:dyDescent="0.2">
      <c r="B40" s="11" t="s">
        <v>5</v>
      </c>
      <c r="C40" s="88" t="s">
        <v>62</v>
      </c>
      <c r="D40" s="192" t="s">
        <v>131</v>
      </c>
      <c r="E40" s="193"/>
      <c r="F40" s="194"/>
      <c r="G40" s="16">
        <f>(1/12)+(1/3/12)</f>
        <v>0.1111111111111111</v>
      </c>
      <c r="H40" s="17">
        <f>TRUNC((H$30*$G40),2)</f>
        <v>510.65</v>
      </c>
      <c r="I40" s="101"/>
    </row>
    <row r="41" spans="2:9" x14ac:dyDescent="0.2">
      <c r="B41" s="11" t="s">
        <v>130</v>
      </c>
      <c r="C41" s="184" t="s">
        <v>58</v>
      </c>
      <c r="D41" s="202"/>
      <c r="E41" s="202"/>
      <c r="F41" s="185"/>
      <c r="G41" s="18">
        <f>TRUNC(SUM(G39:G40),4)</f>
        <v>0.19439999999999999</v>
      </c>
      <c r="H41" s="14">
        <f>SUM(H39:H40)</f>
        <v>893.64</v>
      </c>
      <c r="I41" s="15"/>
    </row>
    <row r="42" spans="2:9" x14ac:dyDescent="0.2">
      <c r="B42" s="210"/>
      <c r="C42" s="211"/>
      <c r="D42" s="211"/>
      <c r="E42" s="211"/>
      <c r="F42" s="211"/>
      <c r="G42" s="211"/>
      <c r="H42" s="212"/>
      <c r="I42" s="94"/>
    </row>
    <row r="43" spans="2:9" ht="30" customHeight="1" x14ac:dyDescent="0.2">
      <c r="B43" s="216" t="s">
        <v>65</v>
      </c>
      <c r="C43" s="217"/>
      <c r="D43" s="217"/>
      <c r="E43" s="217"/>
      <c r="F43" s="218"/>
      <c r="G43" s="135"/>
      <c r="H43" s="136"/>
      <c r="I43" s="102"/>
    </row>
    <row r="44" spans="2:9" x14ac:dyDescent="0.2">
      <c r="B44" s="90" t="s">
        <v>38</v>
      </c>
      <c r="C44" s="184" t="s">
        <v>66</v>
      </c>
      <c r="D44" s="202"/>
      <c r="E44" s="202"/>
      <c r="F44" s="185"/>
      <c r="G44" s="90" t="s">
        <v>1</v>
      </c>
      <c r="H44" s="90" t="s">
        <v>48</v>
      </c>
      <c r="I44" s="95"/>
    </row>
    <row r="45" spans="2:9" x14ac:dyDescent="0.2">
      <c r="B45" s="11" t="s">
        <v>4</v>
      </c>
      <c r="C45" s="88" t="s">
        <v>29</v>
      </c>
      <c r="D45" s="192" t="s">
        <v>132</v>
      </c>
      <c r="E45" s="193"/>
      <c r="F45" s="194"/>
      <c r="G45" s="16">
        <v>0.2</v>
      </c>
      <c r="H45" s="17">
        <f>TRUNC((H$30+H$41)*$G45,2)</f>
        <v>1097.9100000000001</v>
      </c>
      <c r="I45" s="101"/>
    </row>
    <row r="46" spans="2:9" x14ac:dyDescent="0.2">
      <c r="B46" s="11" t="s">
        <v>5</v>
      </c>
      <c r="C46" s="76" t="s">
        <v>30</v>
      </c>
      <c r="D46" s="192" t="s">
        <v>133</v>
      </c>
      <c r="E46" s="193"/>
      <c r="F46" s="194"/>
      <c r="G46" s="16">
        <v>2.5000000000000001E-2</v>
      </c>
      <c r="H46" s="17">
        <f>TRUNC((H$30+H$41)*$G46,2)</f>
        <v>137.22999999999999</v>
      </c>
      <c r="I46" s="101"/>
    </row>
    <row r="47" spans="2:9" x14ac:dyDescent="0.2">
      <c r="B47" s="223" t="s">
        <v>6</v>
      </c>
      <c r="C47" s="225" t="s">
        <v>100</v>
      </c>
      <c r="D47" s="227" t="s">
        <v>139</v>
      </c>
      <c r="E47" s="5" t="s">
        <v>101</v>
      </c>
      <c r="F47" s="5" t="s">
        <v>99</v>
      </c>
      <c r="G47" s="213">
        <f>E48*F48</f>
        <v>0.03</v>
      </c>
      <c r="H47" s="215">
        <f>TRUNC((H$30+H$41)*$G47,2)</f>
        <v>164.68</v>
      </c>
      <c r="I47" s="104"/>
    </row>
    <row r="48" spans="2:9" x14ac:dyDescent="0.2">
      <c r="B48" s="224"/>
      <c r="C48" s="226"/>
      <c r="D48" s="227"/>
      <c r="E48" s="31">
        <v>0.03</v>
      </c>
      <c r="F48" s="32">
        <v>1</v>
      </c>
      <c r="G48" s="214"/>
      <c r="H48" s="215"/>
      <c r="I48" s="104"/>
    </row>
    <row r="49" spans="2:9" x14ac:dyDescent="0.2">
      <c r="B49" s="11" t="s">
        <v>7</v>
      </c>
      <c r="C49" s="88" t="s">
        <v>28</v>
      </c>
      <c r="D49" s="192" t="s">
        <v>134</v>
      </c>
      <c r="E49" s="193"/>
      <c r="F49" s="194"/>
      <c r="G49" s="16">
        <v>1.4999999999999999E-2</v>
      </c>
      <c r="H49" s="17">
        <f>TRUNC((H$30+H$41)*$G49,2)</f>
        <v>82.34</v>
      </c>
      <c r="I49" s="101"/>
    </row>
    <row r="50" spans="2:9" x14ac:dyDescent="0.2">
      <c r="B50" s="11" t="s">
        <v>8</v>
      </c>
      <c r="C50" s="88" t="s">
        <v>31</v>
      </c>
      <c r="D50" s="192" t="s">
        <v>135</v>
      </c>
      <c r="E50" s="193"/>
      <c r="F50" s="194"/>
      <c r="G50" s="16">
        <v>0.01</v>
      </c>
      <c r="H50" s="17">
        <f>TRUNC((H$30+H$41)*$G50,2)</f>
        <v>54.89</v>
      </c>
      <c r="I50" s="101"/>
    </row>
    <row r="51" spans="2:9" x14ac:dyDescent="0.2">
      <c r="B51" s="11" t="s">
        <v>9</v>
      </c>
      <c r="C51" s="88" t="s">
        <v>32</v>
      </c>
      <c r="D51" s="192" t="s">
        <v>136</v>
      </c>
      <c r="E51" s="193"/>
      <c r="F51" s="194"/>
      <c r="G51" s="16">
        <v>6.0000000000000001E-3</v>
      </c>
      <c r="H51" s="17">
        <f>TRUNC((H$30+H$41)*$G51,2)</f>
        <v>32.93</v>
      </c>
      <c r="I51" s="101"/>
    </row>
    <row r="52" spans="2:9" x14ac:dyDescent="0.2">
      <c r="B52" s="11" t="s">
        <v>10</v>
      </c>
      <c r="C52" s="88" t="s">
        <v>33</v>
      </c>
      <c r="D52" s="192" t="s">
        <v>137</v>
      </c>
      <c r="E52" s="193"/>
      <c r="F52" s="194"/>
      <c r="G52" s="16">
        <v>2E-3</v>
      </c>
      <c r="H52" s="17">
        <f>TRUNC((H$30+H$41)*$G52,2)</f>
        <v>10.97</v>
      </c>
      <c r="I52" s="101"/>
    </row>
    <row r="53" spans="2:9" x14ac:dyDescent="0.2">
      <c r="B53" s="11" t="s">
        <v>11</v>
      </c>
      <c r="C53" s="88" t="s">
        <v>34</v>
      </c>
      <c r="D53" s="192" t="s">
        <v>138</v>
      </c>
      <c r="E53" s="193"/>
      <c r="F53" s="194"/>
      <c r="G53" s="16">
        <v>0.08</v>
      </c>
      <c r="H53" s="17">
        <f>TRUNC((H$30+H$41)*$G53,2)</f>
        <v>439.16</v>
      </c>
      <c r="I53" s="101"/>
    </row>
    <row r="54" spans="2:9" x14ac:dyDescent="0.2">
      <c r="B54" s="11" t="s">
        <v>140</v>
      </c>
      <c r="C54" s="184" t="s">
        <v>58</v>
      </c>
      <c r="D54" s="202"/>
      <c r="E54" s="202"/>
      <c r="F54" s="185"/>
      <c r="G54" s="19">
        <f>SUM(G45:G53)</f>
        <v>0.36800000000000005</v>
      </c>
      <c r="H54" s="14">
        <f>SUM(H45:H53)</f>
        <v>2020.1100000000004</v>
      </c>
      <c r="I54" s="15"/>
    </row>
    <row r="55" spans="2:9" x14ac:dyDescent="0.2">
      <c r="B55" s="220"/>
      <c r="C55" s="221"/>
      <c r="D55" s="221"/>
      <c r="E55" s="221"/>
      <c r="F55" s="221"/>
      <c r="G55" s="221"/>
      <c r="H55" s="222"/>
      <c r="I55" s="113"/>
    </row>
    <row r="56" spans="2:9" ht="12.75" customHeight="1" x14ac:dyDescent="0.2">
      <c r="B56" s="216" t="s">
        <v>36</v>
      </c>
      <c r="C56" s="217"/>
      <c r="D56" s="217"/>
      <c r="E56" s="217"/>
      <c r="F56" s="218"/>
      <c r="G56" s="135"/>
      <c r="H56" s="136"/>
      <c r="I56" s="113"/>
    </row>
    <row r="57" spans="2:9" x14ac:dyDescent="0.2">
      <c r="B57" s="90" t="s">
        <v>39</v>
      </c>
      <c r="C57" s="184" t="s">
        <v>40</v>
      </c>
      <c r="D57" s="202"/>
      <c r="E57" s="202"/>
      <c r="F57" s="202"/>
      <c r="G57" s="77"/>
      <c r="H57" s="90" t="s">
        <v>48</v>
      </c>
      <c r="I57" s="95"/>
    </row>
    <row r="58" spans="2:9" ht="12.75" customHeight="1" x14ac:dyDescent="0.2">
      <c r="B58" s="11" t="s">
        <v>4</v>
      </c>
      <c r="C58" s="88" t="s">
        <v>46</v>
      </c>
      <c r="D58" s="158" t="s">
        <v>143</v>
      </c>
      <c r="E58" s="159"/>
      <c r="F58" s="159"/>
      <c r="G58" s="160"/>
      <c r="H58" s="33">
        <f>IF((TRUNC((8.55*2*22)-(H$25*6%),2))&lt;0,"0,00",(TRUNC((8.55*2*22)-(H$25*6%),2)))</f>
        <v>100.44</v>
      </c>
    </row>
    <row r="59" spans="2:9" ht="12.75" customHeight="1" x14ac:dyDescent="0.2">
      <c r="B59" s="11" t="s">
        <v>5</v>
      </c>
      <c r="C59" s="88" t="s">
        <v>47</v>
      </c>
      <c r="D59" s="158" t="s">
        <v>144</v>
      </c>
      <c r="E59" s="159"/>
      <c r="F59" s="159"/>
      <c r="G59" s="160"/>
      <c r="H59" s="33">
        <f>50.67*22</f>
        <v>1114.74</v>
      </c>
      <c r="I59" s="114"/>
    </row>
    <row r="60" spans="2:9" x14ac:dyDescent="0.2">
      <c r="B60" s="11" t="s">
        <v>6</v>
      </c>
      <c r="C60" s="88" t="s">
        <v>102</v>
      </c>
      <c r="D60" s="158"/>
      <c r="E60" s="159"/>
      <c r="F60" s="159"/>
      <c r="G60" s="160"/>
      <c r="H60" s="33">
        <v>0</v>
      </c>
      <c r="I60" s="114"/>
    </row>
    <row r="61" spans="2:9" s="69" customFormat="1" x14ac:dyDescent="0.2">
      <c r="B61" s="11" t="s">
        <v>7</v>
      </c>
      <c r="C61" s="88" t="s">
        <v>2</v>
      </c>
      <c r="D61" s="158"/>
      <c r="E61" s="159"/>
      <c r="F61" s="159"/>
      <c r="G61" s="160"/>
      <c r="H61" s="33">
        <v>0</v>
      </c>
      <c r="I61" s="114"/>
    </row>
    <row r="62" spans="2:9" x14ac:dyDescent="0.2">
      <c r="B62" s="11" t="s">
        <v>141</v>
      </c>
      <c r="C62" s="184" t="s">
        <v>58</v>
      </c>
      <c r="D62" s="202"/>
      <c r="E62" s="202"/>
      <c r="F62" s="202"/>
      <c r="G62" s="77"/>
      <c r="H62" s="14">
        <f>SUM(H58:H61)</f>
        <v>1215.18</v>
      </c>
      <c r="I62" s="15"/>
    </row>
    <row r="63" spans="2:9" x14ac:dyDescent="0.2">
      <c r="B63" s="210"/>
      <c r="C63" s="211"/>
      <c r="D63" s="211"/>
      <c r="E63" s="211"/>
      <c r="F63" s="211"/>
      <c r="G63" s="211"/>
      <c r="H63" s="212"/>
      <c r="I63" s="94"/>
    </row>
    <row r="64" spans="2:9" x14ac:dyDescent="0.2">
      <c r="B64" s="229" t="s">
        <v>68</v>
      </c>
      <c r="C64" s="230"/>
      <c r="D64" s="230"/>
      <c r="E64" s="230"/>
      <c r="F64" s="230"/>
      <c r="G64" s="139"/>
      <c r="H64" s="139"/>
      <c r="I64" s="94"/>
    </row>
    <row r="65" spans="2:9" x14ac:dyDescent="0.2">
      <c r="B65" s="90">
        <v>2</v>
      </c>
      <c r="C65" s="184" t="s">
        <v>67</v>
      </c>
      <c r="D65" s="202"/>
      <c r="E65" s="202"/>
      <c r="F65" s="202"/>
      <c r="G65" s="77"/>
      <c r="H65" s="90" t="s">
        <v>48</v>
      </c>
      <c r="I65" s="95"/>
    </row>
    <row r="66" spans="2:9" x14ac:dyDescent="0.2">
      <c r="B66" s="11" t="s">
        <v>37</v>
      </c>
      <c r="C66" s="78" t="s">
        <v>26</v>
      </c>
      <c r="D66" s="158" t="s">
        <v>130</v>
      </c>
      <c r="E66" s="159"/>
      <c r="F66" s="159"/>
      <c r="G66" s="160"/>
      <c r="H66" s="17">
        <f>H41</f>
        <v>893.64</v>
      </c>
      <c r="I66" s="101"/>
    </row>
    <row r="67" spans="2:9" x14ac:dyDescent="0.2">
      <c r="B67" s="11" t="s">
        <v>38</v>
      </c>
      <c r="C67" s="78" t="s">
        <v>27</v>
      </c>
      <c r="D67" s="158" t="s">
        <v>140</v>
      </c>
      <c r="E67" s="159"/>
      <c r="F67" s="159"/>
      <c r="G67" s="160"/>
      <c r="H67" s="17">
        <f>H54</f>
        <v>2020.1100000000004</v>
      </c>
      <c r="I67" s="101"/>
    </row>
    <row r="68" spans="2:9" x14ac:dyDescent="0.2">
      <c r="B68" s="11" t="s">
        <v>39</v>
      </c>
      <c r="C68" s="78" t="s">
        <v>40</v>
      </c>
      <c r="D68" s="158" t="s">
        <v>141</v>
      </c>
      <c r="E68" s="159"/>
      <c r="F68" s="159"/>
      <c r="G68" s="160"/>
      <c r="H68" s="17">
        <f>H62</f>
        <v>1215.18</v>
      </c>
      <c r="I68" s="101"/>
    </row>
    <row r="69" spans="2:9" x14ac:dyDescent="0.2">
      <c r="B69" s="11" t="s">
        <v>142</v>
      </c>
      <c r="C69" s="184" t="s">
        <v>58</v>
      </c>
      <c r="D69" s="202"/>
      <c r="E69" s="202"/>
      <c r="F69" s="202"/>
      <c r="G69" s="77"/>
      <c r="H69" s="14">
        <f>SUM(H66:H68)</f>
        <v>4128.93</v>
      </c>
      <c r="I69" s="15"/>
    </row>
    <row r="70" spans="2:9" x14ac:dyDescent="0.2">
      <c r="B70" s="211"/>
      <c r="C70" s="211"/>
      <c r="D70" s="211"/>
      <c r="E70" s="211"/>
      <c r="F70" s="211"/>
      <c r="G70" s="211"/>
      <c r="H70" s="211"/>
      <c r="I70" s="95"/>
    </row>
    <row r="71" spans="2:9" x14ac:dyDescent="0.2">
      <c r="B71" s="94"/>
      <c r="C71" s="94"/>
      <c r="D71" s="94"/>
      <c r="E71" s="94"/>
      <c r="F71" s="94"/>
      <c r="G71" s="94"/>
      <c r="H71" s="94"/>
      <c r="I71" s="95"/>
    </row>
    <row r="72" spans="2:9" x14ac:dyDescent="0.2">
      <c r="B72" s="195" t="s">
        <v>69</v>
      </c>
      <c r="C72" s="196"/>
      <c r="D72" s="196"/>
      <c r="E72" s="196"/>
      <c r="F72" s="228"/>
      <c r="G72" s="132"/>
      <c r="H72" s="133"/>
      <c r="I72" s="95"/>
    </row>
    <row r="73" spans="2:9" x14ac:dyDescent="0.2">
      <c r="B73" s="90">
        <v>3</v>
      </c>
      <c r="C73" s="184" t="s">
        <v>59</v>
      </c>
      <c r="D73" s="202"/>
      <c r="E73" s="202"/>
      <c r="F73" s="185"/>
      <c r="G73" s="90" t="s">
        <v>1</v>
      </c>
      <c r="H73" s="90" t="s">
        <v>48</v>
      </c>
      <c r="I73" s="95"/>
    </row>
    <row r="74" spans="2:9" x14ac:dyDescent="0.2">
      <c r="B74" s="11" t="s">
        <v>4</v>
      </c>
      <c r="C74" s="79" t="s">
        <v>94</v>
      </c>
      <c r="D74" s="158" t="s">
        <v>159</v>
      </c>
      <c r="E74" s="159"/>
      <c r="F74" s="160"/>
      <c r="G74" s="34">
        <v>0.5</v>
      </c>
      <c r="H74" s="20">
        <f>TRUNC((H$75+H$76)*$G74,2)</f>
        <v>381.3</v>
      </c>
      <c r="I74" s="15"/>
    </row>
    <row r="75" spans="2:9" x14ac:dyDescent="0.2">
      <c r="B75" s="11" t="s">
        <v>5</v>
      </c>
      <c r="C75" s="88" t="s">
        <v>95</v>
      </c>
      <c r="D75" s="158" t="s">
        <v>178</v>
      </c>
      <c r="E75" s="159"/>
      <c r="F75" s="160"/>
      <c r="G75" s="21"/>
      <c r="H75" s="17">
        <f>TRUNC((H$30+H$41+H$53+H$62-H58)/12,2)</f>
        <v>586.95000000000005</v>
      </c>
      <c r="I75" s="101"/>
    </row>
    <row r="76" spans="2:9" x14ac:dyDescent="0.2">
      <c r="B76" s="11" t="s">
        <v>6</v>
      </c>
      <c r="C76" s="88" t="s">
        <v>96</v>
      </c>
      <c r="D76" s="192" t="s">
        <v>171</v>
      </c>
      <c r="E76" s="194"/>
      <c r="F76" s="36">
        <v>0.4</v>
      </c>
      <c r="G76" s="21"/>
      <c r="H76" s="17">
        <f>TRUNC(H$53*$F76,2)</f>
        <v>175.66</v>
      </c>
      <c r="I76" s="101"/>
    </row>
    <row r="77" spans="2:9" x14ac:dyDescent="0.2">
      <c r="B77" s="11" t="s">
        <v>7</v>
      </c>
      <c r="C77" s="79" t="s">
        <v>97</v>
      </c>
      <c r="D77" s="158" t="s">
        <v>160</v>
      </c>
      <c r="E77" s="159"/>
      <c r="F77" s="160"/>
      <c r="G77" s="170">
        <f>1-G74</f>
        <v>0.5</v>
      </c>
      <c r="H77" s="82">
        <f>(TRUNC(H$78*$G77,2))</f>
        <v>87.83</v>
      </c>
      <c r="I77" s="103"/>
    </row>
    <row r="78" spans="2:9" x14ac:dyDescent="0.2">
      <c r="B78" s="11" t="s">
        <v>8</v>
      </c>
      <c r="C78" s="88" t="s">
        <v>98</v>
      </c>
      <c r="D78" s="192" t="s">
        <v>171</v>
      </c>
      <c r="E78" s="194"/>
      <c r="F78" s="36">
        <v>0.4</v>
      </c>
      <c r="G78" s="21"/>
      <c r="H78" s="17">
        <f>TRUNC(H$53*$F78,2)</f>
        <v>175.66</v>
      </c>
      <c r="I78" s="101"/>
    </row>
    <row r="79" spans="2:9" x14ac:dyDescent="0.2">
      <c r="B79" s="11" t="s">
        <v>9</v>
      </c>
      <c r="C79" s="79" t="s">
        <v>176</v>
      </c>
      <c r="D79" s="231" t="s">
        <v>194</v>
      </c>
      <c r="E79" s="232"/>
      <c r="F79" s="35">
        <v>12</v>
      </c>
      <c r="G79" s="35">
        <v>3</v>
      </c>
      <c r="H79" s="17">
        <f>TRUNC(((H$30+H$41+H$54)/30)*$G79/$F79,2)</f>
        <v>62.58</v>
      </c>
      <c r="I79" s="101"/>
    </row>
    <row r="80" spans="2:9" x14ac:dyDescent="0.2">
      <c r="B80" s="11" t="s">
        <v>146</v>
      </c>
      <c r="C80" s="184" t="s">
        <v>58</v>
      </c>
      <c r="D80" s="202"/>
      <c r="E80" s="202"/>
      <c r="F80" s="202"/>
      <c r="G80" s="77"/>
      <c r="H80" s="14">
        <f>H$74+H$77+H$79</f>
        <v>531.71</v>
      </c>
      <c r="I80" s="15"/>
    </row>
    <row r="81" spans="2:9" x14ac:dyDescent="0.2">
      <c r="B81" s="91"/>
      <c r="C81" s="91"/>
      <c r="D81" s="91"/>
      <c r="E81" s="91"/>
      <c r="F81" s="91"/>
      <c r="G81" s="91"/>
      <c r="H81" s="91"/>
      <c r="I81" s="91"/>
    </row>
    <row r="82" spans="2:9" x14ac:dyDescent="0.2">
      <c r="B82" s="94"/>
      <c r="C82" s="94"/>
      <c r="D82" s="94"/>
      <c r="E82" s="94"/>
      <c r="F82" s="94"/>
      <c r="G82" s="94"/>
      <c r="H82" s="94"/>
      <c r="I82" s="95"/>
    </row>
    <row r="83" spans="2:9" x14ac:dyDescent="0.2">
      <c r="B83" s="195" t="s">
        <v>70</v>
      </c>
      <c r="C83" s="196"/>
      <c r="D83" s="196"/>
      <c r="E83" s="196"/>
      <c r="F83" s="228"/>
      <c r="G83" s="132"/>
      <c r="H83" s="133"/>
      <c r="I83" s="95"/>
    </row>
    <row r="84" spans="2:9" x14ac:dyDescent="0.2">
      <c r="B84" s="233" t="s">
        <v>87</v>
      </c>
      <c r="C84" s="234"/>
      <c r="D84" s="234"/>
      <c r="E84" s="234"/>
      <c r="F84" s="234"/>
      <c r="G84" s="140"/>
      <c r="H84" s="141"/>
      <c r="I84" s="95"/>
    </row>
    <row r="85" spans="2:9" x14ac:dyDescent="0.2">
      <c r="B85" s="90" t="s">
        <v>14</v>
      </c>
      <c r="C85" s="184" t="s">
        <v>88</v>
      </c>
      <c r="D85" s="202"/>
      <c r="E85" s="202"/>
      <c r="F85" s="185"/>
      <c r="G85" s="90" t="s">
        <v>103</v>
      </c>
      <c r="H85" s="90" t="s">
        <v>48</v>
      </c>
      <c r="I85" s="95"/>
    </row>
    <row r="86" spans="2:9" x14ac:dyDescent="0.2">
      <c r="B86" s="11" t="s">
        <v>4</v>
      </c>
      <c r="C86" s="88" t="s">
        <v>200</v>
      </c>
      <c r="D86" s="158" t="s">
        <v>152</v>
      </c>
      <c r="E86" s="159"/>
      <c r="F86" s="160"/>
      <c r="G86" s="35">
        <v>30</v>
      </c>
      <c r="H86" s="17">
        <f>TRUNC((H$88*$G86)/12,2)</f>
        <v>771.37</v>
      </c>
      <c r="I86" s="101"/>
    </row>
    <row r="87" spans="2:9" ht="22.5" x14ac:dyDescent="0.2">
      <c r="B87" s="11" t="s">
        <v>5</v>
      </c>
      <c r="C87" s="80" t="s">
        <v>158</v>
      </c>
      <c r="D87" s="161" t="s">
        <v>161</v>
      </c>
      <c r="E87" s="162"/>
      <c r="F87" s="163"/>
      <c r="G87" s="56">
        <v>8</v>
      </c>
      <c r="H87" s="17">
        <f>TRUNC((H$88*$G87)/12,2)</f>
        <v>205.7</v>
      </c>
      <c r="I87" s="101"/>
    </row>
    <row r="88" spans="2:9" x14ac:dyDescent="0.2">
      <c r="B88" s="11" t="s">
        <v>6</v>
      </c>
      <c r="C88" s="88" t="s">
        <v>109</v>
      </c>
      <c r="D88" s="158" t="s">
        <v>145</v>
      </c>
      <c r="E88" s="159"/>
      <c r="F88" s="159"/>
      <c r="G88" s="160"/>
      <c r="H88" s="17">
        <f>TRUNC((H$30+H$69+H$80)/30,2)</f>
        <v>308.55</v>
      </c>
      <c r="I88" s="101"/>
    </row>
    <row r="89" spans="2:9" x14ac:dyDescent="0.2">
      <c r="B89" s="11" t="s">
        <v>147</v>
      </c>
      <c r="C89" s="184" t="s">
        <v>58</v>
      </c>
      <c r="D89" s="202"/>
      <c r="E89" s="202"/>
      <c r="F89" s="202"/>
      <c r="G89" s="77"/>
      <c r="H89" s="14">
        <f>TRUNC(H$86+H$87,2)</f>
        <v>977.07</v>
      </c>
      <c r="I89" s="15"/>
    </row>
    <row r="90" spans="2:9" x14ac:dyDescent="0.2">
      <c r="B90" s="70"/>
      <c r="C90" s="71"/>
      <c r="D90" s="71"/>
      <c r="E90" s="71"/>
      <c r="F90" s="71"/>
      <c r="G90" s="71"/>
      <c r="H90" s="72"/>
      <c r="I90" s="22"/>
    </row>
    <row r="91" spans="2:9" x14ac:dyDescent="0.2">
      <c r="B91" s="229" t="s">
        <v>89</v>
      </c>
      <c r="C91" s="230"/>
      <c r="D91" s="230"/>
      <c r="E91" s="230"/>
      <c r="F91" s="230"/>
      <c r="G91" s="142"/>
      <c r="H91" s="143"/>
      <c r="I91" s="95"/>
    </row>
    <row r="92" spans="2:9" x14ac:dyDescent="0.2">
      <c r="B92" s="90" t="s">
        <v>15</v>
      </c>
      <c r="C92" s="184" t="s">
        <v>90</v>
      </c>
      <c r="D92" s="202"/>
      <c r="E92" s="202"/>
      <c r="F92" s="185"/>
      <c r="G92" s="90" t="s">
        <v>103</v>
      </c>
      <c r="H92" s="90" t="s">
        <v>48</v>
      </c>
      <c r="I92" s="95"/>
    </row>
    <row r="93" spans="2:9" ht="22.5" x14ac:dyDescent="0.2">
      <c r="B93" s="11" t="s">
        <v>4</v>
      </c>
      <c r="C93" s="80" t="s">
        <v>91</v>
      </c>
      <c r="D93" s="158" t="s">
        <v>180</v>
      </c>
      <c r="E93" s="159"/>
      <c r="F93" s="159"/>
      <c r="G93" s="35"/>
      <c r="H93" s="17">
        <f>TRUNC(((H$30+H69+H80)/220)*(1+50%)*G93,2)</f>
        <v>0</v>
      </c>
      <c r="I93" s="101"/>
    </row>
    <row r="94" spans="2:9" x14ac:dyDescent="0.2">
      <c r="B94" s="11" t="s">
        <v>148</v>
      </c>
      <c r="C94" s="184" t="s">
        <v>58</v>
      </c>
      <c r="D94" s="202"/>
      <c r="E94" s="202"/>
      <c r="F94" s="202"/>
      <c r="G94" s="120"/>
      <c r="H94" s="14">
        <f>H93</f>
        <v>0</v>
      </c>
      <c r="I94" s="101"/>
    </row>
    <row r="95" spans="2:9" x14ac:dyDescent="0.2">
      <c r="B95" s="93"/>
      <c r="C95" s="92"/>
      <c r="D95" s="92"/>
      <c r="E95" s="92"/>
      <c r="F95" s="92"/>
      <c r="G95" s="94"/>
      <c r="H95" s="157"/>
      <c r="I95" s="117"/>
    </row>
    <row r="96" spans="2:9" x14ac:dyDescent="0.2">
      <c r="B96" s="229" t="s">
        <v>71</v>
      </c>
      <c r="C96" s="230"/>
      <c r="D96" s="230"/>
      <c r="E96" s="230"/>
      <c r="F96" s="230"/>
      <c r="G96" s="142"/>
      <c r="H96" s="143"/>
      <c r="I96" s="95"/>
    </row>
    <row r="97" spans="2:9" x14ac:dyDescent="0.2">
      <c r="B97" s="90">
        <v>4</v>
      </c>
      <c r="C97" s="184" t="s">
        <v>72</v>
      </c>
      <c r="D97" s="202"/>
      <c r="E97" s="202"/>
      <c r="F97" s="202"/>
      <c r="G97" s="185"/>
      <c r="H97" s="90" t="s">
        <v>48</v>
      </c>
      <c r="I97" s="95"/>
    </row>
    <row r="98" spans="2:9" x14ac:dyDescent="0.2">
      <c r="B98" s="11" t="s">
        <v>14</v>
      </c>
      <c r="C98" s="88" t="s">
        <v>41</v>
      </c>
      <c r="D98" s="158" t="s">
        <v>147</v>
      </c>
      <c r="E98" s="159"/>
      <c r="F98" s="159"/>
      <c r="G98" s="160"/>
      <c r="H98" s="17">
        <f>H89</f>
        <v>977.07</v>
      </c>
      <c r="I98" s="101"/>
    </row>
    <row r="99" spans="2:9" x14ac:dyDescent="0.2">
      <c r="B99" s="11" t="s">
        <v>15</v>
      </c>
      <c r="C99" s="88" t="s">
        <v>43</v>
      </c>
      <c r="D99" s="158" t="s">
        <v>148</v>
      </c>
      <c r="E99" s="159"/>
      <c r="F99" s="159"/>
      <c r="G99" s="160"/>
      <c r="H99" s="17">
        <f>H94</f>
        <v>0</v>
      </c>
      <c r="I99" s="101"/>
    </row>
    <row r="100" spans="2:9" x14ac:dyDescent="0.2">
      <c r="B100" s="11" t="s">
        <v>149</v>
      </c>
      <c r="C100" s="184" t="s">
        <v>58</v>
      </c>
      <c r="D100" s="202"/>
      <c r="E100" s="202"/>
      <c r="F100" s="202"/>
      <c r="G100" s="77"/>
      <c r="H100" s="14">
        <f>SUM(H98:H99)</f>
        <v>977.07</v>
      </c>
      <c r="I100" s="15"/>
    </row>
    <row r="101" spans="2:9" x14ac:dyDescent="0.2">
      <c r="B101" s="94"/>
      <c r="C101" s="94"/>
      <c r="D101" s="94"/>
      <c r="E101" s="94"/>
      <c r="F101" s="94"/>
      <c r="G101" s="94"/>
      <c r="H101" s="94"/>
      <c r="I101" s="95"/>
    </row>
    <row r="102" spans="2:9" x14ac:dyDescent="0.2">
      <c r="B102" s="94"/>
      <c r="C102" s="94"/>
      <c r="D102" s="94"/>
      <c r="E102" s="94"/>
      <c r="F102" s="94"/>
      <c r="G102" s="94"/>
      <c r="H102" s="94"/>
      <c r="I102" s="95"/>
    </row>
    <row r="103" spans="2:9" x14ac:dyDescent="0.2">
      <c r="B103" s="195" t="s">
        <v>73</v>
      </c>
      <c r="C103" s="196"/>
      <c r="D103" s="196"/>
      <c r="E103" s="196"/>
      <c r="F103" s="228"/>
      <c r="G103" s="132"/>
      <c r="H103" s="133"/>
      <c r="I103" s="95"/>
    </row>
    <row r="104" spans="2:9" x14ac:dyDescent="0.2">
      <c r="B104" s="90">
        <v>5</v>
      </c>
      <c r="C104" s="235" t="s">
        <v>60</v>
      </c>
      <c r="D104" s="236"/>
      <c r="E104" s="236"/>
      <c r="F104" s="236"/>
      <c r="G104" s="237"/>
      <c r="H104" s="90" t="s">
        <v>48</v>
      </c>
      <c r="I104" s="95"/>
    </row>
    <row r="105" spans="2:9" x14ac:dyDescent="0.2">
      <c r="B105" s="11" t="s">
        <v>4</v>
      </c>
      <c r="C105" s="64" t="s">
        <v>44</v>
      </c>
      <c r="D105" s="65"/>
      <c r="E105" s="65"/>
      <c r="F105" s="65"/>
      <c r="G105" s="66"/>
      <c r="H105" s="67">
        <v>0</v>
      </c>
      <c r="I105" s="101"/>
    </row>
    <row r="106" spans="2:9" x14ac:dyDescent="0.2">
      <c r="B106" s="11" t="s">
        <v>5</v>
      </c>
      <c r="C106" s="64" t="s">
        <v>12</v>
      </c>
      <c r="D106" s="65"/>
      <c r="E106" s="65"/>
      <c r="F106" s="65"/>
      <c r="G106" s="66"/>
      <c r="H106" s="67">
        <v>0</v>
      </c>
      <c r="I106" s="101"/>
    </row>
    <row r="107" spans="2:9" x14ac:dyDescent="0.2">
      <c r="B107" s="11" t="s">
        <v>6</v>
      </c>
      <c r="C107" s="64" t="s">
        <v>13</v>
      </c>
      <c r="D107" s="65"/>
      <c r="E107" s="65"/>
      <c r="F107" s="65"/>
      <c r="G107" s="66"/>
      <c r="H107" s="67">
        <f>Insumos!H6</f>
        <v>1.58</v>
      </c>
      <c r="I107" s="101"/>
    </row>
    <row r="108" spans="2:9" x14ac:dyDescent="0.2">
      <c r="B108" s="11" t="s">
        <v>7</v>
      </c>
      <c r="C108" s="64" t="s">
        <v>2</v>
      </c>
      <c r="D108" s="65"/>
      <c r="E108" s="65"/>
      <c r="F108" s="65"/>
      <c r="G108" s="66"/>
      <c r="H108" s="67"/>
      <c r="I108" s="101"/>
    </row>
    <row r="109" spans="2:9" x14ac:dyDescent="0.2">
      <c r="B109" s="11" t="s">
        <v>150</v>
      </c>
      <c r="C109" s="184" t="s">
        <v>58</v>
      </c>
      <c r="D109" s="202"/>
      <c r="E109" s="202"/>
      <c r="F109" s="202"/>
      <c r="G109" s="77"/>
      <c r="H109" s="14">
        <f>SUM(H105:H108)</f>
        <v>1.58</v>
      </c>
      <c r="I109" s="15"/>
    </row>
    <row r="110" spans="2:9" x14ac:dyDescent="0.2">
      <c r="B110" s="94"/>
      <c r="C110" s="94"/>
      <c r="D110" s="94"/>
      <c r="E110" s="94"/>
      <c r="F110" s="94"/>
      <c r="G110" s="73"/>
      <c r="H110" s="68"/>
      <c r="I110" s="15"/>
    </row>
    <row r="111" spans="2:9" x14ac:dyDescent="0.2">
      <c r="B111" s="94"/>
      <c r="C111" s="94"/>
      <c r="D111" s="94"/>
      <c r="E111" s="94"/>
      <c r="F111" s="94"/>
      <c r="G111" s="94"/>
      <c r="H111" s="94"/>
      <c r="I111" s="95"/>
    </row>
    <row r="112" spans="2:9" x14ac:dyDescent="0.2">
      <c r="B112" s="195" t="s">
        <v>74</v>
      </c>
      <c r="C112" s="196"/>
      <c r="D112" s="196"/>
      <c r="E112" s="196"/>
      <c r="F112" s="228"/>
      <c r="G112" s="132"/>
      <c r="H112" s="133"/>
      <c r="I112" s="95"/>
    </row>
    <row r="113" spans="2:9" x14ac:dyDescent="0.2">
      <c r="B113" s="90">
        <v>6</v>
      </c>
      <c r="C113" s="184" t="s">
        <v>61</v>
      </c>
      <c r="D113" s="202"/>
      <c r="E113" s="202"/>
      <c r="F113" s="185"/>
      <c r="G113" s="90" t="s">
        <v>1</v>
      </c>
      <c r="H113" s="90" t="s">
        <v>48</v>
      </c>
      <c r="I113" s="95"/>
    </row>
    <row r="114" spans="2:9" x14ac:dyDescent="0.2">
      <c r="B114" s="11" t="s">
        <v>4</v>
      </c>
      <c r="C114" s="88" t="s">
        <v>16</v>
      </c>
      <c r="D114" s="192" t="s">
        <v>162</v>
      </c>
      <c r="E114" s="193"/>
      <c r="F114" s="194"/>
      <c r="G114" s="46">
        <v>0.05</v>
      </c>
      <c r="H114" s="17">
        <f>TRUNC(H$131*$G114,2)</f>
        <v>511.76</v>
      </c>
      <c r="I114" s="101"/>
    </row>
    <row r="115" spans="2:9" x14ac:dyDescent="0.2">
      <c r="B115" s="11" t="s">
        <v>5</v>
      </c>
      <c r="C115" s="88" t="s">
        <v>3</v>
      </c>
      <c r="D115" s="192" t="s">
        <v>163</v>
      </c>
      <c r="E115" s="193"/>
      <c r="F115" s="194"/>
      <c r="G115" s="46">
        <v>0.1</v>
      </c>
      <c r="H115" s="17">
        <f>TRUNC((H$131+H$114)*$G115,2)</f>
        <v>1074.69</v>
      </c>
      <c r="I115" s="101"/>
    </row>
    <row r="116" spans="2:9" x14ac:dyDescent="0.2">
      <c r="B116" s="11" t="s">
        <v>6</v>
      </c>
      <c r="C116" s="88" t="s">
        <v>115</v>
      </c>
      <c r="D116" s="192" t="s">
        <v>164</v>
      </c>
      <c r="E116" s="193"/>
      <c r="F116" s="194"/>
      <c r="G116" s="48">
        <f>1-(G117+G118+G119)</f>
        <v>0.85749999999999993</v>
      </c>
      <c r="H116" s="23">
        <f>TRUNC(((H$131+H$114+H$115)/$G116),2)</f>
        <v>13786.19</v>
      </c>
      <c r="I116" s="104"/>
    </row>
    <row r="117" spans="2:9" x14ac:dyDescent="0.2">
      <c r="B117" s="11" t="s">
        <v>21</v>
      </c>
      <c r="C117" s="88" t="s">
        <v>18</v>
      </c>
      <c r="D117" s="192" t="s">
        <v>165</v>
      </c>
      <c r="E117" s="193"/>
      <c r="F117" s="194"/>
      <c r="G117" s="47">
        <v>1.6500000000000001E-2</v>
      </c>
      <c r="H117" s="17">
        <f>TRUNC(H$116*$G117,2)</f>
        <v>227.47</v>
      </c>
      <c r="I117" s="101"/>
    </row>
    <row r="118" spans="2:9" x14ac:dyDescent="0.2">
      <c r="B118" s="11" t="s">
        <v>22</v>
      </c>
      <c r="C118" s="88" t="s">
        <v>19</v>
      </c>
      <c r="D118" s="192" t="s">
        <v>165</v>
      </c>
      <c r="E118" s="193"/>
      <c r="F118" s="194"/>
      <c r="G118" s="47">
        <v>7.5999999999999998E-2</v>
      </c>
      <c r="H118" s="17">
        <f>TRUNC(H$116*$G118,2)</f>
        <v>1047.75</v>
      </c>
      <c r="I118" s="101"/>
    </row>
    <row r="119" spans="2:9" x14ac:dyDescent="0.2">
      <c r="B119" s="11" t="s">
        <v>23</v>
      </c>
      <c r="C119" s="88" t="s">
        <v>20</v>
      </c>
      <c r="D119" s="192" t="s">
        <v>165</v>
      </c>
      <c r="E119" s="193"/>
      <c r="F119" s="194"/>
      <c r="G119" s="47">
        <v>0.05</v>
      </c>
      <c r="H119" s="17">
        <f>TRUNC(H$116*$G119,2)</f>
        <v>689.3</v>
      </c>
      <c r="I119" s="101"/>
    </row>
    <row r="120" spans="2:9" x14ac:dyDescent="0.2">
      <c r="B120" s="11" t="s">
        <v>151</v>
      </c>
      <c r="C120" s="84" t="s">
        <v>58</v>
      </c>
      <c r="D120" s="241" t="s">
        <v>153</v>
      </c>
      <c r="E120" s="241"/>
      <c r="F120" s="241"/>
      <c r="G120" s="156"/>
      <c r="H120" s="14">
        <f>SUM(H114:H119)-H116</f>
        <v>3550.9699999999993</v>
      </c>
      <c r="I120" s="15"/>
    </row>
    <row r="121" spans="2:9" x14ac:dyDescent="0.2">
      <c r="B121" s="62"/>
      <c r="C121" s="62"/>
      <c r="D121" s="62"/>
      <c r="E121" s="62"/>
      <c r="F121" s="62"/>
      <c r="G121" s="62"/>
      <c r="H121" s="74"/>
      <c r="I121" s="24"/>
    </row>
    <row r="122" spans="2:9" x14ac:dyDescent="0.2">
      <c r="B122" s="238" t="s">
        <v>188</v>
      </c>
      <c r="C122" s="238"/>
      <c r="D122" s="238"/>
      <c r="E122" s="238"/>
      <c r="F122" s="238"/>
      <c r="G122" s="238"/>
      <c r="H122" s="238"/>
      <c r="I122" s="111"/>
    </row>
    <row r="123" spans="2:9" x14ac:dyDescent="0.2">
      <c r="B123" s="87"/>
      <c r="C123" s="87"/>
      <c r="D123" s="87"/>
      <c r="E123" s="87"/>
      <c r="F123" s="87"/>
      <c r="G123" s="87"/>
      <c r="H123" s="87"/>
      <c r="I123" s="111"/>
    </row>
    <row r="124" spans="2:9" x14ac:dyDescent="0.2">
      <c r="B124" s="195" t="s">
        <v>189</v>
      </c>
      <c r="C124" s="196"/>
      <c r="D124" s="196"/>
      <c r="E124" s="196"/>
      <c r="F124" s="196"/>
      <c r="G124" s="150"/>
      <c r="H124" s="133"/>
      <c r="I124" s="95"/>
    </row>
    <row r="125" spans="2:9" ht="12.75" customHeight="1" x14ac:dyDescent="0.2">
      <c r="B125" s="148"/>
      <c r="C125" s="239" t="s">
        <v>116</v>
      </c>
      <c r="D125" s="240"/>
      <c r="E125" s="240"/>
      <c r="F125" s="240"/>
      <c r="G125" s="149"/>
      <c r="H125" s="131" t="s">
        <v>48</v>
      </c>
      <c r="I125" s="95"/>
    </row>
    <row r="126" spans="2:9" x14ac:dyDescent="0.2">
      <c r="B126" s="11" t="s">
        <v>4</v>
      </c>
      <c r="C126" s="80" t="s">
        <v>76</v>
      </c>
      <c r="D126" s="158" t="s">
        <v>128</v>
      </c>
      <c r="E126" s="159"/>
      <c r="F126" s="159"/>
      <c r="G126" s="160"/>
      <c r="H126" s="17">
        <f>H30</f>
        <v>4595.92</v>
      </c>
      <c r="I126" s="101"/>
    </row>
    <row r="127" spans="2:9" ht="22.5" x14ac:dyDescent="0.2">
      <c r="B127" s="11" t="s">
        <v>5</v>
      </c>
      <c r="C127" s="80" t="s">
        <v>77</v>
      </c>
      <c r="D127" s="158" t="s">
        <v>142</v>
      </c>
      <c r="E127" s="159"/>
      <c r="F127" s="159"/>
      <c r="G127" s="160"/>
      <c r="H127" s="17">
        <f>H69</f>
        <v>4128.93</v>
      </c>
      <c r="I127" s="101"/>
    </row>
    <row r="128" spans="2:9" x14ac:dyDescent="0.2">
      <c r="B128" s="11" t="s">
        <v>6</v>
      </c>
      <c r="C128" s="80" t="s">
        <v>78</v>
      </c>
      <c r="D128" s="158" t="s">
        <v>146</v>
      </c>
      <c r="E128" s="159"/>
      <c r="F128" s="159"/>
      <c r="G128" s="160"/>
      <c r="H128" s="17">
        <f>H80</f>
        <v>531.71</v>
      </c>
      <c r="I128" s="101"/>
    </row>
    <row r="129" spans="2:9" ht="22.5" x14ac:dyDescent="0.2">
      <c r="B129" s="11" t="s">
        <v>7</v>
      </c>
      <c r="C129" s="80" t="s">
        <v>42</v>
      </c>
      <c r="D129" s="158" t="s">
        <v>149</v>
      </c>
      <c r="E129" s="159"/>
      <c r="F129" s="159"/>
      <c r="G129" s="160"/>
      <c r="H129" s="17">
        <f>H100</f>
        <v>977.07</v>
      </c>
      <c r="I129" s="101"/>
    </row>
    <row r="130" spans="2:9" x14ac:dyDescent="0.2">
      <c r="B130" s="11" t="s">
        <v>8</v>
      </c>
      <c r="C130" s="80" t="s">
        <v>79</v>
      </c>
      <c r="D130" s="158" t="s">
        <v>150</v>
      </c>
      <c r="E130" s="159"/>
      <c r="F130" s="159"/>
      <c r="G130" s="160"/>
      <c r="H130" s="17">
        <f>H109</f>
        <v>1.58</v>
      </c>
      <c r="I130" s="101"/>
    </row>
    <row r="131" spans="2:9" x14ac:dyDescent="0.2">
      <c r="B131" s="86" t="s">
        <v>9</v>
      </c>
      <c r="C131" s="79" t="s">
        <v>45</v>
      </c>
      <c r="D131" s="164" t="s">
        <v>169</v>
      </c>
      <c r="E131" s="165"/>
      <c r="F131" s="165"/>
      <c r="G131" s="166"/>
      <c r="H131" s="20">
        <f>SUM(H126:H130)</f>
        <v>10235.210000000001</v>
      </c>
      <c r="I131" s="15"/>
    </row>
    <row r="132" spans="2:9" x14ac:dyDescent="0.2">
      <c r="B132" s="11" t="s">
        <v>10</v>
      </c>
      <c r="C132" s="88" t="s">
        <v>80</v>
      </c>
      <c r="D132" s="158" t="s">
        <v>151</v>
      </c>
      <c r="E132" s="159"/>
      <c r="F132" s="159"/>
      <c r="G132" s="160"/>
      <c r="H132" s="17">
        <f>H120</f>
        <v>3550.9699999999993</v>
      </c>
      <c r="I132" s="101"/>
    </row>
    <row r="133" spans="2:9" x14ac:dyDescent="0.2">
      <c r="B133" s="11" t="s">
        <v>154</v>
      </c>
      <c r="C133" s="83" t="s">
        <v>75</v>
      </c>
      <c r="D133" s="167" t="s">
        <v>168</v>
      </c>
      <c r="E133" s="155"/>
      <c r="F133" s="155"/>
      <c r="G133" s="156"/>
      <c r="H133" s="26">
        <f>SUM(H131:H132)</f>
        <v>13786.18</v>
      </c>
      <c r="I133" s="115"/>
    </row>
    <row r="134" spans="2:9" ht="12.75" customHeight="1" x14ac:dyDescent="0.2">
      <c r="B134" s="9"/>
      <c r="C134" s="9"/>
      <c r="D134" s="9"/>
      <c r="E134" s="9"/>
      <c r="F134" s="9"/>
      <c r="G134" s="9"/>
      <c r="H134" s="27"/>
      <c r="I134" s="27"/>
    </row>
    <row r="135" spans="2:9" x14ac:dyDescent="0.2">
      <c r="B135" s="238" t="s">
        <v>190</v>
      </c>
      <c r="C135" s="238"/>
      <c r="D135" s="238"/>
      <c r="E135" s="238"/>
      <c r="F135" s="238"/>
      <c r="I135" s="9"/>
    </row>
    <row r="136" spans="2:9" x14ac:dyDescent="0.2">
      <c r="B136" s="75"/>
      <c r="C136" s="75"/>
      <c r="D136" s="75"/>
      <c r="E136" s="69"/>
      <c r="F136" s="69"/>
      <c r="I136" s="9"/>
    </row>
    <row r="137" spans="2:9" x14ac:dyDescent="0.2">
      <c r="B137" s="248" t="s">
        <v>191</v>
      </c>
      <c r="C137" s="249"/>
      <c r="D137" s="249"/>
      <c r="E137" s="249"/>
      <c r="F137" s="249"/>
      <c r="G137" s="150"/>
      <c r="H137" s="133"/>
      <c r="I137" s="112"/>
    </row>
    <row r="138" spans="2:9" x14ac:dyDescent="0.2">
      <c r="B138" s="121" t="s">
        <v>4</v>
      </c>
      <c r="C138" s="151" t="s">
        <v>104</v>
      </c>
      <c r="D138" s="250" t="s">
        <v>154</v>
      </c>
      <c r="E138" s="251"/>
      <c r="F138" s="251"/>
      <c r="G138" s="152"/>
      <c r="H138" s="153">
        <f>H133</f>
        <v>13786.18</v>
      </c>
      <c r="I138" s="110"/>
    </row>
    <row r="139" spans="2:9" ht="22.5" x14ac:dyDescent="0.2">
      <c r="B139" s="11" t="s">
        <v>5</v>
      </c>
      <c r="C139" s="81" t="s">
        <v>156</v>
      </c>
      <c r="D139" s="252" t="s">
        <v>157</v>
      </c>
      <c r="E139" s="253"/>
      <c r="F139" s="253"/>
      <c r="G139" s="146"/>
      <c r="H139" s="6">
        <f>H41+H80+H98</f>
        <v>2402.42</v>
      </c>
      <c r="I139" s="105"/>
    </row>
    <row r="140" spans="2:9" ht="22.5" x14ac:dyDescent="0.2">
      <c r="B140" s="11" t="s">
        <v>6</v>
      </c>
      <c r="C140" s="81" t="s">
        <v>172</v>
      </c>
      <c r="D140" s="252" t="s">
        <v>179</v>
      </c>
      <c r="E140" s="253"/>
      <c r="F140" s="253"/>
      <c r="G140" s="147"/>
      <c r="H140" s="109">
        <f>TRUNC((H$41*$G54),2)</f>
        <v>328.85</v>
      </c>
      <c r="I140" s="110"/>
    </row>
    <row r="141" spans="2:9" ht="12.75" customHeight="1" x14ac:dyDescent="0.2">
      <c r="B141" s="11" t="s">
        <v>7</v>
      </c>
      <c r="C141" s="81" t="s">
        <v>16</v>
      </c>
      <c r="D141" s="242" t="s">
        <v>166</v>
      </c>
      <c r="E141" s="243"/>
      <c r="F141" s="244"/>
      <c r="G141" s="7">
        <f>G114</f>
        <v>0.05</v>
      </c>
      <c r="H141" s="6">
        <f>TRUNC((H$139+H$140)*$G141,2)</f>
        <v>136.56</v>
      </c>
      <c r="I141" s="105"/>
    </row>
    <row r="142" spans="2:9" ht="12.75" customHeight="1" x14ac:dyDescent="0.2">
      <c r="B142" s="11" t="s">
        <v>8</v>
      </c>
      <c r="C142" s="81" t="s">
        <v>3</v>
      </c>
      <c r="D142" s="242" t="s">
        <v>167</v>
      </c>
      <c r="E142" s="243"/>
      <c r="F142" s="244"/>
      <c r="G142" s="7">
        <f>G115</f>
        <v>0.1</v>
      </c>
      <c r="H142" s="6">
        <f>TRUNC((H$139+H$140+H$141)*$G142,2)</f>
        <v>286.77999999999997</v>
      </c>
      <c r="I142" s="105"/>
    </row>
    <row r="143" spans="2:9" ht="12.75" customHeight="1" x14ac:dyDescent="0.2">
      <c r="B143" s="11" t="s">
        <v>9</v>
      </c>
      <c r="C143" s="81" t="s">
        <v>105</v>
      </c>
      <c r="D143" s="242" t="s">
        <v>174</v>
      </c>
      <c r="E143" s="243"/>
      <c r="F143" s="244"/>
      <c r="G143" s="7">
        <f>G117+G118+G119</f>
        <v>0.14250000000000002</v>
      </c>
      <c r="H143" s="6">
        <f>TRUNC((H$139+H$140+H$141+H$142)/(1-$G143)-(H$139+H$140+H$141+H$142),2)</f>
        <v>524.23</v>
      </c>
      <c r="I143" s="105"/>
    </row>
    <row r="144" spans="2:9" ht="22.5" x14ac:dyDescent="0.2">
      <c r="B144" s="11" t="s">
        <v>10</v>
      </c>
      <c r="C144" s="122" t="s">
        <v>106</v>
      </c>
      <c r="D144" s="144" t="s">
        <v>175</v>
      </c>
      <c r="E144" s="145"/>
      <c r="F144" s="145"/>
      <c r="G144" s="146"/>
      <c r="H144" s="123">
        <f>SUM(H139:H143)</f>
        <v>3678.8399999999997</v>
      </c>
      <c r="I144" s="106"/>
    </row>
    <row r="145" spans="2:9" x14ac:dyDescent="0.2">
      <c r="B145" s="11" t="s">
        <v>155</v>
      </c>
      <c r="C145" s="85" t="s">
        <v>125</v>
      </c>
      <c r="D145" s="254" t="s">
        <v>173</v>
      </c>
      <c r="E145" s="255"/>
      <c r="F145" s="255"/>
      <c r="G145" s="154"/>
      <c r="H145" s="123">
        <f>H138-H144</f>
        <v>10107.34</v>
      </c>
      <c r="I145" s="116"/>
    </row>
    <row r="146" spans="2:9" ht="45" customHeight="1" x14ac:dyDescent="0.2">
      <c r="B146" s="245" t="s">
        <v>124</v>
      </c>
      <c r="C146" s="246"/>
      <c r="D146" s="246"/>
      <c r="E146" s="246"/>
      <c r="F146" s="246"/>
      <c r="G146" s="247"/>
      <c r="H146" s="130"/>
      <c r="I146" s="107"/>
    </row>
  </sheetData>
  <mergeCells count="103">
    <mergeCell ref="C125:F125"/>
    <mergeCell ref="D120:F120"/>
    <mergeCell ref="D141:F141"/>
    <mergeCell ref="D142:F142"/>
    <mergeCell ref="D143:F143"/>
    <mergeCell ref="B135:F135"/>
    <mergeCell ref="B146:G146"/>
    <mergeCell ref="B137:F137"/>
    <mergeCell ref="D138:F138"/>
    <mergeCell ref="D139:F139"/>
    <mergeCell ref="D140:F140"/>
    <mergeCell ref="D145:F145"/>
    <mergeCell ref="D119:F119"/>
    <mergeCell ref="B122:H122"/>
    <mergeCell ref="C113:F113"/>
    <mergeCell ref="D114:F114"/>
    <mergeCell ref="D115:F115"/>
    <mergeCell ref="D116:F116"/>
    <mergeCell ref="D117:F117"/>
    <mergeCell ref="D118:F118"/>
    <mergeCell ref="B124:F124"/>
    <mergeCell ref="C89:F89"/>
    <mergeCell ref="C80:F80"/>
    <mergeCell ref="C104:G104"/>
    <mergeCell ref="C92:F92"/>
    <mergeCell ref="C97:G97"/>
    <mergeCell ref="B103:F103"/>
    <mergeCell ref="B112:F112"/>
    <mergeCell ref="B91:F91"/>
    <mergeCell ref="B96:F96"/>
    <mergeCell ref="C109:F109"/>
    <mergeCell ref="C100:F100"/>
    <mergeCell ref="C94:F94"/>
    <mergeCell ref="C62:F62"/>
    <mergeCell ref="B70:H70"/>
    <mergeCell ref="C73:F73"/>
    <mergeCell ref="B63:H63"/>
    <mergeCell ref="B72:F72"/>
    <mergeCell ref="B64:F64"/>
    <mergeCell ref="C65:F65"/>
    <mergeCell ref="C69:F69"/>
    <mergeCell ref="C85:F85"/>
    <mergeCell ref="D76:E76"/>
    <mergeCell ref="D78:E78"/>
    <mergeCell ref="D79:E79"/>
    <mergeCell ref="B83:F83"/>
    <mergeCell ref="B84:F84"/>
    <mergeCell ref="D49:F49"/>
    <mergeCell ref="D50:F50"/>
    <mergeCell ref="D51:F51"/>
    <mergeCell ref="C44:F44"/>
    <mergeCell ref="D45:F45"/>
    <mergeCell ref="D46:F46"/>
    <mergeCell ref="B56:F56"/>
    <mergeCell ref="C57:F57"/>
    <mergeCell ref="D52:F52"/>
    <mergeCell ref="D53:F53"/>
    <mergeCell ref="C54:F54"/>
    <mergeCell ref="B55:H55"/>
    <mergeCell ref="B47:B48"/>
    <mergeCell ref="C47:C48"/>
    <mergeCell ref="D47:D48"/>
    <mergeCell ref="C38:F38"/>
    <mergeCell ref="D39:F39"/>
    <mergeCell ref="D40:F40"/>
    <mergeCell ref="C41:F41"/>
    <mergeCell ref="B42:H42"/>
    <mergeCell ref="G47:G48"/>
    <mergeCell ref="H47:H48"/>
    <mergeCell ref="B43:F43"/>
    <mergeCell ref="C30:F30"/>
    <mergeCell ref="C31:F32"/>
    <mergeCell ref="D28:F28"/>
    <mergeCell ref="B23:F23"/>
    <mergeCell ref="B35:F35"/>
    <mergeCell ref="B37:F37"/>
    <mergeCell ref="B36:F36"/>
    <mergeCell ref="B2:H2"/>
    <mergeCell ref="B3:H3"/>
    <mergeCell ref="B9:B10"/>
    <mergeCell ref="B19:B20"/>
    <mergeCell ref="C24:F24"/>
    <mergeCell ref="B15:B16"/>
    <mergeCell ref="D6:F6"/>
    <mergeCell ref="B17:B18"/>
    <mergeCell ref="D29:F29"/>
    <mergeCell ref="B8:F8"/>
    <mergeCell ref="C9:F9"/>
    <mergeCell ref="C10:F10"/>
    <mergeCell ref="C20:F20"/>
    <mergeCell ref="C19:F19"/>
    <mergeCell ref="C18:F18"/>
    <mergeCell ref="C17:F17"/>
    <mergeCell ref="C16:F16"/>
    <mergeCell ref="C15:F15"/>
    <mergeCell ref="C14:F14"/>
    <mergeCell ref="C13:F13"/>
    <mergeCell ref="C12:F12"/>
    <mergeCell ref="C11:F11"/>
    <mergeCell ref="B11:B12"/>
    <mergeCell ref="B13:B14"/>
    <mergeCell ref="D25:F25"/>
    <mergeCell ref="D26:F26"/>
  </mergeCells>
  <dataValidations count="10">
    <dataValidation type="list" allowBlank="1" showInputMessage="1" showErrorMessage="1" sqref="G79" xr:uid="{00000000-0002-0000-0100-000000000000}">
      <formula1>"3,6,9,12,15"</formula1>
    </dataValidation>
    <dataValidation type="custom" allowBlank="1" showInputMessage="1" showErrorMessage="1" sqref="G116" xr:uid="{00000000-0002-0000-0100-000001000000}">
      <formula1>1-(G117+G118+G119)</formula1>
    </dataValidation>
    <dataValidation type="list" operator="equal" allowBlank="1" showInputMessage="1" showErrorMessage="1" errorTitle="Valor errado" error="Percentual fixo. Preencher com 40%." sqref="F76 F78" xr:uid="{00000000-0002-0000-0100-000002000000}">
      <formula1>"40%"</formula1>
    </dataValidation>
    <dataValidation type="whole" allowBlank="1" showInputMessage="1" showErrorMessage="1" errorTitle="Valor errado" error="Quantidade fixa de dias. Prencher com 30" sqref="G86" xr:uid="{00000000-0002-0000-0100-000003000000}">
      <formula1>30</formula1>
      <formula2>30</formula2>
    </dataValidation>
    <dataValidation type="list" allowBlank="1" showInputMessage="1" showErrorMessage="1" sqref="G117" xr:uid="{00000000-0002-0000-0100-000005000000}">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list" allowBlank="1" showInputMessage="1" showErrorMessage="1" sqref="G118" xr:uid="{00000000-0002-0000-0100-000006000000}">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28" xr:uid="{00000000-0002-0000-0100-000007000000}">
      <formula1>"0, 20%"</formula1>
    </dataValidation>
    <dataValidation type="list" allowBlank="1" showInputMessage="1" showErrorMessage="1" sqref="E48" xr:uid="{00000000-0002-0000-0100-000008000000}">
      <formula1>"1%, 2%, 3%"</formula1>
    </dataValidation>
    <dataValidation type="list" allowBlank="1" showInputMessage="1" showErrorMessage="1" sqref="G27" xr:uid="{00000000-0002-0000-0100-000009000000}">
      <formula1>"0%, 10%, 20%, 40%"</formula1>
    </dataValidation>
    <dataValidation type="list" allowBlank="1" showInputMessage="1" showErrorMessage="1" sqref="G26" xr:uid="{00000000-0002-0000-0100-00000A000000}">
      <formula1>"0%, 30%"</formula1>
    </dataValidation>
  </dataValidations>
  <pageMargins left="0.511811024" right="0.511811024" top="0.78740157499999996" bottom="0.78740157499999996" header="0.31496062000000002" footer="0.31496062000000002"/>
  <pageSetup paperSize="9" scale="69" fitToHeight="0" orientation="portrait" verticalDpi="300" r:id="rId1"/>
  <rowBreaks count="1" manualBreakCount="1">
    <brk id="70" max="9" man="1"/>
  </rowBreaks>
  <ignoredErrors>
    <ignoredError sqref="H7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52DF-3E07-43A6-8C77-2D649054EEF3}">
  <sheetPr>
    <tabColor theme="5" tint="0.59999389629810485"/>
    <pageSetUpPr fitToPage="1"/>
  </sheetPr>
  <dimension ref="B1:I146"/>
  <sheetViews>
    <sheetView topLeftCell="A20" zoomScale="130" zoomScaleNormal="130" workbookViewId="0">
      <selection activeCell="G149" sqref="G149"/>
    </sheetView>
  </sheetViews>
  <sheetFormatPr defaultColWidth="9.140625" defaultRowHeight="12.75" x14ac:dyDescent="0.2"/>
  <cols>
    <col min="1" max="1" width="3.5703125" style="58" customWidth="1"/>
    <col min="2" max="2" width="8.28515625" style="58" customWidth="1"/>
    <col min="3" max="3" width="39.140625" style="58" customWidth="1"/>
    <col min="4" max="4" width="29.140625" style="58" customWidth="1"/>
    <col min="5" max="6" width="8.140625" style="58" customWidth="1"/>
    <col min="7" max="7" width="9.140625" style="58"/>
    <col min="8" max="9" width="15.28515625" style="58" customWidth="1"/>
    <col min="10" max="16384" width="9.140625" style="58"/>
  </cols>
  <sheetData>
    <row r="1" spans="2:9" x14ac:dyDescent="0.2">
      <c r="C1" s="108"/>
      <c r="D1" s="9"/>
      <c r="E1" s="9"/>
      <c r="F1" s="9"/>
      <c r="G1" s="9"/>
      <c r="H1" s="9"/>
      <c r="I1" s="9"/>
    </row>
    <row r="2" spans="2:9" x14ac:dyDescent="0.2">
      <c r="B2" s="200" t="s">
        <v>49</v>
      </c>
      <c r="C2" s="200"/>
      <c r="D2" s="200"/>
      <c r="E2" s="200"/>
      <c r="F2" s="200"/>
      <c r="G2" s="200"/>
      <c r="H2" s="200"/>
      <c r="I2" s="94"/>
    </row>
    <row r="3" spans="2:9" x14ac:dyDescent="0.2">
      <c r="B3" s="201" t="s">
        <v>187</v>
      </c>
      <c r="C3" s="201"/>
      <c r="D3" s="201"/>
      <c r="E3" s="201"/>
      <c r="F3" s="201"/>
      <c r="G3" s="201"/>
      <c r="H3" s="201"/>
      <c r="I3" s="96"/>
    </row>
    <row r="4" spans="2:9" x14ac:dyDescent="0.2">
      <c r="B4" s="60"/>
      <c r="C4" s="60"/>
      <c r="D4" s="60"/>
      <c r="E4" s="60"/>
      <c r="F4" s="60"/>
      <c r="G4" s="60"/>
      <c r="H4" s="60"/>
      <c r="I4" s="60"/>
    </row>
    <row r="5" spans="2:9" x14ac:dyDescent="0.2">
      <c r="B5" s="60"/>
      <c r="C5" s="60"/>
      <c r="D5" s="60"/>
      <c r="E5" s="60"/>
      <c r="F5" s="60"/>
      <c r="G5" s="60"/>
      <c r="H5" s="60"/>
      <c r="I5" s="60"/>
    </row>
    <row r="6" spans="2:9" x14ac:dyDescent="0.2">
      <c r="B6" s="128" t="s">
        <v>126</v>
      </c>
      <c r="C6" s="128"/>
      <c r="D6" s="203" t="s">
        <v>202</v>
      </c>
      <c r="E6" s="204"/>
      <c r="F6" s="205"/>
      <c r="I6" s="10"/>
    </row>
    <row r="7" spans="2:9" x14ac:dyDescent="0.2">
      <c r="B7" s="60"/>
      <c r="C7" s="60"/>
      <c r="D7" s="60"/>
      <c r="E7" s="60"/>
      <c r="F7" s="60"/>
      <c r="G7" s="60"/>
      <c r="H7" s="60"/>
      <c r="I7" s="9"/>
    </row>
    <row r="8" spans="2:9" x14ac:dyDescent="0.2">
      <c r="B8" s="206" t="s">
        <v>50</v>
      </c>
      <c r="C8" s="206"/>
      <c r="D8" s="206"/>
      <c r="E8" s="206"/>
      <c r="F8" s="206"/>
      <c r="G8" s="129"/>
      <c r="H8" s="129"/>
      <c r="I8" s="59"/>
    </row>
    <row r="9" spans="2:9" x14ac:dyDescent="0.2">
      <c r="B9" s="191">
        <v>1</v>
      </c>
      <c r="C9" s="188" t="s">
        <v>51</v>
      </c>
      <c r="D9" s="188"/>
      <c r="E9" s="188"/>
      <c r="F9" s="188"/>
      <c r="G9" s="129"/>
      <c r="H9" s="129"/>
      <c r="I9" s="59"/>
    </row>
    <row r="10" spans="2:9" x14ac:dyDescent="0.2">
      <c r="B10" s="191"/>
      <c r="C10" s="190" t="s">
        <v>208</v>
      </c>
      <c r="D10" s="190"/>
      <c r="E10" s="190"/>
      <c r="F10" s="190"/>
      <c r="G10" s="129"/>
      <c r="H10" s="129"/>
      <c r="I10" s="59"/>
    </row>
    <row r="11" spans="2:9" x14ac:dyDescent="0.2">
      <c r="B11" s="191">
        <v>2</v>
      </c>
      <c r="C11" s="188" t="s">
        <v>52</v>
      </c>
      <c r="D11" s="188"/>
      <c r="E11" s="188"/>
      <c r="F11" s="188"/>
      <c r="G11" s="129"/>
      <c r="H11" s="129"/>
      <c r="I11" s="59"/>
    </row>
    <row r="12" spans="2:9" x14ac:dyDescent="0.2">
      <c r="B12" s="191"/>
      <c r="C12" s="190" t="s">
        <v>207</v>
      </c>
      <c r="D12" s="190"/>
      <c r="E12" s="190"/>
      <c r="F12" s="190"/>
      <c r="G12" s="129"/>
      <c r="H12" s="129"/>
      <c r="I12" s="59"/>
    </row>
    <row r="13" spans="2:9" x14ac:dyDescent="0.2">
      <c r="B13" s="191">
        <v>3</v>
      </c>
      <c r="C13" s="188" t="s">
        <v>53</v>
      </c>
      <c r="D13" s="188"/>
      <c r="E13" s="188"/>
      <c r="F13" s="188"/>
      <c r="G13" s="129"/>
      <c r="H13" s="129"/>
      <c r="I13" s="59"/>
    </row>
    <row r="14" spans="2:9" x14ac:dyDescent="0.2">
      <c r="B14" s="191"/>
      <c r="C14" s="189" t="s">
        <v>209</v>
      </c>
      <c r="D14" s="189"/>
      <c r="E14" s="189"/>
      <c r="F14" s="189"/>
      <c r="G14" s="129"/>
      <c r="H14" s="129"/>
      <c r="I14" s="59"/>
    </row>
    <row r="15" spans="2:9" x14ac:dyDescent="0.2">
      <c r="B15" s="191">
        <v>4</v>
      </c>
      <c r="C15" s="188" t="s">
        <v>54</v>
      </c>
      <c r="D15" s="188"/>
      <c r="E15" s="188"/>
      <c r="F15" s="188"/>
      <c r="G15" s="129"/>
      <c r="H15" s="129"/>
      <c r="I15" s="59"/>
    </row>
    <row r="16" spans="2:9" x14ac:dyDescent="0.2">
      <c r="B16" s="191"/>
      <c r="C16" s="190" t="s">
        <v>209</v>
      </c>
      <c r="D16" s="190"/>
      <c r="E16" s="190"/>
      <c r="F16" s="190"/>
      <c r="G16" s="129"/>
      <c r="H16" s="129"/>
      <c r="I16" s="59"/>
    </row>
    <row r="17" spans="2:9" x14ac:dyDescent="0.2">
      <c r="B17" s="191">
        <v>5</v>
      </c>
      <c r="C17" s="188" t="s">
        <v>55</v>
      </c>
      <c r="D17" s="188"/>
      <c r="E17" s="188"/>
      <c r="F17" s="188"/>
      <c r="G17" s="129"/>
      <c r="H17" s="129"/>
      <c r="I17" s="59"/>
    </row>
    <row r="18" spans="2:9" x14ac:dyDescent="0.2">
      <c r="B18" s="191"/>
      <c r="C18" s="190" t="s">
        <v>209</v>
      </c>
      <c r="D18" s="190"/>
      <c r="E18" s="190"/>
      <c r="F18" s="190"/>
      <c r="G18" s="129"/>
      <c r="H18" s="129"/>
      <c r="I18" s="59"/>
    </row>
    <row r="19" spans="2:9" x14ac:dyDescent="0.2">
      <c r="B19" s="191">
        <v>6</v>
      </c>
      <c r="C19" s="188" t="s">
        <v>56</v>
      </c>
      <c r="D19" s="188"/>
      <c r="E19" s="188"/>
      <c r="F19" s="188"/>
      <c r="G19" s="129"/>
      <c r="H19" s="129"/>
      <c r="I19" s="59"/>
    </row>
    <row r="20" spans="2:9" x14ac:dyDescent="0.2">
      <c r="B20" s="191"/>
      <c r="C20" s="190" t="s">
        <v>209</v>
      </c>
      <c r="D20" s="190"/>
      <c r="E20" s="190"/>
      <c r="F20" s="190"/>
      <c r="G20" s="129"/>
      <c r="H20" s="129"/>
      <c r="I20" s="59"/>
    </row>
    <row r="21" spans="2:9" x14ac:dyDescent="0.2">
      <c r="B21" s="61"/>
      <c r="C21" s="61"/>
      <c r="D21" s="61"/>
      <c r="E21" s="61"/>
      <c r="F21" s="61"/>
      <c r="G21" s="62"/>
      <c r="H21" s="62"/>
      <c r="I21" s="59"/>
    </row>
    <row r="22" spans="2:9" x14ac:dyDescent="0.2">
      <c r="B22" s="63"/>
      <c r="C22" s="63"/>
      <c r="D22" s="63"/>
      <c r="E22" s="63"/>
      <c r="F22" s="63"/>
      <c r="G22" s="63"/>
      <c r="H22" s="134" t="s">
        <v>193</v>
      </c>
    </row>
    <row r="23" spans="2:9" x14ac:dyDescent="0.2">
      <c r="B23" s="195" t="s">
        <v>63</v>
      </c>
      <c r="C23" s="196"/>
      <c r="D23" s="196"/>
      <c r="E23" s="196"/>
      <c r="F23" s="196"/>
      <c r="G23" s="132"/>
      <c r="H23" s="133"/>
      <c r="I23" s="95"/>
    </row>
    <row r="24" spans="2:9" x14ac:dyDescent="0.2">
      <c r="B24" s="90">
        <v>1</v>
      </c>
      <c r="C24" s="184" t="s">
        <v>57</v>
      </c>
      <c r="D24" s="202"/>
      <c r="E24" s="202"/>
      <c r="F24" s="185"/>
      <c r="G24" s="131" t="s">
        <v>1</v>
      </c>
      <c r="H24" s="131" t="s">
        <v>48</v>
      </c>
      <c r="I24" s="95"/>
    </row>
    <row r="25" spans="2:9" ht="12.75" customHeight="1" x14ac:dyDescent="0.2">
      <c r="B25" s="11" t="s">
        <v>4</v>
      </c>
      <c r="C25" s="88" t="s">
        <v>17</v>
      </c>
      <c r="D25" s="192"/>
      <c r="E25" s="193"/>
      <c r="F25" s="194"/>
      <c r="G25" s="12"/>
      <c r="H25" s="28">
        <v>2234.0100000000002</v>
      </c>
      <c r="I25" s="101"/>
    </row>
    <row r="26" spans="2:9" x14ac:dyDescent="0.2">
      <c r="B26" s="11" t="s">
        <v>5</v>
      </c>
      <c r="C26" s="88" t="s">
        <v>24</v>
      </c>
      <c r="D26" s="192" t="s">
        <v>127</v>
      </c>
      <c r="E26" s="193"/>
      <c r="F26" s="194"/>
      <c r="G26" s="171"/>
      <c r="H26" s="13">
        <f>TRUNC(H$25*$G26,2)</f>
        <v>0</v>
      </c>
      <c r="I26" s="97"/>
    </row>
    <row r="27" spans="2:9" x14ac:dyDescent="0.2">
      <c r="B27" s="11" t="s">
        <v>6</v>
      </c>
      <c r="C27" s="89" t="s">
        <v>25</v>
      </c>
      <c r="D27" s="158" t="s">
        <v>170</v>
      </c>
      <c r="E27" s="169" t="s">
        <v>195</v>
      </c>
      <c r="F27" s="168">
        <v>1518</v>
      </c>
      <c r="G27" s="171"/>
      <c r="H27" s="13">
        <f>TRUNC(F$27*$G27,2)</f>
        <v>0</v>
      </c>
      <c r="I27" s="97"/>
    </row>
    <row r="28" spans="2:9" x14ac:dyDescent="0.2">
      <c r="B28" s="11" t="s">
        <v>7</v>
      </c>
      <c r="C28" s="89" t="s">
        <v>0</v>
      </c>
      <c r="D28" s="192" t="s">
        <v>177</v>
      </c>
      <c r="E28" s="193"/>
      <c r="F28" s="194"/>
      <c r="G28" s="172"/>
      <c r="H28" s="67">
        <f>TRUNC(((H$25+H26)*$G28)/220*8*15,2)</f>
        <v>0</v>
      </c>
      <c r="I28" s="98"/>
    </row>
    <row r="29" spans="2:9" x14ac:dyDescent="0.2">
      <c r="B29" s="11" t="s">
        <v>10</v>
      </c>
      <c r="C29" s="89" t="s">
        <v>2</v>
      </c>
      <c r="D29" s="192"/>
      <c r="E29" s="193"/>
      <c r="F29" s="194"/>
      <c r="G29" s="29"/>
      <c r="H29" s="49"/>
      <c r="I29" s="99"/>
    </row>
    <row r="30" spans="2:9" x14ac:dyDescent="0.2">
      <c r="B30" s="11" t="s">
        <v>128</v>
      </c>
      <c r="C30" s="184" t="s">
        <v>58</v>
      </c>
      <c r="D30" s="202"/>
      <c r="E30" s="202"/>
      <c r="F30" s="185"/>
      <c r="G30" s="25"/>
      <c r="H30" s="14">
        <f>SUM(H25:H29)</f>
        <v>2234.0100000000002</v>
      </c>
      <c r="I30" s="15"/>
    </row>
    <row r="31" spans="2:9" ht="22.5" x14ac:dyDescent="0.2">
      <c r="B31" s="94"/>
      <c r="C31" s="219" t="s">
        <v>117</v>
      </c>
      <c r="D31" s="219"/>
      <c r="E31" s="219"/>
      <c r="F31" s="219"/>
      <c r="G31" s="52" t="s">
        <v>107</v>
      </c>
      <c r="H31" s="51" t="s">
        <v>121</v>
      </c>
      <c r="I31" s="2"/>
    </row>
    <row r="32" spans="2:9" x14ac:dyDescent="0.2">
      <c r="B32" s="94"/>
      <c r="C32" s="219"/>
      <c r="D32" s="219"/>
      <c r="E32" s="219"/>
      <c r="F32" s="219"/>
      <c r="G32" s="50"/>
      <c r="H32" s="30">
        <f>IF($G$32="",0,TRUNC((H25+H26+H27)/220,2))</f>
        <v>0</v>
      </c>
      <c r="I32" s="100"/>
    </row>
    <row r="33" spans="2:9" x14ac:dyDescent="0.2">
      <c r="B33" s="94"/>
      <c r="C33" s="94"/>
      <c r="D33" s="94"/>
      <c r="E33" s="94"/>
      <c r="F33" s="94"/>
      <c r="G33" s="94"/>
      <c r="H33" s="68"/>
      <c r="I33" s="15"/>
    </row>
    <row r="34" spans="2:9" x14ac:dyDescent="0.2">
      <c r="B34" s="94"/>
      <c r="C34" s="94"/>
      <c r="D34" s="94"/>
      <c r="E34" s="94"/>
      <c r="F34" s="94"/>
      <c r="G34" s="94"/>
      <c r="H34" s="68"/>
      <c r="I34" s="15"/>
    </row>
    <row r="35" spans="2:9" ht="12.75" customHeight="1" x14ac:dyDescent="0.2">
      <c r="B35" s="195" t="s">
        <v>64</v>
      </c>
      <c r="C35" s="196"/>
      <c r="D35" s="196"/>
      <c r="E35" s="196"/>
      <c r="F35" s="196"/>
      <c r="G35" s="132"/>
      <c r="H35" s="133"/>
      <c r="I35" s="95"/>
    </row>
    <row r="36" spans="2:9" x14ac:dyDescent="0.2">
      <c r="B36" s="198"/>
      <c r="C36" s="199"/>
      <c r="D36" s="199"/>
      <c r="E36" s="199"/>
      <c r="F36" s="199"/>
      <c r="G36" s="57"/>
      <c r="H36" s="57"/>
      <c r="I36" s="95"/>
    </row>
    <row r="37" spans="2:9" x14ac:dyDescent="0.2">
      <c r="B37" s="197" t="s">
        <v>35</v>
      </c>
      <c r="C37" s="197"/>
      <c r="D37" s="197"/>
      <c r="E37" s="197"/>
      <c r="F37" s="197"/>
      <c r="G37" s="57"/>
      <c r="H37" s="57"/>
      <c r="I37" s="95"/>
    </row>
    <row r="38" spans="2:9" x14ac:dyDescent="0.2">
      <c r="B38" s="131" t="s">
        <v>37</v>
      </c>
      <c r="C38" s="207" t="s">
        <v>26</v>
      </c>
      <c r="D38" s="208"/>
      <c r="E38" s="208"/>
      <c r="F38" s="209"/>
      <c r="G38" s="90" t="s">
        <v>1</v>
      </c>
      <c r="H38" s="90" t="s">
        <v>48</v>
      </c>
      <c r="I38" s="95"/>
    </row>
    <row r="39" spans="2:9" x14ac:dyDescent="0.2">
      <c r="B39" s="11" t="s">
        <v>4</v>
      </c>
      <c r="C39" s="88" t="s">
        <v>108</v>
      </c>
      <c r="D39" s="192" t="s">
        <v>129</v>
      </c>
      <c r="E39" s="193"/>
      <c r="F39" s="194"/>
      <c r="G39" s="137">
        <f>1/12</f>
        <v>8.3333333333333329E-2</v>
      </c>
      <c r="H39" s="138">
        <f>TRUNC((H$30*$G39),2)</f>
        <v>186.16</v>
      </c>
      <c r="I39" s="101"/>
    </row>
    <row r="40" spans="2:9" x14ac:dyDescent="0.2">
      <c r="B40" s="11" t="s">
        <v>5</v>
      </c>
      <c r="C40" s="88" t="s">
        <v>62</v>
      </c>
      <c r="D40" s="192" t="s">
        <v>131</v>
      </c>
      <c r="E40" s="193"/>
      <c r="F40" s="194"/>
      <c r="G40" s="16">
        <f>(1/12)+(1/3/12)</f>
        <v>0.1111111111111111</v>
      </c>
      <c r="H40" s="17">
        <f>TRUNC((H$30*$G40),2)</f>
        <v>248.22</v>
      </c>
      <c r="I40" s="101"/>
    </row>
    <row r="41" spans="2:9" x14ac:dyDescent="0.2">
      <c r="B41" s="11" t="s">
        <v>130</v>
      </c>
      <c r="C41" s="184" t="s">
        <v>58</v>
      </c>
      <c r="D41" s="202"/>
      <c r="E41" s="202"/>
      <c r="F41" s="185"/>
      <c r="G41" s="18">
        <f>TRUNC(SUM(G39:G40),4)</f>
        <v>0.19439999999999999</v>
      </c>
      <c r="H41" s="14">
        <f>SUM(H39:H40)</f>
        <v>434.38</v>
      </c>
      <c r="I41" s="15"/>
    </row>
    <row r="42" spans="2:9" x14ac:dyDescent="0.2">
      <c r="B42" s="210"/>
      <c r="C42" s="211"/>
      <c r="D42" s="211"/>
      <c r="E42" s="211"/>
      <c r="F42" s="211"/>
      <c r="G42" s="211"/>
      <c r="H42" s="212"/>
      <c r="I42" s="94"/>
    </row>
    <row r="43" spans="2:9" ht="30" customHeight="1" x14ac:dyDescent="0.2">
      <c r="B43" s="216" t="s">
        <v>65</v>
      </c>
      <c r="C43" s="217"/>
      <c r="D43" s="217"/>
      <c r="E43" s="217"/>
      <c r="F43" s="218"/>
      <c r="G43" s="135"/>
      <c r="H43" s="136"/>
      <c r="I43" s="102"/>
    </row>
    <row r="44" spans="2:9" x14ac:dyDescent="0.2">
      <c r="B44" s="90" t="s">
        <v>38</v>
      </c>
      <c r="C44" s="184" t="s">
        <v>66</v>
      </c>
      <c r="D44" s="202"/>
      <c r="E44" s="202"/>
      <c r="F44" s="185"/>
      <c r="G44" s="90" t="s">
        <v>1</v>
      </c>
      <c r="H44" s="90" t="s">
        <v>48</v>
      </c>
      <c r="I44" s="95"/>
    </row>
    <row r="45" spans="2:9" x14ac:dyDescent="0.2">
      <c r="B45" s="11" t="s">
        <v>4</v>
      </c>
      <c r="C45" s="88" t="s">
        <v>29</v>
      </c>
      <c r="D45" s="192" t="s">
        <v>132</v>
      </c>
      <c r="E45" s="193"/>
      <c r="F45" s="194"/>
      <c r="G45" s="16">
        <v>0.2</v>
      </c>
      <c r="H45" s="17">
        <f>TRUNC((H$30+H$41)*$G45,2)</f>
        <v>533.66999999999996</v>
      </c>
      <c r="I45" s="101"/>
    </row>
    <row r="46" spans="2:9" x14ac:dyDescent="0.2">
      <c r="B46" s="11" t="s">
        <v>5</v>
      </c>
      <c r="C46" s="76" t="s">
        <v>30</v>
      </c>
      <c r="D46" s="192" t="s">
        <v>133</v>
      </c>
      <c r="E46" s="193"/>
      <c r="F46" s="194"/>
      <c r="G46" s="16">
        <v>2.5000000000000001E-2</v>
      </c>
      <c r="H46" s="17">
        <f>TRUNC((H$30+H$41)*$G46,2)</f>
        <v>66.7</v>
      </c>
      <c r="I46" s="101"/>
    </row>
    <row r="47" spans="2:9" x14ac:dyDescent="0.2">
      <c r="B47" s="223" t="s">
        <v>6</v>
      </c>
      <c r="C47" s="225" t="s">
        <v>100</v>
      </c>
      <c r="D47" s="227" t="s">
        <v>139</v>
      </c>
      <c r="E47" s="5" t="s">
        <v>101</v>
      </c>
      <c r="F47" s="5" t="s">
        <v>99</v>
      </c>
      <c r="G47" s="213">
        <f>E48*F48</f>
        <v>0.03</v>
      </c>
      <c r="H47" s="215">
        <f>TRUNC((H$30+H$41)*$G47,2)</f>
        <v>80.05</v>
      </c>
      <c r="I47" s="104"/>
    </row>
    <row r="48" spans="2:9" x14ac:dyDescent="0.2">
      <c r="B48" s="224"/>
      <c r="C48" s="226"/>
      <c r="D48" s="227"/>
      <c r="E48" s="31">
        <v>0.03</v>
      </c>
      <c r="F48" s="32">
        <v>1</v>
      </c>
      <c r="G48" s="214"/>
      <c r="H48" s="215"/>
      <c r="I48" s="104"/>
    </row>
    <row r="49" spans="2:9" x14ac:dyDescent="0.2">
      <c r="B49" s="11" t="s">
        <v>7</v>
      </c>
      <c r="C49" s="88" t="s">
        <v>28</v>
      </c>
      <c r="D49" s="192" t="s">
        <v>134</v>
      </c>
      <c r="E49" s="193"/>
      <c r="F49" s="194"/>
      <c r="G49" s="16">
        <v>1.4999999999999999E-2</v>
      </c>
      <c r="H49" s="17">
        <f>TRUNC((H$30+H$41)*$G49,2)</f>
        <v>40.020000000000003</v>
      </c>
      <c r="I49" s="101"/>
    </row>
    <row r="50" spans="2:9" x14ac:dyDescent="0.2">
      <c r="B50" s="11" t="s">
        <v>8</v>
      </c>
      <c r="C50" s="88" t="s">
        <v>31</v>
      </c>
      <c r="D50" s="192" t="s">
        <v>135</v>
      </c>
      <c r="E50" s="193"/>
      <c r="F50" s="194"/>
      <c r="G50" s="16">
        <v>0.01</v>
      </c>
      <c r="H50" s="17">
        <f>TRUNC((H$30+H$41)*$G50,2)</f>
        <v>26.68</v>
      </c>
      <c r="I50" s="101"/>
    </row>
    <row r="51" spans="2:9" x14ac:dyDescent="0.2">
      <c r="B51" s="11" t="s">
        <v>9</v>
      </c>
      <c r="C51" s="88" t="s">
        <v>32</v>
      </c>
      <c r="D51" s="192" t="s">
        <v>136</v>
      </c>
      <c r="E51" s="193"/>
      <c r="F51" s="194"/>
      <c r="G51" s="16">
        <v>6.0000000000000001E-3</v>
      </c>
      <c r="H51" s="17">
        <f>TRUNC((H$30+H$41)*$G51,2)</f>
        <v>16.010000000000002</v>
      </c>
      <c r="I51" s="101"/>
    </row>
    <row r="52" spans="2:9" x14ac:dyDescent="0.2">
      <c r="B52" s="11" t="s">
        <v>10</v>
      </c>
      <c r="C52" s="88" t="s">
        <v>33</v>
      </c>
      <c r="D52" s="192" t="s">
        <v>137</v>
      </c>
      <c r="E52" s="193"/>
      <c r="F52" s="194"/>
      <c r="G52" s="16">
        <v>2E-3</v>
      </c>
      <c r="H52" s="17">
        <f>TRUNC((H$30+H$41)*$G52,2)</f>
        <v>5.33</v>
      </c>
      <c r="I52" s="101"/>
    </row>
    <row r="53" spans="2:9" x14ac:dyDescent="0.2">
      <c r="B53" s="11" t="s">
        <v>11</v>
      </c>
      <c r="C53" s="88" t="s">
        <v>34</v>
      </c>
      <c r="D53" s="192" t="s">
        <v>138</v>
      </c>
      <c r="E53" s="193"/>
      <c r="F53" s="194"/>
      <c r="G53" s="16">
        <v>0.08</v>
      </c>
      <c r="H53" s="17">
        <f>TRUNC((H$30+H$41)*$G53,2)</f>
        <v>213.47</v>
      </c>
      <c r="I53" s="101"/>
    </row>
    <row r="54" spans="2:9" x14ac:dyDescent="0.2">
      <c r="B54" s="11" t="s">
        <v>140</v>
      </c>
      <c r="C54" s="184" t="s">
        <v>58</v>
      </c>
      <c r="D54" s="202"/>
      <c r="E54" s="202"/>
      <c r="F54" s="185"/>
      <c r="G54" s="19">
        <f>SUM(G45:G53)</f>
        <v>0.36800000000000005</v>
      </c>
      <c r="H54" s="14">
        <f>SUM(H45:H53)</f>
        <v>981.93</v>
      </c>
      <c r="I54" s="15"/>
    </row>
    <row r="55" spans="2:9" x14ac:dyDescent="0.2">
      <c r="B55" s="220"/>
      <c r="C55" s="221"/>
      <c r="D55" s="221"/>
      <c r="E55" s="221"/>
      <c r="F55" s="221"/>
      <c r="G55" s="221"/>
      <c r="H55" s="222"/>
      <c r="I55" s="113"/>
    </row>
    <row r="56" spans="2:9" ht="12.75" customHeight="1" x14ac:dyDescent="0.2">
      <c r="B56" s="216" t="s">
        <v>36</v>
      </c>
      <c r="C56" s="217"/>
      <c r="D56" s="217"/>
      <c r="E56" s="217"/>
      <c r="F56" s="218"/>
      <c r="G56" s="135"/>
      <c r="H56" s="136"/>
      <c r="I56" s="113"/>
    </row>
    <row r="57" spans="2:9" x14ac:dyDescent="0.2">
      <c r="B57" s="90" t="s">
        <v>39</v>
      </c>
      <c r="C57" s="184" t="s">
        <v>40</v>
      </c>
      <c r="D57" s="202"/>
      <c r="E57" s="202"/>
      <c r="F57" s="202"/>
      <c r="G57" s="77"/>
      <c r="H57" s="90" t="s">
        <v>48</v>
      </c>
      <c r="I57" s="95"/>
    </row>
    <row r="58" spans="2:9" ht="12.75" customHeight="1" x14ac:dyDescent="0.2">
      <c r="B58" s="11" t="s">
        <v>4</v>
      </c>
      <c r="C58" s="88" t="s">
        <v>46</v>
      </c>
      <c r="D58" s="158" t="s">
        <v>143</v>
      </c>
      <c r="E58" s="159"/>
      <c r="F58" s="159"/>
      <c r="G58" s="160"/>
      <c r="H58" s="33">
        <f>IF((TRUNC((8.55*2*22)-(H$25*6%),2))&lt;0,"0,00",(TRUNC((8.55*2*22)-(H$25*6%),2)))</f>
        <v>242.15</v>
      </c>
    </row>
    <row r="59" spans="2:9" ht="12.75" customHeight="1" x14ac:dyDescent="0.2">
      <c r="B59" s="11" t="s">
        <v>5</v>
      </c>
      <c r="C59" s="88" t="s">
        <v>47</v>
      </c>
      <c r="D59" s="158" t="s">
        <v>144</v>
      </c>
      <c r="E59" s="159"/>
      <c r="F59" s="159"/>
      <c r="G59" s="160"/>
      <c r="H59" s="33">
        <f>50.67*22</f>
        <v>1114.74</v>
      </c>
      <c r="I59" s="114"/>
    </row>
    <row r="60" spans="2:9" x14ac:dyDescent="0.2">
      <c r="B60" s="11" t="s">
        <v>6</v>
      </c>
      <c r="C60" s="88" t="s">
        <v>102</v>
      </c>
      <c r="D60" s="158"/>
      <c r="E60" s="159"/>
      <c r="F60" s="159"/>
      <c r="G60" s="160"/>
      <c r="H60" s="33">
        <v>0</v>
      </c>
      <c r="I60" s="114"/>
    </row>
    <row r="61" spans="2:9" s="69" customFormat="1" x14ac:dyDescent="0.2">
      <c r="B61" s="11" t="s">
        <v>7</v>
      </c>
      <c r="C61" s="88" t="s">
        <v>2</v>
      </c>
      <c r="D61" s="158"/>
      <c r="E61" s="159"/>
      <c r="F61" s="159"/>
      <c r="G61" s="160"/>
      <c r="H61" s="33">
        <v>0</v>
      </c>
      <c r="I61" s="114"/>
    </row>
    <row r="62" spans="2:9" x14ac:dyDescent="0.2">
      <c r="B62" s="11" t="s">
        <v>141</v>
      </c>
      <c r="C62" s="184" t="s">
        <v>58</v>
      </c>
      <c r="D62" s="202"/>
      <c r="E62" s="202"/>
      <c r="F62" s="202"/>
      <c r="G62" s="77"/>
      <c r="H62" s="14">
        <f>SUM(H58:H61)</f>
        <v>1356.89</v>
      </c>
      <c r="I62" s="15"/>
    </row>
    <row r="63" spans="2:9" x14ac:dyDescent="0.2">
      <c r="B63" s="210"/>
      <c r="C63" s="211"/>
      <c r="D63" s="211"/>
      <c r="E63" s="211"/>
      <c r="F63" s="211"/>
      <c r="G63" s="211"/>
      <c r="H63" s="212"/>
      <c r="I63" s="94"/>
    </row>
    <row r="64" spans="2:9" x14ac:dyDescent="0.2">
      <c r="B64" s="229" t="s">
        <v>68</v>
      </c>
      <c r="C64" s="230"/>
      <c r="D64" s="230"/>
      <c r="E64" s="230"/>
      <c r="F64" s="230"/>
      <c r="G64" s="139"/>
      <c r="H64" s="139"/>
      <c r="I64" s="94"/>
    </row>
    <row r="65" spans="2:9" x14ac:dyDescent="0.2">
      <c r="B65" s="90">
        <v>2</v>
      </c>
      <c r="C65" s="184" t="s">
        <v>67</v>
      </c>
      <c r="D65" s="202"/>
      <c r="E65" s="202"/>
      <c r="F65" s="202"/>
      <c r="G65" s="77"/>
      <c r="H65" s="90" t="s">
        <v>48</v>
      </c>
      <c r="I65" s="95"/>
    </row>
    <row r="66" spans="2:9" x14ac:dyDescent="0.2">
      <c r="B66" s="11" t="s">
        <v>37</v>
      </c>
      <c r="C66" s="78" t="s">
        <v>26</v>
      </c>
      <c r="D66" s="158" t="s">
        <v>130</v>
      </c>
      <c r="E66" s="159"/>
      <c r="F66" s="159"/>
      <c r="G66" s="160"/>
      <c r="H66" s="17">
        <f>H41</f>
        <v>434.38</v>
      </c>
      <c r="I66" s="101"/>
    </row>
    <row r="67" spans="2:9" x14ac:dyDescent="0.2">
      <c r="B67" s="11" t="s">
        <v>38</v>
      </c>
      <c r="C67" s="78" t="s">
        <v>27</v>
      </c>
      <c r="D67" s="158" t="s">
        <v>140</v>
      </c>
      <c r="E67" s="159"/>
      <c r="F67" s="159"/>
      <c r="G67" s="160"/>
      <c r="H67" s="17">
        <f>H54</f>
        <v>981.93</v>
      </c>
      <c r="I67" s="101"/>
    </row>
    <row r="68" spans="2:9" x14ac:dyDescent="0.2">
      <c r="B68" s="11" t="s">
        <v>39</v>
      </c>
      <c r="C68" s="78" t="s">
        <v>40</v>
      </c>
      <c r="D68" s="158" t="s">
        <v>141</v>
      </c>
      <c r="E68" s="159"/>
      <c r="F68" s="159"/>
      <c r="G68" s="160"/>
      <c r="H68" s="17">
        <f>H62</f>
        <v>1356.89</v>
      </c>
      <c r="I68" s="101"/>
    </row>
    <row r="69" spans="2:9" x14ac:dyDescent="0.2">
      <c r="B69" s="11" t="s">
        <v>142</v>
      </c>
      <c r="C69" s="184" t="s">
        <v>58</v>
      </c>
      <c r="D69" s="202"/>
      <c r="E69" s="202"/>
      <c r="F69" s="202"/>
      <c r="G69" s="77"/>
      <c r="H69" s="14">
        <f>SUM(H66:H68)</f>
        <v>2773.2</v>
      </c>
      <c r="I69" s="15"/>
    </row>
    <row r="70" spans="2:9" x14ac:dyDescent="0.2">
      <c r="B70" s="211"/>
      <c r="C70" s="211"/>
      <c r="D70" s="211"/>
      <c r="E70" s="211"/>
      <c r="F70" s="211"/>
      <c r="G70" s="211"/>
      <c r="H70" s="211"/>
      <c r="I70" s="95"/>
    </row>
    <row r="71" spans="2:9" x14ac:dyDescent="0.2">
      <c r="B71" s="94"/>
      <c r="C71" s="94"/>
      <c r="D71" s="94"/>
      <c r="E71" s="94"/>
      <c r="F71" s="94"/>
      <c r="G71" s="94"/>
      <c r="H71" s="94"/>
      <c r="I71" s="95"/>
    </row>
    <row r="72" spans="2:9" x14ac:dyDescent="0.2">
      <c r="B72" s="195" t="s">
        <v>69</v>
      </c>
      <c r="C72" s="196"/>
      <c r="D72" s="196"/>
      <c r="E72" s="196"/>
      <c r="F72" s="228"/>
      <c r="G72" s="132"/>
      <c r="H72" s="133"/>
      <c r="I72" s="95"/>
    </row>
    <row r="73" spans="2:9" x14ac:dyDescent="0.2">
      <c r="B73" s="90">
        <v>3</v>
      </c>
      <c r="C73" s="184" t="s">
        <v>59</v>
      </c>
      <c r="D73" s="202"/>
      <c r="E73" s="202"/>
      <c r="F73" s="185"/>
      <c r="G73" s="90" t="s">
        <v>1</v>
      </c>
      <c r="H73" s="90" t="s">
        <v>48</v>
      </c>
      <c r="I73" s="95"/>
    </row>
    <row r="74" spans="2:9" x14ac:dyDescent="0.2">
      <c r="B74" s="11" t="s">
        <v>4</v>
      </c>
      <c r="C74" s="79" t="s">
        <v>94</v>
      </c>
      <c r="D74" s="158" t="s">
        <v>159</v>
      </c>
      <c r="E74" s="159"/>
      <c r="F74" s="160"/>
      <c r="G74" s="34">
        <v>0.5</v>
      </c>
      <c r="H74" s="20">
        <f>TRUNC((H$75+H$76)*$G74,2)</f>
        <v>209.21</v>
      </c>
      <c r="I74" s="15"/>
    </row>
    <row r="75" spans="2:9" x14ac:dyDescent="0.2">
      <c r="B75" s="11" t="s">
        <v>5</v>
      </c>
      <c r="C75" s="88" t="s">
        <v>95</v>
      </c>
      <c r="D75" s="158" t="s">
        <v>178</v>
      </c>
      <c r="E75" s="159"/>
      <c r="F75" s="160"/>
      <c r="G75" s="21"/>
      <c r="H75" s="17">
        <f>TRUNC((H$30+H$41+H$53+H$62-H58)/12,2)</f>
        <v>333.05</v>
      </c>
      <c r="I75" s="101"/>
    </row>
    <row r="76" spans="2:9" x14ac:dyDescent="0.2">
      <c r="B76" s="11" t="s">
        <v>6</v>
      </c>
      <c r="C76" s="88" t="s">
        <v>96</v>
      </c>
      <c r="D76" s="192" t="s">
        <v>171</v>
      </c>
      <c r="E76" s="194"/>
      <c r="F76" s="36">
        <v>0.4</v>
      </c>
      <c r="G76" s="21"/>
      <c r="H76" s="17">
        <f>TRUNC(H$53*$F76,2)</f>
        <v>85.38</v>
      </c>
      <c r="I76" s="101"/>
    </row>
    <row r="77" spans="2:9" x14ac:dyDescent="0.2">
      <c r="B77" s="11" t="s">
        <v>7</v>
      </c>
      <c r="C77" s="79" t="s">
        <v>97</v>
      </c>
      <c r="D77" s="158" t="s">
        <v>160</v>
      </c>
      <c r="E77" s="159"/>
      <c r="F77" s="160"/>
      <c r="G77" s="170">
        <f>1-G74</f>
        <v>0.5</v>
      </c>
      <c r="H77" s="82">
        <f>(TRUNC(H$78*$G77,2))</f>
        <v>42.69</v>
      </c>
      <c r="I77" s="103"/>
    </row>
    <row r="78" spans="2:9" x14ac:dyDescent="0.2">
      <c r="B78" s="11" t="s">
        <v>8</v>
      </c>
      <c r="C78" s="88" t="s">
        <v>98</v>
      </c>
      <c r="D78" s="192" t="s">
        <v>171</v>
      </c>
      <c r="E78" s="194"/>
      <c r="F78" s="36">
        <v>0.4</v>
      </c>
      <c r="G78" s="21"/>
      <c r="H78" s="17">
        <f>TRUNC(H$53*$F78,2)</f>
        <v>85.38</v>
      </c>
      <c r="I78" s="101"/>
    </row>
    <row r="79" spans="2:9" x14ac:dyDescent="0.2">
      <c r="B79" s="11" t="s">
        <v>9</v>
      </c>
      <c r="C79" s="79" t="s">
        <v>176</v>
      </c>
      <c r="D79" s="231" t="s">
        <v>194</v>
      </c>
      <c r="E79" s="232"/>
      <c r="F79" s="35">
        <v>12</v>
      </c>
      <c r="G79" s="35">
        <v>3</v>
      </c>
      <c r="H79" s="17">
        <f>TRUNC(((H$30+H$41+H$54)/30)*$G79/$F79,2)</f>
        <v>30.41</v>
      </c>
      <c r="I79" s="101"/>
    </row>
    <row r="80" spans="2:9" x14ac:dyDescent="0.2">
      <c r="B80" s="11" t="s">
        <v>146</v>
      </c>
      <c r="C80" s="184" t="s">
        <v>58</v>
      </c>
      <c r="D80" s="202"/>
      <c r="E80" s="202"/>
      <c r="F80" s="202"/>
      <c r="G80" s="77"/>
      <c r="H80" s="14">
        <f>H$74+H$77+H$79</f>
        <v>282.31</v>
      </c>
      <c r="I80" s="15"/>
    </row>
    <row r="81" spans="2:9" x14ac:dyDescent="0.2">
      <c r="B81" s="91"/>
      <c r="C81" s="91"/>
      <c r="D81" s="91"/>
      <c r="E81" s="91"/>
      <c r="F81" s="91"/>
      <c r="G81" s="91"/>
      <c r="H81" s="91"/>
      <c r="I81" s="91"/>
    </row>
    <row r="82" spans="2:9" x14ac:dyDescent="0.2">
      <c r="B82" s="94"/>
      <c r="C82" s="94"/>
      <c r="D82" s="94"/>
      <c r="E82" s="94"/>
      <c r="F82" s="94"/>
      <c r="G82" s="94"/>
      <c r="H82" s="94"/>
      <c r="I82" s="95"/>
    </row>
    <row r="83" spans="2:9" x14ac:dyDescent="0.2">
      <c r="B83" s="195" t="s">
        <v>70</v>
      </c>
      <c r="C83" s="196"/>
      <c r="D83" s="196"/>
      <c r="E83" s="196"/>
      <c r="F83" s="228"/>
      <c r="G83" s="132"/>
      <c r="H83" s="133"/>
      <c r="I83" s="95"/>
    </row>
    <row r="84" spans="2:9" x14ac:dyDescent="0.2">
      <c r="B84" s="233" t="s">
        <v>87</v>
      </c>
      <c r="C84" s="234"/>
      <c r="D84" s="234"/>
      <c r="E84" s="234"/>
      <c r="F84" s="234"/>
      <c r="G84" s="140"/>
      <c r="H84" s="141"/>
      <c r="I84" s="95"/>
    </row>
    <row r="85" spans="2:9" x14ac:dyDescent="0.2">
      <c r="B85" s="90" t="s">
        <v>14</v>
      </c>
      <c r="C85" s="184" t="s">
        <v>88</v>
      </c>
      <c r="D85" s="202"/>
      <c r="E85" s="202"/>
      <c r="F85" s="185"/>
      <c r="G85" s="90" t="s">
        <v>103</v>
      </c>
      <c r="H85" s="90" t="s">
        <v>48</v>
      </c>
      <c r="I85" s="95"/>
    </row>
    <row r="86" spans="2:9" x14ac:dyDescent="0.2">
      <c r="B86" s="11" t="s">
        <v>4</v>
      </c>
      <c r="C86" s="88" t="s">
        <v>200</v>
      </c>
      <c r="D86" s="158" t="s">
        <v>152</v>
      </c>
      <c r="E86" s="159"/>
      <c r="F86" s="160"/>
      <c r="G86" s="35">
        <v>30</v>
      </c>
      <c r="H86" s="17">
        <f>TRUNC((H$88*$G86)/12,2)</f>
        <v>440.77</v>
      </c>
      <c r="I86" s="101"/>
    </row>
    <row r="87" spans="2:9" ht="22.5" x14ac:dyDescent="0.2">
      <c r="B87" s="11" t="s">
        <v>5</v>
      </c>
      <c r="C87" s="80" t="s">
        <v>158</v>
      </c>
      <c r="D87" s="161" t="s">
        <v>161</v>
      </c>
      <c r="E87" s="162"/>
      <c r="F87" s="163"/>
      <c r="G87" s="56">
        <v>8</v>
      </c>
      <c r="H87" s="17">
        <f>TRUNC((H$88*$G87)/12,2)</f>
        <v>117.54</v>
      </c>
      <c r="I87" s="101"/>
    </row>
    <row r="88" spans="2:9" x14ac:dyDescent="0.2">
      <c r="B88" s="11" t="s">
        <v>6</v>
      </c>
      <c r="C88" s="88" t="s">
        <v>109</v>
      </c>
      <c r="D88" s="158" t="s">
        <v>145</v>
      </c>
      <c r="E88" s="159"/>
      <c r="F88" s="159"/>
      <c r="G88" s="160"/>
      <c r="H88" s="17">
        <f>TRUNC((H$30+H$69+H$80)/30,2)</f>
        <v>176.31</v>
      </c>
      <c r="I88" s="101"/>
    </row>
    <row r="89" spans="2:9" x14ac:dyDescent="0.2">
      <c r="B89" s="11" t="s">
        <v>147</v>
      </c>
      <c r="C89" s="184" t="s">
        <v>58</v>
      </c>
      <c r="D89" s="202"/>
      <c r="E89" s="202"/>
      <c r="F89" s="202"/>
      <c r="G89" s="77"/>
      <c r="H89" s="14">
        <f>TRUNC(H$86+H$87,2)</f>
        <v>558.30999999999995</v>
      </c>
      <c r="I89" s="15"/>
    </row>
    <row r="90" spans="2:9" x14ac:dyDescent="0.2">
      <c r="B90" s="70"/>
      <c r="C90" s="71"/>
      <c r="D90" s="71"/>
      <c r="E90" s="71"/>
      <c r="F90" s="71"/>
      <c r="G90" s="71"/>
      <c r="H90" s="72"/>
      <c r="I90" s="22"/>
    </row>
    <row r="91" spans="2:9" x14ac:dyDescent="0.2">
      <c r="B91" s="229" t="s">
        <v>89</v>
      </c>
      <c r="C91" s="230"/>
      <c r="D91" s="230"/>
      <c r="E91" s="230"/>
      <c r="F91" s="230"/>
      <c r="G91" s="142"/>
      <c r="H91" s="143"/>
      <c r="I91" s="95"/>
    </row>
    <row r="92" spans="2:9" x14ac:dyDescent="0.2">
      <c r="B92" s="90" t="s">
        <v>15</v>
      </c>
      <c r="C92" s="184" t="s">
        <v>90</v>
      </c>
      <c r="D92" s="202"/>
      <c r="E92" s="202"/>
      <c r="F92" s="185"/>
      <c r="G92" s="90" t="s">
        <v>103</v>
      </c>
      <c r="H92" s="90" t="s">
        <v>48</v>
      </c>
      <c r="I92" s="95"/>
    </row>
    <row r="93" spans="2:9" ht="22.5" x14ac:dyDescent="0.2">
      <c r="B93" s="11" t="s">
        <v>4</v>
      </c>
      <c r="C93" s="80" t="s">
        <v>91</v>
      </c>
      <c r="D93" s="158" t="s">
        <v>180</v>
      </c>
      <c r="E93" s="159"/>
      <c r="F93" s="159"/>
      <c r="G93" s="35"/>
      <c r="H93" s="17">
        <f>TRUNC(((H$30+H69+H80)/220)*(1+50%)*G93,2)</f>
        <v>0</v>
      </c>
      <c r="I93" s="101"/>
    </row>
    <row r="94" spans="2:9" x14ac:dyDescent="0.2">
      <c r="B94" s="11" t="s">
        <v>148</v>
      </c>
      <c r="C94" s="184" t="s">
        <v>58</v>
      </c>
      <c r="D94" s="202"/>
      <c r="E94" s="202"/>
      <c r="F94" s="202"/>
      <c r="G94" s="120"/>
      <c r="H94" s="14">
        <f>H93</f>
        <v>0</v>
      </c>
      <c r="I94" s="101"/>
    </row>
    <row r="95" spans="2:9" x14ac:dyDescent="0.2">
      <c r="B95" s="93"/>
      <c r="C95" s="92"/>
      <c r="D95" s="92"/>
      <c r="E95" s="92"/>
      <c r="F95" s="92"/>
      <c r="G95" s="94"/>
      <c r="H95" s="157"/>
      <c r="I95" s="117"/>
    </row>
    <row r="96" spans="2:9" x14ac:dyDescent="0.2">
      <c r="B96" s="229" t="s">
        <v>71</v>
      </c>
      <c r="C96" s="230"/>
      <c r="D96" s="230"/>
      <c r="E96" s="230"/>
      <c r="F96" s="230"/>
      <c r="G96" s="142"/>
      <c r="H96" s="143"/>
      <c r="I96" s="95"/>
    </row>
    <row r="97" spans="2:9" x14ac:dyDescent="0.2">
      <c r="B97" s="90">
        <v>4</v>
      </c>
      <c r="C97" s="184" t="s">
        <v>72</v>
      </c>
      <c r="D97" s="202"/>
      <c r="E97" s="202"/>
      <c r="F97" s="202"/>
      <c r="G97" s="185"/>
      <c r="H97" s="90" t="s">
        <v>48</v>
      </c>
      <c r="I97" s="95"/>
    </row>
    <row r="98" spans="2:9" x14ac:dyDescent="0.2">
      <c r="B98" s="11" t="s">
        <v>14</v>
      </c>
      <c r="C98" s="88" t="s">
        <v>41</v>
      </c>
      <c r="D98" s="158" t="s">
        <v>147</v>
      </c>
      <c r="E98" s="159"/>
      <c r="F98" s="159"/>
      <c r="G98" s="160"/>
      <c r="H98" s="17">
        <f>H89</f>
        <v>558.30999999999995</v>
      </c>
      <c r="I98" s="101"/>
    </row>
    <row r="99" spans="2:9" x14ac:dyDescent="0.2">
      <c r="B99" s="11" t="s">
        <v>15</v>
      </c>
      <c r="C99" s="88" t="s">
        <v>43</v>
      </c>
      <c r="D99" s="158" t="s">
        <v>148</v>
      </c>
      <c r="E99" s="159"/>
      <c r="F99" s="159"/>
      <c r="G99" s="160"/>
      <c r="H99" s="17">
        <f>H94</f>
        <v>0</v>
      </c>
      <c r="I99" s="101"/>
    </row>
    <row r="100" spans="2:9" x14ac:dyDescent="0.2">
      <c r="B100" s="11" t="s">
        <v>149</v>
      </c>
      <c r="C100" s="184" t="s">
        <v>58</v>
      </c>
      <c r="D100" s="202"/>
      <c r="E100" s="202"/>
      <c r="F100" s="202"/>
      <c r="G100" s="77"/>
      <c r="H100" s="14">
        <f>SUM(H98:H99)</f>
        <v>558.30999999999995</v>
      </c>
      <c r="I100" s="15"/>
    </row>
    <row r="101" spans="2:9" x14ac:dyDescent="0.2">
      <c r="B101" s="94"/>
      <c r="C101" s="94"/>
      <c r="D101" s="94"/>
      <c r="E101" s="94"/>
      <c r="F101" s="94"/>
      <c r="G101" s="94"/>
      <c r="H101" s="94"/>
      <c r="I101" s="95"/>
    </row>
    <row r="102" spans="2:9" x14ac:dyDescent="0.2">
      <c r="B102" s="94"/>
      <c r="C102" s="94"/>
      <c r="D102" s="94"/>
      <c r="E102" s="94"/>
      <c r="F102" s="94"/>
      <c r="G102" s="94"/>
      <c r="H102" s="94"/>
      <c r="I102" s="95"/>
    </row>
    <row r="103" spans="2:9" x14ac:dyDescent="0.2">
      <c r="B103" s="195" t="s">
        <v>73</v>
      </c>
      <c r="C103" s="196"/>
      <c r="D103" s="196"/>
      <c r="E103" s="196"/>
      <c r="F103" s="228"/>
      <c r="G103" s="132"/>
      <c r="H103" s="133"/>
      <c r="I103" s="95"/>
    </row>
    <row r="104" spans="2:9" x14ac:dyDescent="0.2">
      <c r="B104" s="90">
        <v>5</v>
      </c>
      <c r="C104" s="235" t="s">
        <v>60</v>
      </c>
      <c r="D104" s="236"/>
      <c r="E104" s="236"/>
      <c r="F104" s="236"/>
      <c r="G104" s="237"/>
      <c r="H104" s="90" t="s">
        <v>48</v>
      </c>
      <c r="I104" s="95"/>
    </row>
    <row r="105" spans="2:9" x14ac:dyDescent="0.2">
      <c r="B105" s="11" t="s">
        <v>4</v>
      </c>
      <c r="C105" s="64" t="s">
        <v>44</v>
      </c>
      <c r="D105" s="65"/>
      <c r="E105" s="65"/>
      <c r="F105" s="65"/>
      <c r="G105" s="66"/>
      <c r="H105" s="67">
        <v>0</v>
      </c>
      <c r="I105" s="101"/>
    </row>
    <row r="106" spans="2:9" x14ac:dyDescent="0.2">
      <c r="B106" s="11" t="s">
        <v>5</v>
      </c>
      <c r="C106" s="64" t="s">
        <v>12</v>
      </c>
      <c r="D106" s="65"/>
      <c r="E106" s="65"/>
      <c r="F106" s="65"/>
      <c r="G106" s="66"/>
      <c r="H106" s="67">
        <v>0</v>
      </c>
      <c r="I106" s="101"/>
    </row>
    <row r="107" spans="2:9" x14ac:dyDescent="0.2">
      <c r="B107" s="11" t="s">
        <v>6</v>
      </c>
      <c r="C107" s="64" t="s">
        <v>13</v>
      </c>
      <c r="D107" s="65"/>
      <c r="E107" s="65"/>
      <c r="F107" s="65"/>
      <c r="G107" s="66"/>
      <c r="H107" s="67">
        <f>Insumos!H6</f>
        <v>1.58</v>
      </c>
      <c r="I107" s="101"/>
    </row>
    <row r="108" spans="2:9" x14ac:dyDescent="0.2">
      <c r="B108" s="11" t="s">
        <v>7</v>
      </c>
      <c r="C108" s="64" t="s">
        <v>2</v>
      </c>
      <c r="D108" s="65"/>
      <c r="E108" s="65"/>
      <c r="F108" s="65"/>
      <c r="G108" s="66"/>
      <c r="H108" s="67"/>
      <c r="I108" s="101"/>
    </row>
    <row r="109" spans="2:9" x14ac:dyDescent="0.2">
      <c r="B109" s="11" t="s">
        <v>150</v>
      </c>
      <c r="C109" s="184" t="s">
        <v>58</v>
      </c>
      <c r="D109" s="202"/>
      <c r="E109" s="202"/>
      <c r="F109" s="202"/>
      <c r="G109" s="77"/>
      <c r="H109" s="14">
        <f>SUM(H105:H108)</f>
        <v>1.58</v>
      </c>
      <c r="I109" s="15"/>
    </row>
    <row r="110" spans="2:9" x14ac:dyDescent="0.2">
      <c r="B110" s="94"/>
      <c r="C110" s="94"/>
      <c r="D110" s="94"/>
      <c r="E110" s="94"/>
      <c r="F110" s="94"/>
      <c r="G110" s="73"/>
      <c r="H110" s="68"/>
      <c r="I110" s="15"/>
    </row>
    <row r="111" spans="2:9" x14ac:dyDescent="0.2">
      <c r="B111" s="94"/>
      <c r="C111" s="94"/>
      <c r="D111" s="94"/>
      <c r="E111" s="94"/>
      <c r="F111" s="94"/>
      <c r="G111" s="94"/>
      <c r="H111" s="94"/>
      <c r="I111" s="95"/>
    </row>
    <row r="112" spans="2:9" x14ac:dyDescent="0.2">
      <c r="B112" s="195" t="s">
        <v>74</v>
      </c>
      <c r="C112" s="196"/>
      <c r="D112" s="196"/>
      <c r="E112" s="196"/>
      <c r="F112" s="228"/>
      <c r="G112" s="132"/>
      <c r="H112" s="133"/>
      <c r="I112" s="95"/>
    </row>
    <row r="113" spans="2:9" x14ac:dyDescent="0.2">
      <c r="B113" s="90">
        <v>6</v>
      </c>
      <c r="C113" s="184" t="s">
        <v>61</v>
      </c>
      <c r="D113" s="202"/>
      <c r="E113" s="202"/>
      <c r="F113" s="185"/>
      <c r="G113" s="90" t="s">
        <v>1</v>
      </c>
      <c r="H113" s="90" t="s">
        <v>48</v>
      </c>
      <c r="I113" s="95"/>
    </row>
    <row r="114" spans="2:9" x14ac:dyDescent="0.2">
      <c r="B114" s="11" t="s">
        <v>4</v>
      </c>
      <c r="C114" s="88" t="s">
        <v>16</v>
      </c>
      <c r="D114" s="192" t="s">
        <v>162</v>
      </c>
      <c r="E114" s="193"/>
      <c r="F114" s="194"/>
      <c r="G114" s="46">
        <v>0.05</v>
      </c>
      <c r="H114" s="17">
        <f>TRUNC(H$131*$G114,2)</f>
        <v>292.47000000000003</v>
      </c>
      <c r="I114" s="101"/>
    </row>
    <row r="115" spans="2:9" x14ac:dyDescent="0.2">
      <c r="B115" s="11" t="s">
        <v>5</v>
      </c>
      <c r="C115" s="88" t="s">
        <v>3</v>
      </c>
      <c r="D115" s="192" t="s">
        <v>163</v>
      </c>
      <c r="E115" s="193"/>
      <c r="F115" s="194"/>
      <c r="G115" s="46">
        <v>0.1</v>
      </c>
      <c r="H115" s="17">
        <f>TRUNC((H$131+H$114)*$G115,2)</f>
        <v>614.17999999999995</v>
      </c>
      <c r="I115" s="101"/>
    </row>
    <row r="116" spans="2:9" x14ac:dyDescent="0.2">
      <c r="B116" s="11" t="s">
        <v>6</v>
      </c>
      <c r="C116" s="88" t="s">
        <v>115</v>
      </c>
      <c r="D116" s="192" t="s">
        <v>164</v>
      </c>
      <c r="E116" s="193"/>
      <c r="F116" s="194"/>
      <c r="G116" s="48">
        <f>1-(G117+G118+G119)</f>
        <v>0.85749999999999993</v>
      </c>
      <c r="H116" s="23">
        <f>TRUNC(((H$131+H$114+H$115)/$G116),2)</f>
        <v>7878.78</v>
      </c>
      <c r="I116" s="104"/>
    </row>
    <row r="117" spans="2:9" x14ac:dyDescent="0.2">
      <c r="B117" s="11" t="s">
        <v>21</v>
      </c>
      <c r="C117" s="88" t="s">
        <v>18</v>
      </c>
      <c r="D117" s="192" t="s">
        <v>165</v>
      </c>
      <c r="E117" s="193"/>
      <c r="F117" s="194"/>
      <c r="G117" s="47">
        <v>1.6500000000000001E-2</v>
      </c>
      <c r="H117" s="17">
        <f>TRUNC(H$116*$G117,2)</f>
        <v>129.99</v>
      </c>
      <c r="I117" s="101"/>
    </row>
    <row r="118" spans="2:9" x14ac:dyDescent="0.2">
      <c r="B118" s="11" t="s">
        <v>22</v>
      </c>
      <c r="C118" s="88" t="s">
        <v>19</v>
      </c>
      <c r="D118" s="192" t="s">
        <v>165</v>
      </c>
      <c r="E118" s="193"/>
      <c r="F118" s="194"/>
      <c r="G118" s="47">
        <v>7.5999999999999998E-2</v>
      </c>
      <c r="H118" s="17">
        <f>TRUNC(H$116*$G118,2)</f>
        <v>598.78</v>
      </c>
      <c r="I118" s="101"/>
    </row>
    <row r="119" spans="2:9" x14ac:dyDescent="0.2">
      <c r="B119" s="11" t="s">
        <v>23</v>
      </c>
      <c r="C119" s="88" t="s">
        <v>20</v>
      </c>
      <c r="D119" s="192" t="s">
        <v>165</v>
      </c>
      <c r="E119" s="193"/>
      <c r="F119" s="194"/>
      <c r="G119" s="47">
        <v>0.05</v>
      </c>
      <c r="H119" s="17">
        <f>TRUNC(H$116*$G119,2)</f>
        <v>393.93</v>
      </c>
      <c r="I119" s="101"/>
    </row>
    <row r="120" spans="2:9" x14ac:dyDescent="0.2">
      <c r="B120" s="11" t="s">
        <v>151</v>
      </c>
      <c r="C120" s="84" t="s">
        <v>58</v>
      </c>
      <c r="D120" s="241" t="s">
        <v>153</v>
      </c>
      <c r="E120" s="241"/>
      <c r="F120" s="241"/>
      <c r="G120" s="156"/>
      <c r="H120" s="14">
        <f>SUM(H114:H119)-H116</f>
        <v>2029.3500000000013</v>
      </c>
      <c r="I120" s="15"/>
    </row>
    <row r="121" spans="2:9" x14ac:dyDescent="0.2">
      <c r="B121" s="62"/>
      <c r="C121" s="62"/>
      <c r="D121" s="62"/>
      <c r="E121" s="62"/>
      <c r="F121" s="62"/>
      <c r="G121" s="62"/>
      <c r="H121" s="74"/>
      <c r="I121" s="24"/>
    </row>
    <row r="122" spans="2:9" x14ac:dyDescent="0.2">
      <c r="B122" s="238" t="s">
        <v>188</v>
      </c>
      <c r="C122" s="238"/>
      <c r="D122" s="238"/>
      <c r="E122" s="238"/>
      <c r="F122" s="238"/>
      <c r="G122" s="238"/>
      <c r="H122" s="238"/>
      <c r="I122" s="111"/>
    </row>
    <row r="123" spans="2:9" x14ac:dyDescent="0.2">
      <c r="B123" s="87"/>
      <c r="C123" s="87"/>
      <c r="D123" s="87"/>
      <c r="E123" s="87"/>
      <c r="F123" s="87"/>
      <c r="G123" s="87"/>
      <c r="H123" s="87"/>
      <c r="I123" s="111"/>
    </row>
    <row r="124" spans="2:9" x14ac:dyDescent="0.2">
      <c r="B124" s="195" t="s">
        <v>189</v>
      </c>
      <c r="C124" s="196"/>
      <c r="D124" s="196"/>
      <c r="E124" s="196"/>
      <c r="F124" s="196"/>
      <c r="G124" s="150"/>
      <c r="H124" s="133"/>
      <c r="I124" s="95"/>
    </row>
    <row r="125" spans="2:9" ht="12.75" customHeight="1" x14ac:dyDescent="0.2">
      <c r="B125" s="148"/>
      <c r="C125" s="239" t="s">
        <v>116</v>
      </c>
      <c r="D125" s="240"/>
      <c r="E125" s="240"/>
      <c r="F125" s="240"/>
      <c r="G125" s="149"/>
      <c r="H125" s="131" t="s">
        <v>48</v>
      </c>
      <c r="I125" s="95"/>
    </row>
    <row r="126" spans="2:9" x14ac:dyDescent="0.2">
      <c r="B126" s="11" t="s">
        <v>4</v>
      </c>
      <c r="C126" s="80" t="s">
        <v>76</v>
      </c>
      <c r="D126" s="158" t="s">
        <v>128</v>
      </c>
      <c r="E126" s="159"/>
      <c r="F126" s="159"/>
      <c r="G126" s="160"/>
      <c r="H126" s="17">
        <f>H30</f>
        <v>2234.0100000000002</v>
      </c>
      <c r="I126" s="101"/>
    </row>
    <row r="127" spans="2:9" ht="22.5" x14ac:dyDescent="0.2">
      <c r="B127" s="11" t="s">
        <v>5</v>
      </c>
      <c r="C127" s="80" t="s">
        <v>77</v>
      </c>
      <c r="D127" s="158" t="s">
        <v>142</v>
      </c>
      <c r="E127" s="159"/>
      <c r="F127" s="159"/>
      <c r="G127" s="160"/>
      <c r="H127" s="17">
        <f>H69</f>
        <v>2773.2</v>
      </c>
      <c r="I127" s="101"/>
    </row>
    <row r="128" spans="2:9" x14ac:dyDescent="0.2">
      <c r="B128" s="11" t="s">
        <v>6</v>
      </c>
      <c r="C128" s="80" t="s">
        <v>78</v>
      </c>
      <c r="D128" s="158" t="s">
        <v>146</v>
      </c>
      <c r="E128" s="159"/>
      <c r="F128" s="159"/>
      <c r="G128" s="160"/>
      <c r="H128" s="17">
        <f>H80</f>
        <v>282.31</v>
      </c>
      <c r="I128" s="101"/>
    </row>
    <row r="129" spans="2:9" ht="22.5" x14ac:dyDescent="0.2">
      <c r="B129" s="11" t="s">
        <v>7</v>
      </c>
      <c r="C129" s="80" t="s">
        <v>42</v>
      </c>
      <c r="D129" s="158" t="s">
        <v>149</v>
      </c>
      <c r="E129" s="159"/>
      <c r="F129" s="159"/>
      <c r="G129" s="160"/>
      <c r="H129" s="17">
        <f>H100</f>
        <v>558.30999999999995</v>
      </c>
      <c r="I129" s="101"/>
    </row>
    <row r="130" spans="2:9" x14ac:dyDescent="0.2">
      <c r="B130" s="11" t="s">
        <v>8</v>
      </c>
      <c r="C130" s="80" t="s">
        <v>79</v>
      </c>
      <c r="D130" s="158" t="s">
        <v>150</v>
      </c>
      <c r="E130" s="159"/>
      <c r="F130" s="159"/>
      <c r="G130" s="160"/>
      <c r="H130" s="17">
        <f>H109</f>
        <v>1.58</v>
      </c>
      <c r="I130" s="101"/>
    </row>
    <row r="131" spans="2:9" x14ac:dyDescent="0.2">
      <c r="B131" s="86" t="s">
        <v>9</v>
      </c>
      <c r="C131" s="79" t="s">
        <v>45</v>
      </c>
      <c r="D131" s="164" t="s">
        <v>169</v>
      </c>
      <c r="E131" s="165"/>
      <c r="F131" s="165"/>
      <c r="G131" s="166"/>
      <c r="H131" s="20">
        <f>SUM(H126:H130)</f>
        <v>5849.41</v>
      </c>
      <c r="I131" s="15"/>
    </row>
    <row r="132" spans="2:9" x14ac:dyDescent="0.2">
      <c r="B132" s="11" t="s">
        <v>10</v>
      </c>
      <c r="C132" s="88" t="s">
        <v>80</v>
      </c>
      <c r="D132" s="158" t="s">
        <v>151</v>
      </c>
      <c r="E132" s="159"/>
      <c r="F132" s="159"/>
      <c r="G132" s="160"/>
      <c r="H132" s="17">
        <f>H120</f>
        <v>2029.3500000000013</v>
      </c>
      <c r="I132" s="101"/>
    </row>
    <row r="133" spans="2:9" x14ac:dyDescent="0.2">
      <c r="B133" s="11" t="s">
        <v>154</v>
      </c>
      <c r="C133" s="83" t="s">
        <v>75</v>
      </c>
      <c r="D133" s="167" t="s">
        <v>168</v>
      </c>
      <c r="E133" s="155"/>
      <c r="F133" s="155"/>
      <c r="G133" s="156"/>
      <c r="H133" s="26">
        <f>SUM(H131:H132)</f>
        <v>7878.7600000000011</v>
      </c>
      <c r="I133" s="115"/>
    </row>
    <row r="134" spans="2:9" ht="12.75" customHeight="1" x14ac:dyDescent="0.2">
      <c r="B134" s="9"/>
      <c r="C134" s="9"/>
      <c r="D134" s="9"/>
      <c r="E134" s="9"/>
      <c r="F134" s="9"/>
      <c r="G134" s="9"/>
      <c r="H134" s="27"/>
      <c r="I134" s="27"/>
    </row>
    <row r="135" spans="2:9" x14ac:dyDescent="0.2">
      <c r="B135" s="238" t="s">
        <v>190</v>
      </c>
      <c r="C135" s="238"/>
      <c r="D135" s="238"/>
      <c r="E135" s="238"/>
      <c r="F135" s="238"/>
      <c r="I135" s="9"/>
    </row>
    <row r="136" spans="2:9" x14ac:dyDescent="0.2">
      <c r="B136" s="75"/>
      <c r="C136" s="75"/>
      <c r="D136" s="75"/>
      <c r="E136" s="69"/>
      <c r="F136" s="69"/>
      <c r="I136" s="9"/>
    </row>
    <row r="137" spans="2:9" x14ac:dyDescent="0.2">
      <c r="B137" s="248" t="s">
        <v>191</v>
      </c>
      <c r="C137" s="249"/>
      <c r="D137" s="249"/>
      <c r="E137" s="249"/>
      <c r="F137" s="249"/>
      <c r="G137" s="150"/>
      <c r="H137" s="133"/>
      <c r="I137" s="112"/>
    </row>
    <row r="138" spans="2:9" x14ac:dyDescent="0.2">
      <c r="B138" s="121" t="s">
        <v>4</v>
      </c>
      <c r="C138" s="151" t="s">
        <v>104</v>
      </c>
      <c r="D138" s="250" t="s">
        <v>154</v>
      </c>
      <c r="E138" s="251"/>
      <c r="F138" s="251"/>
      <c r="G138" s="152"/>
      <c r="H138" s="153">
        <f>H133</f>
        <v>7878.7600000000011</v>
      </c>
      <c r="I138" s="110"/>
    </row>
    <row r="139" spans="2:9" ht="22.5" x14ac:dyDescent="0.2">
      <c r="B139" s="11" t="s">
        <v>5</v>
      </c>
      <c r="C139" s="81" t="s">
        <v>156</v>
      </c>
      <c r="D139" s="252" t="s">
        <v>157</v>
      </c>
      <c r="E139" s="253"/>
      <c r="F139" s="253"/>
      <c r="G139" s="146"/>
      <c r="H139" s="6">
        <f>H41+H80+H98</f>
        <v>1275</v>
      </c>
      <c r="I139" s="105"/>
    </row>
    <row r="140" spans="2:9" ht="22.5" x14ac:dyDescent="0.2">
      <c r="B140" s="11" t="s">
        <v>6</v>
      </c>
      <c r="C140" s="81" t="s">
        <v>172</v>
      </c>
      <c r="D140" s="252" t="s">
        <v>179</v>
      </c>
      <c r="E140" s="253"/>
      <c r="F140" s="253"/>
      <c r="G140" s="147"/>
      <c r="H140" s="109">
        <f>TRUNC((H$41*$G54),2)</f>
        <v>159.85</v>
      </c>
      <c r="I140" s="110"/>
    </row>
    <row r="141" spans="2:9" ht="12.75" customHeight="1" x14ac:dyDescent="0.2">
      <c r="B141" s="11" t="s">
        <v>7</v>
      </c>
      <c r="C141" s="81" t="s">
        <v>16</v>
      </c>
      <c r="D141" s="242" t="s">
        <v>166</v>
      </c>
      <c r="E141" s="243"/>
      <c r="F141" s="244"/>
      <c r="G141" s="7">
        <f>G114</f>
        <v>0.05</v>
      </c>
      <c r="H141" s="6">
        <f>TRUNC((H$139+H$140)*$G141,2)</f>
        <v>71.739999999999995</v>
      </c>
      <c r="I141" s="105"/>
    </row>
    <row r="142" spans="2:9" ht="12.75" customHeight="1" x14ac:dyDescent="0.2">
      <c r="B142" s="11" t="s">
        <v>8</v>
      </c>
      <c r="C142" s="81" t="s">
        <v>3</v>
      </c>
      <c r="D142" s="242" t="s">
        <v>167</v>
      </c>
      <c r="E142" s="243"/>
      <c r="F142" s="244"/>
      <c r="G142" s="7">
        <f>G115</f>
        <v>0.1</v>
      </c>
      <c r="H142" s="6">
        <f>TRUNC((H$139+H$140+H$141)*$G142,2)</f>
        <v>150.65</v>
      </c>
      <c r="I142" s="105"/>
    </row>
    <row r="143" spans="2:9" ht="12.75" customHeight="1" x14ac:dyDescent="0.2">
      <c r="B143" s="11" t="s">
        <v>9</v>
      </c>
      <c r="C143" s="81" t="s">
        <v>105</v>
      </c>
      <c r="D143" s="242" t="s">
        <v>174</v>
      </c>
      <c r="E143" s="243"/>
      <c r="F143" s="244"/>
      <c r="G143" s="7">
        <f>G117+G118+G119</f>
        <v>0.14250000000000002</v>
      </c>
      <c r="H143" s="6">
        <f>TRUNC((H$139+H$140+H$141+H$142)/(1-$G143)-(H$139+H$140+H$141+H$142),2)</f>
        <v>275.39999999999998</v>
      </c>
      <c r="I143" s="105"/>
    </row>
    <row r="144" spans="2:9" ht="22.5" x14ac:dyDescent="0.2">
      <c r="B144" s="11" t="s">
        <v>10</v>
      </c>
      <c r="C144" s="122" t="s">
        <v>106</v>
      </c>
      <c r="D144" s="144" t="s">
        <v>175</v>
      </c>
      <c r="E144" s="145"/>
      <c r="F144" s="145"/>
      <c r="G144" s="146"/>
      <c r="H144" s="123">
        <f>SUM(H139:H143)</f>
        <v>1932.6399999999999</v>
      </c>
      <c r="I144" s="106"/>
    </row>
    <row r="145" spans="2:9" x14ac:dyDescent="0.2">
      <c r="B145" s="11" t="s">
        <v>155</v>
      </c>
      <c r="C145" s="85" t="s">
        <v>125</v>
      </c>
      <c r="D145" s="254" t="s">
        <v>173</v>
      </c>
      <c r="E145" s="255"/>
      <c r="F145" s="255"/>
      <c r="G145" s="154"/>
      <c r="H145" s="123">
        <f>H138-H144</f>
        <v>5946.1200000000008</v>
      </c>
      <c r="I145" s="116"/>
    </row>
    <row r="146" spans="2:9" ht="45" customHeight="1" x14ac:dyDescent="0.2">
      <c r="B146" s="245" t="s">
        <v>124</v>
      </c>
      <c r="C146" s="246"/>
      <c r="D146" s="246"/>
      <c r="E146" s="246"/>
      <c r="F146" s="246"/>
      <c r="G146" s="247"/>
      <c r="H146" s="130"/>
      <c r="I146" s="107"/>
    </row>
  </sheetData>
  <mergeCells count="103">
    <mergeCell ref="D145:F145"/>
    <mergeCell ref="B146:G146"/>
    <mergeCell ref="D138:F138"/>
    <mergeCell ref="D139:F139"/>
    <mergeCell ref="D140:F140"/>
    <mergeCell ref="D141:F141"/>
    <mergeCell ref="D142:F142"/>
    <mergeCell ref="D143:F143"/>
    <mergeCell ref="D120:F120"/>
    <mergeCell ref="B122:H122"/>
    <mergeCell ref="B124:F124"/>
    <mergeCell ref="C125:F125"/>
    <mergeCell ref="B135:F135"/>
    <mergeCell ref="B137:F137"/>
    <mergeCell ref="D114:F114"/>
    <mergeCell ref="D115:F115"/>
    <mergeCell ref="D116:F116"/>
    <mergeCell ref="D117:F117"/>
    <mergeCell ref="D118:F118"/>
    <mergeCell ref="D119:F119"/>
    <mergeCell ref="C100:F100"/>
    <mergeCell ref="B103:F103"/>
    <mergeCell ref="C104:G104"/>
    <mergeCell ref="C109:F109"/>
    <mergeCell ref="B112:F112"/>
    <mergeCell ref="C113:F113"/>
    <mergeCell ref="C89:F89"/>
    <mergeCell ref="B91:F91"/>
    <mergeCell ref="C92:F92"/>
    <mergeCell ref="C94:F94"/>
    <mergeCell ref="B96:F96"/>
    <mergeCell ref="C97:G97"/>
    <mergeCell ref="D78:E78"/>
    <mergeCell ref="D79:E79"/>
    <mergeCell ref="C80:F80"/>
    <mergeCell ref="B83:F83"/>
    <mergeCell ref="B84:F84"/>
    <mergeCell ref="C85:F85"/>
    <mergeCell ref="C65:F65"/>
    <mergeCell ref="C69:F69"/>
    <mergeCell ref="B70:H70"/>
    <mergeCell ref="B72:F72"/>
    <mergeCell ref="C73:F73"/>
    <mergeCell ref="D76:E76"/>
    <mergeCell ref="B55:H55"/>
    <mergeCell ref="B56:F56"/>
    <mergeCell ref="C57:F57"/>
    <mergeCell ref="C62:F62"/>
    <mergeCell ref="B63:H63"/>
    <mergeCell ref="B64:F64"/>
    <mergeCell ref="D49:F49"/>
    <mergeCell ref="D50:F50"/>
    <mergeCell ref="D51:F51"/>
    <mergeCell ref="D52:F52"/>
    <mergeCell ref="D53:F53"/>
    <mergeCell ref="C54:F54"/>
    <mergeCell ref="D46:F46"/>
    <mergeCell ref="B47:B48"/>
    <mergeCell ref="C47:C48"/>
    <mergeCell ref="D47:D48"/>
    <mergeCell ref="G47:G48"/>
    <mergeCell ref="H47:H48"/>
    <mergeCell ref="D40:F40"/>
    <mergeCell ref="C41:F41"/>
    <mergeCell ref="B42:H42"/>
    <mergeCell ref="B43:F43"/>
    <mergeCell ref="C44:F44"/>
    <mergeCell ref="D45:F45"/>
    <mergeCell ref="C31:F32"/>
    <mergeCell ref="B35:F35"/>
    <mergeCell ref="B36:F36"/>
    <mergeCell ref="B37:F37"/>
    <mergeCell ref="C38:F38"/>
    <mergeCell ref="D39:F39"/>
    <mergeCell ref="D26:F26"/>
    <mergeCell ref="D28:F28"/>
    <mergeCell ref="D29:F29"/>
    <mergeCell ref="C30:F30"/>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0">
    <dataValidation type="list" allowBlank="1" showInputMessage="1" showErrorMessage="1" sqref="G26" xr:uid="{D4F82DC2-1819-405B-9A52-28AB382B523D}">
      <formula1>"0%, 30%"</formula1>
    </dataValidation>
    <dataValidation type="list" allowBlank="1" showInputMessage="1" showErrorMessage="1" sqref="G27" xr:uid="{48D0BBA4-F4BE-44A9-A8EA-00C303D02D63}">
      <formula1>"0%, 10%, 20%, 40%"</formula1>
    </dataValidation>
    <dataValidation type="list" allowBlank="1" showInputMessage="1" showErrorMessage="1" sqref="E48" xr:uid="{D65FC094-45E3-47F7-AD22-9C83D0DF785E}">
      <formula1>"1%, 2%, 3%"</formula1>
    </dataValidation>
    <dataValidation type="list" allowBlank="1" showInputMessage="1" showErrorMessage="1" sqref="G28" xr:uid="{5EF29865-844B-4A0C-A77A-F8EC463F3FB6}">
      <formula1>"0, 20%"</formula1>
    </dataValidation>
    <dataValidation type="list" allowBlank="1" showInputMessage="1" showErrorMessage="1" sqref="G118" xr:uid="{A14166AD-EC89-4AF6-A813-FFF95F83C488}">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3D611236-0B13-46D5-BDB5-B927AFE37105}">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02F409E0-DAD5-44BE-96EF-342DAC1B5B2D}">
      <formula1>30</formula1>
      <formula2>30</formula2>
    </dataValidation>
    <dataValidation type="list" operator="equal" allowBlank="1" showInputMessage="1" showErrorMessage="1" errorTitle="Valor errado" error="Percentual fixo. Preencher com 40%." sqref="F76 F78" xr:uid="{A7103D96-740E-4A0C-AF07-43D4CB01AB3B}">
      <formula1>"40%"</formula1>
    </dataValidation>
    <dataValidation type="custom" allowBlank="1" showInputMessage="1" showErrorMessage="1" sqref="G116" xr:uid="{CDC99E06-FA96-48FD-86F6-5A9557489D22}">
      <formula1>1-(G117+G118+G119)</formula1>
    </dataValidation>
    <dataValidation type="list" allowBlank="1" showInputMessage="1" showErrorMessage="1" sqref="G79" xr:uid="{2419BC40-6D32-48DD-BAB1-8FFA68D7C7C2}">
      <formula1>"3,6,9,12,15"</formula1>
    </dataValidation>
  </dataValidations>
  <pageMargins left="0.511811024" right="0.511811024" top="0.78740157499999996" bottom="0.78740157499999996" header="0.31496062000000002" footer="0.31496062000000002"/>
  <pageSetup paperSize="9" scale="69" fitToHeight="0" orientation="portrait"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9EF83-3B7B-4713-9401-7247250AE68F}">
  <sheetPr>
    <tabColor theme="7" tint="0.39997558519241921"/>
    <pageSetUpPr fitToPage="1"/>
  </sheetPr>
  <dimension ref="B1:I146"/>
  <sheetViews>
    <sheetView topLeftCell="A19" zoomScale="140" zoomScaleNormal="140" workbookViewId="0">
      <selection activeCell="I146" sqref="I146"/>
    </sheetView>
  </sheetViews>
  <sheetFormatPr defaultColWidth="9.140625" defaultRowHeight="12.75" x14ac:dyDescent="0.2"/>
  <cols>
    <col min="1" max="1" width="3.5703125" style="58" customWidth="1"/>
    <col min="2" max="2" width="8.28515625" style="58" customWidth="1"/>
    <col min="3" max="3" width="39.140625" style="58" customWidth="1"/>
    <col min="4" max="4" width="29.140625" style="58" customWidth="1"/>
    <col min="5" max="6" width="8.140625" style="58" customWidth="1"/>
    <col min="7" max="7" width="9.140625" style="58"/>
    <col min="8" max="9" width="15.28515625" style="58" customWidth="1"/>
    <col min="10" max="16384" width="9.140625" style="58"/>
  </cols>
  <sheetData>
    <row r="1" spans="2:9" x14ac:dyDescent="0.2">
      <c r="C1" s="108"/>
      <c r="D1" s="9"/>
      <c r="E1" s="9"/>
      <c r="F1" s="9"/>
      <c r="G1" s="9"/>
      <c r="H1" s="9"/>
      <c r="I1" s="9"/>
    </row>
    <row r="2" spans="2:9" x14ac:dyDescent="0.2">
      <c r="B2" s="200" t="s">
        <v>49</v>
      </c>
      <c r="C2" s="200"/>
      <c r="D2" s="200"/>
      <c r="E2" s="200"/>
      <c r="F2" s="200"/>
      <c r="G2" s="200"/>
      <c r="H2" s="200"/>
      <c r="I2" s="94"/>
    </row>
    <row r="3" spans="2:9" x14ac:dyDescent="0.2">
      <c r="B3" s="201" t="s">
        <v>187</v>
      </c>
      <c r="C3" s="201"/>
      <c r="D3" s="201"/>
      <c r="E3" s="201"/>
      <c r="F3" s="201"/>
      <c r="G3" s="201"/>
      <c r="H3" s="201"/>
      <c r="I3" s="96"/>
    </row>
    <row r="4" spans="2:9" x14ac:dyDescent="0.2">
      <c r="B4" s="60"/>
      <c r="C4" s="60"/>
      <c r="D4" s="60"/>
      <c r="E4" s="60"/>
      <c r="F4" s="60"/>
      <c r="G4" s="60"/>
      <c r="H4" s="60"/>
      <c r="I4" s="60"/>
    </row>
    <row r="5" spans="2:9" x14ac:dyDescent="0.2">
      <c r="B5" s="60"/>
      <c r="C5" s="60"/>
      <c r="D5" s="60"/>
      <c r="E5" s="60"/>
      <c r="F5" s="60"/>
      <c r="G5" s="60"/>
      <c r="H5" s="60"/>
      <c r="I5" s="60"/>
    </row>
    <row r="6" spans="2:9" x14ac:dyDescent="0.2">
      <c r="B6" s="128" t="s">
        <v>126</v>
      </c>
      <c r="C6" s="128"/>
      <c r="D6" s="203" t="s">
        <v>203</v>
      </c>
      <c r="E6" s="204"/>
      <c r="F6" s="205"/>
      <c r="I6" s="10"/>
    </row>
    <row r="7" spans="2:9" x14ac:dyDescent="0.2">
      <c r="B7" s="60"/>
      <c r="C7" s="60"/>
      <c r="D7" s="60"/>
      <c r="E7" s="60"/>
      <c r="F7" s="60"/>
      <c r="G7" s="60"/>
      <c r="H7" s="60"/>
      <c r="I7" s="9"/>
    </row>
    <row r="8" spans="2:9" x14ac:dyDescent="0.2">
      <c r="B8" s="206" t="s">
        <v>50</v>
      </c>
      <c r="C8" s="206"/>
      <c r="D8" s="206"/>
      <c r="E8" s="206"/>
      <c r="F8" s="206"/>
      <c r="G8" s="129"/>
      <c r="H8" s="129"/>
      <c r="I8" s="59"/>
    </row>
    <row r="9" spans="2:9" x14ac:dyDescent="0.2">
      <c r="B9" s="191">
        <v>1</v>
      </c>
      <c r="C9" s="188" t="s">
        <v>51</v>
      </c>
      <c r="D9" s="188"/>
      <c r="E9" s="188"/>
      <c r="F9" s="188"/>
      <c r="G9" s="129"/>
      <c r="H9" s="129"/>
      <c r="I9" s="59"/>
    </row>
    <row r="10" spans="2:9" x14ac:dyDescent="0.2">
      <c r="B10" s="191"/>
      <c r="C10" s="190" t="s">
        <v>208</v>
      </c>
      <c r="D10" s="190"/>
      <c r="E10" s="190"/>
      <c r="F10" s="190"/>
      <c r="G10" s="129"/>
      <c r="H10" s="129"/>
      <c r="I10" s="59"/>
    </row>
    <row r="11" spans="2:9" x14ac:dyDescent="0.2">
      <c r="B11" s="191">
        <v>2</v>
      </c>
      <c r="C11" s="188" t="s">
        <v>52</v>
      </c>
      <c r="D11" s="188"/>
      <c r="E11" s="188"/>
      <c r="F11" s="188"/>
      <c r="G11" s="129"/>
      <c r="H11" s="129"/>
      <c r="I11" s="59"/>
    </row>
    <row r="12" spans="2:9" x14ac:dyDescent="0.2">
      <c r="B12" s="191"/>
      <c r="C12" s="190" t="s">
        <v>208</v>
      </c>
      <c r="D12" s="190"/>
      <c r="E12" s="190"/>
      <c r="F12" s="190"/>
      <c r="G12" s="129"/>
      <c r="H12" s="129"/>
      <c r="I12" s="59"/>
    </row>
    <row r="13" spans="2:9" x14ac:dyDescent="0.2">
      <c r="B13" s="191">
        <v>3</v>
      </c>
      <c r="C13" s="188" t="s">
        <v>53</v>
      </c>
      <c r="D13" s="188"/>
      <c r="E13" s="188"/>
      <c r="F13" s="188"/>
      <c r="G13" s="129"/>
      <c r="H13" s="129"/>
      <c r="I13" s="59"/>
    </row>
    <row r="14" spans="2:9" x14ac:dyDescent="0.2">
      <c r="B14" s="191"/>
      <c r="C14" s="189" t="s">
        <v>209</v>
      </c>
      <c r="D14" s="189"/>
      <c r="E14" s="189"/>
      <c r="F14" s="189"/>
      <c r="G14" s="129"/>
      <c r="H14" s="129"/>
      <c r="I14" s="59"/>
    </row>
    <row r="15" spans="2:9" x14ac:dyDescent="0.2">
      <c r="B15" s="191">
        <v>4</v>
      </c>
      <c r="C15" s="188" t="s">
        <v>54</v>
      </c>
      <c r="D15" s="188"/>
      <c r="E15" s="188"/>
      <c r="F15" s="188"/>
      <c r="G15" s="129"/>
      <c r="H15" s="129"/>
      <c r="I15" s="59"/>
    </row>
    <row r="16" spans="2:9" x14ac:dyDescent="0.2">
      <c r="B16" s="191"/>
      <c r="C16" s="190" t="s">
        <v>209</v>
      </c>
      <c r="D16" s="190"/>
      <c r="E16" s="190"/>
      <c r="F16" s="190"/>
      <c r="G16" s="129"/>
      <c r="H16" s="129"/>
      <c r="I16" s="59"/>
    </row>
    <row r="17" spans="2:9" x14ac:dyDescent="0.2">
      <c r="B17" s="191">
        <v>5</v>
      </c>
      <c r="C17" s="188" t="s">
        <v>55</v>
      </c>
      <c r="D17" s="188"/>
      <c r="E17" s="188"/>
      <c r="F17" s="188"/>
      <c r="G17" s="129"/>
      <c r="H17" s="129"/>
      <c r="I17" s="59"/>
    </row>
    <row r="18" spans="2:9" x14ac:dyDescent="0.2">
      <c r="B18" s="191"/>
      <c r="C18" s="190" t="s">
        <v>209</v>
      </c>
      <c r="D18" s="190"/>
      <c r="E18" s="190"/>
      <c r="F18" s="190"/>
      <c r="G18" s="129"/>
      <c r="H18" s="129"/>
      <c r="I18" s="59"/>
    </row>
    <row r="19" spans="2:9" x14ac:dyDescent="0.2">
      <c r="B19" s="191">
        <v>6</v>
      </c>
      <c r="C19" s="188" t="s">
        <v>56</v>
      </c>
      <c r="D19" s="188"/>
      <c r="E19" s="188"/>
      <c r="F19" s="188"/>
      <c r="G19" s="129"/>
      <c r="H19" s="129"/>
      <c r="I19" s="59"/>
    </row>
    <row r="20" spans="2:9" x14ac:dyDescent="0.2">
      <c r="B20" s="191"/>
      <c r="C20" s="190" t="s">
        <v>209</v>
      </c>
      <c r="D20" s="190"/>
      <c r="E20" s="190"/>
      <c r="F20" s="190"/>
      <c r="G20" s="129"/>
      <c r="H20" s="129"/>
      <c r="I20" s="59"/>
    </row>
    <row r="21" spans="2:9" x14ac:dyDescent="0.2">
      <c r="B21" s="61"/>
      <c r="C21" s="61"/>
      <c r="D21" s="61"/>
      <c r="E21" s="61"/>
      <c r="F21" s="61"/>
      <c r="G21" s="62"/>
      <c r="H21" s="62"/>
      <c r="I21" s="59"/>
    </row>
    <row r="22" spans="2:9" x14ac:dyDescent="0.2">
      <c r="B22" s="63"/>
      <c r="C22" s="63"/>
      <c r="D22" s="63"/>
      <c r="E22" s="63"/>
      <c r="F22" s="63"/>
      <c r="G22" s="63"/>
      <c r="H22" s="134" t="s">
        <v>193</v>
      </c>
    </row>
    <row r="23" spans="2:9" x14ac:dyDescent="0.2">
      <c r="B23" s="195" t="s">
        <v>63</v>
      </c>
      <c r="C23" s="196"/>
      <c r="D23" s="196"/>
      <c r="E23" s="196"/>
      <c r="F23" s="196"/>
      <c r="G23" s="132"/>
      <c r="H23" s="133"/>
      <c r="I23" s="95"/>
    </row>
    <row r="24" spans="2:9" x14ac:dyDescent="0.2">
      <c r="B24" s="90">
        <v>1</v>
      </c>
      <c r="C24" s="184" t="s">
        <v>57</v>
      </c>
      <c r="D24" s="202"/>
      <c r="E24" s="202"/>
      <c r="F24" s="185"/>
      <c r="G24" s="131" t="s">
        <v>1</v>
      </c>
      <c r="H24" s="131" t="s">
        <v>48</v>
      </c>
      <c r="I24" s="95"/>
    </row>
    <row r="25" spans="2:9" ht="12.75" customHeight="1" x14ac:dyDescent="0.2">
      <c r="B25" s="11" t="s">
        <v>4</v>
      </c>
      <c r="C25" s="88" t="s">
        <v>17</v>
      </c>
      <c r="D25" s="192"/>
      <c r="E25" s="193"/>
      <c r="F25" s="194"/>
      <c r="G25" s="12"/>
      <c r="H25" s="28">
        <v>5055.01</v>
      </c>
      <c r="I25" s="101"/>
    </row>
    <row r="26" spans="2:9" x14ac:dyDescent="0.2">
      <c r="B26" s="11" t="s">
        <v>5</v>
      </c>
      <c r="C26" s="88" t="s">
        <v>24</v>
      </c>
      <c r="D26" s="192" t="s">
        <v>127</v>
      </c>
      <c r="E26" s="193"/>
      <c r="F26" s="194"/>
      <c r="G26" s="171"/>
      <c r="H26" s="13">
        <f>TRUNC(H$25*$G26,2)</f>
        <v>0</v>
      </c>
      <c r="I26" s="97"/>
    </row>
    <row r="27" spans="2:9" x14ac:dyDescent="0.2">
      <c r="B27" s="11" t="s">
        <v>6</v>
      </c>
      <c r="C27" s="89" t="s">
        <v>25</v>
      </c>
      <c r="D27" s="158" t="s">
        <v>170</v>
      </c>
      <c r="E27" s="169" t="s">
        <v>195</v>
      </c>
      <c r="F27" s="168">
        <v>1518</v>
      </c>
      <c r="G27" s="171"/>
      <c r="H27" s="13">
        <f>TRUNC(F$27*$G27,2)</f>
        <v>0</v>
      </c>
      <c r="I27" s="97"/>
    </row>
    <row r="28" spans="2:9" x14ac:dyDescent="0.2">
      <c r="B28" s="11" t="s">
        <v>7</v>
      </c>
      <c r="C28" s="89" t="s">
        <v>0</v>
      </c>
      <c r="D28" s="192" t="s">
        <v>177</v>
      </c>
      <c r="E28" s="193"/>
      <c r="F28" s="194"/>
      <c r="G28" s="172"/>
      <c r="H28" s="67">
        <f>TRUNC(((H$25+H26)*$G28)/220*8*15,2)</f>
        <v>0</v>
      </c>
      <c r="I28" s="98"/>
    </row>
    <row r="29" spans="2:9" x14ac:dyDescent="0.2">
      <c r="B29" s="11" t="s">
        <v>10</v>
      </c>
      <c r="C29" s="89" t="s">
        <v>2</v>
      </c>
      <c r="D29" s="192"/>
      <c r="E29" s="193"/>
      <c r="F29" s="194"/>
      <c r="G29" s="29"/>
      <c r="H29" s="49"/>
      <c r="I29" s="99"/>
    </row>
    <row r="30" spans="2:9" x14ac:dyDescent="0.2">
      <c r="B30" s="11" t="s">
        <v>128</v>
      </c>
      <c r="C30" s="184" t="s">
        <v>58</v>
      </c>
      <c r="D30" s="202"/>
      <c r="E30" s="202"/>
      <c r="F30" s="185"/>
      <c r="G30" s="25"/>
      <c r="H30" s="14">
        <f>SUM(H25:H29)</f>
        <v>5055.01</v>
      </c>
      <c r="I30" s="15"/>
    </row>
    <row r="31" spans="2:9" ht="22.5" x14ac:dyDescent="0.2">
      <c r="B31" s="94"/>
      <c r="C31" s="219" t="s">
        <v>117</v>
      </c>
      <c r="D31" s="219"/>
      <c r="E31" s="219"/>
      <c r="F31" s="219"/>
      <c r="G31" s="52" t="s">
        <v>107</v>
      </c>
      <c r="H31" s="51" t="s">
        <v>121</v>
      </c>
      <c r="I31" s="2"/>
    </row>
    <row r="32" spans="2:9" x14ac:dyDescent="0.2">
      <c r="B32" s="94"/>
      <c r="C32" s="219"/>
      <c r="D32" s="219"/>
      <c r="E32" s="219"/>
      <c r="F32" s="219"/>
      <c r="G32" s="50"/>
      <c r="H32" s="30">
        <f>IF($G$32="",0,TRUNC((H25+H26+H27)/220,2))</f>
        <v>0</v>
      </c>
      <c r="I32" s="100"/>
    </row>
    <row r="33" spans="2:9" x14ac:dyDescent="0.2">
      <c r="B33" s="94"/>
      <c r="C33" s="94"/>
      <c r="D33" s="94"/>
      <c r="E33" s="94"/>
      <c r="F33" s="94"/>
      <c r="G33" s="94"/>
      <c r="H33" s="68"/>
      <c r="I33" s="15"/>
    </row>
    <row r="34" spans="2:9" x14ac:dyDescent="0.2">
      <c r="B34" s="94"/>
      <c r="C34" s="94"/>
      <c r="D34" s="94"/>
      <c r="E34" s="94"/>
      <c r="F34" s="94"/>
      <c r="G34" s="94"/>
      <c r="H34" s="68"/>
      <c r="I34" s="15"/>
    </row>
    <row r="35" spans="2:9" ht="12.75" customHeight="1" x14ac:dyDescent="0.2">
      <c r="B35" s="195" t="s">
        <v>64</v>
      </c>
      <c r="C35" s="196"/>
      <c r="D35" s="196"/>
      <c r="E35" s="196"/>
      <c r="F35" s="196"/>
      <c r="G35" s="132"/>
      <c r="H35" s="133"/>
      <c r="I35" s="95"/>
    </row>
    <row r="36" spans="2:9" x14ac:dyDescent="0.2">
      <c r="B36" s="198"/>
      <c r="C36" s="199"/>
      <c r="D36" s="199"/>
      <c r="E36" s="199"/>
      <c r="F36" s="199"/>
      <c r="G36" s="57"/>
      <c r="H36" s="57"/>
      <c r="I36" s="95"/>
    </row>
    <row r="37" spans="2:9" x14ac:dyDescent="0.2">
      <c r="B37" s="197" t="s">
        <v>35</v>
      </c>
      <c r="C37" s="197"/>
      <c r="D37" s="197"/>
      <c r="E37" s="197"/>
      <c r="F37" s="197"/>
      <c r="G37" s="57"/>
      <c r="H37" s="57"/>
      <c r="I37" s="95"/>
    </row>
    <row r="38" spans="2:9" x14ac:dyDescent="0.2">
      <c r="B38" s="131" t="s">
        <v>37</v>
      </c>
      <c r="C38" s="207" t="s">
        <v>26</v>
      </c>
      <c r="D38" s="208"/>
      <c r="E38" s="208"/>
      <c r="F38" s="209"/>
      <c r="G38" s="90" t="s">
        <v>1</v>
      </c>
      <c r="H38" s="90" t="s">
        <v>48</v>
      </c>
      <c r="I38" s="95"/>
    </row>
    <row r="39" spans="2:9" x14ac:dyDescent="0.2">
      <c r="B39" s="11" t="s">
        <v>4</v>
      </c>
      <c r="C39" s="88" t="s">
        <v>108</v>
      </c>
      <c r="D39" s="192" t="s">
        <v>129</v>
      </c>
      <c r="E39" s="193"/>
      <c r="F39" s="194"/>
      <c r="G39" s="137">
        <f>1/12</f>
        <v>8.3333333333333329E-2</v>
      </c>
      <c r="H39" s="138">
        <f>TRUNC((H$30*$G39),2)</f>
        <v>421.25</v>
      </c>
      <c r="I39" s="101"/>
    </row>
    <row r="40" spans="2:9" x14ac:dyDescent="0.2">
      <c r="B40" s="11" t="s">
        <v>5</v>
      </c>
      <c r="C40" s="88" t="s">
        <v>62</v>
      </c>
      <c r="D40" s="192" t="s">
        <v>131</v>
      </c>
      <c r="E40" s="193"/>
      <c r="F40" s="194"/>
      <c r="G40" s="16">
        <f>(1/12)+(1/3/12)</f>
        <v>0.1111111111111111</v>
      </c>
      <c r="H40" s="17">
        <f>TRUNC((H$30*$G40),2)</f>
        <v>561.66</v>
      </c>
      <c r="I40" s="101"/>
    </row>
    <row r="41" spans="2:9" x14ac:dyDescent="0.2">
      <c r="B41" s="11" t="s">
        <v>130</v>
      </c>
      <c r="C41" s="184" t="s">
        <v>58</v>
      </c>
      <c r="D41" s="202"/>
      <c r="E41" s="202"/>
      <c r="F41" s="185"/>
      <c r="G41" s="18">
        <f>TRUNC(SUM(G39:G40),4)</f>
        <v>0.19439999999999999</v>
      </c>
      <c r="H41" s="14">
        <f>SUM(H39:H40)</f>
        <v>982.91</v>
      </c>
      <c r="I41" s="15"/>
    </row>
    <row r="42" spans="2:9" x14ac:dyDescent="0.2">
      <c r="B42" s="210"/>
      <c r="C42" s="211"/>
      <c r="D42" s="211"/>
      <c r="E42" s="211"/>
      <c r="F42" s="211"/>
      <c r="G42" s="211"/>
      <c r="H42" s="212"/>
      <c r="I42" s="94"/>
    </row>
    <row r="43" spans="2:9" ht="30" customHeight="1" x14ac:dyDescent="0.2">
      <c r="B43" s="216" t="s">
        <v>65</v>
      </c>
      <c r="C43" s="217"/>
      <c r="D43" s="217"/>
      <c r="E43" s="217"/>
      <c r="F43" s="218"/>
      <c r="G43" s="135"/>
      <c r="H43" s="136"/>
      <c r="I43" s="102"/>
    </row>
    <row r="44" spans="2:9" x14ac:dyDescent="0.2">
      <c r="B44" s="90" t="s">
        <v>38</v>
      </c>
      <c r="C44" s="184" t="s">
        <v>66</v>
      </c>
      <c r="D44" s="202"/>
      <c r="E44" s="202"/>
      <c r="F44" s="185"/>
      <c r="G44" s="90" t="s">
        <v>1</v>
      </c>
      <c r="H44" s="90" t="s">
        <v>48</v>
      </c>
      <c r="I44" s="95"/>
    </row>
    <row r="45" spans="2:9" x14ac:dyDescent="0.2">
      <c r="B45" s="11" t="s">
        <v>4</v>
      </c>
      <c r="C45" s="88" t="s">
        <v>29</v>
      </c>
      <c r="D45" s="192" t="s">
        <v>132</v>
      </c>
      <c r="E45" s="193"/>
      <c r="F45" s="194"/>
      <c r="G45" s="16">
        <v>0.2</v>
      </c>
      <c r="H45" s="17">
        <f>TRUNC((H$30+H$41)*$G45,2)</f>
        <v>1207.58</v>
      </c>
      <c r="I45" s="101"/>
    </row>
    <row r="46" spans="2:9" x14ac:dyDescent="0.2">
      <c r="B46" s="11" t="s">
        <v>5</v>
      </c>
      <c r="C46" s="76" t="s">
        <v>30</v>
      </c>
      <c r="D46" s="192" t="s">
        <v>133</v>
      </c>
      <c r="E46" s="193"/>
      <c r="F46" s="194"/>
      <c r="G46" s="16">
        <v>2.5000000000000001E-2</v>
      </c>
      <c r="H46" s="17">
        <f>TRUNC((H$30+H$41)*$G46,2)</f>
        <v>150.94</v>
      </c>
      <c r="I46" s="101"/>
    </row>
    <row r="47" spans="2:9" x14ac:dyDescent="0.2">
      <c r="B47" s="223" t="s">
        <v>6</v>
      </c>
      <c r="C47" s="225" t="s">
        <v>100</v>
      </c>
      <c r="D47" s="227" t="s">
        <v>139</v>
      </c>
      <c r="E47" s="5" t="s">
        <v>101</v>
      </c>
      <c r="F47" s="5" t="s">
        <v>99</v>
      </c>
      <c r="G47" s="213">
        <f>E48*F48</f>
        <v>0.03</v>
      </c>
      <c r="H47" s="215">
        <f>TRUNC((H$30+H$41)*$G47,2)</f>
        <v>181.13</v>
      </c>
      <c r="I47" s="104"/>
    </row>
    <row r="48" spans="2:9" x14ac:dyDescent="0.2">
      <c r="B48" s="224"/>
      <c r="C48" s="226"/>
      <c r="D48" s="227"/>
      <c r="E48" s="31">
        <v>0.03</v>
      </c>
      <c r="F48" s="32">
        <v>1</v>
      </c>
      <c r="G48" s="214"/>
      <c r="H48" s="215"/>
      <c r="I48" s="104"/>
    </row>
    <row r="49" spans="2:9" x14ac:dyDescent="0.2">
      <c r="B49" s="11" t="s">
        <v>7</v>
      </c>
      <c r="C49" s="88" t="s">
        <v>28</v>
      </c>
      <c r="D49" s="192" t="s">
        <v>134</v>
      </c>
      <c r="E49" s="193"/>
      <c r="F49" s="194"/>
      <c r="G49" s="16">
        <v>1.4999999999999999E-2</v>
      </c>
      <c r="H49" s="17">
        <f>TRUNC((H$30+H$41)*$G49,2)</f>
        <v>90.56</v>
      </c>
      <c r="I49" s="101"/>
    </row>
    <row r="50" spans="2:9" x14ac:dyDescent="0.2">
      <c r="B50" s="11" t="s">
        <v>8</v>
      </c>
      <c r="C50" s="88" t="s">
        <v>31</v>
      </c>
      <c r="D50" s="192" t="s">
        <v>135</v>
      </c>
      <c r="E50" s="193"/>
      <c r="F50" s="194"/>
      <c r="G50" s="16">
        <v>0.01</v>
      </c>
      <c r="H50" s="17">
        <f>TRUNC((H$30+H$41)*$G50,2)</f>
        <v>60.37</v>
      </c>
      <c r="I50" s="101"/>
    </row>
    <row r="51" spans="2:9" x14ac:dyDescent="0.2">
      <c r="B51" s="11" t="s">
        <v>9</v>
      </c>
      <c r="C51" s="88" t="s">
        <v>32</v>
      </c>
      <c r="D51" s="192" t="s">
        <v>136</v>
      </c>
      <c r="E51" s="193"/>
      <c r="F51" s="194"/>
      <c r="G51" s="16">
        <v>6.0000000000000001E-3</v>
      </c>
      <c r="H51" s="17">
        <f>TRUNC((H$30+H$41)*$G51,2)</f>
        <v>36.22</v>
      </c>
      <c r="I51" s="101"/>
    </row>
    <row r="52" spans="2:9" x14ac:dyDescent="0.2">
      <c r="B52" s="11" t="s">
        <v>10</v>
      </c>
      <c r="C52" s="88" t="s">
        <v>33</v>
      </c>
      <c r="D52" s="192" t="s">
        <v>137</v>
      </c>
      <c r="E52" s="193"/>
      <c r="F52" s="194"/>
      <c r="G52" s="16">
        <v>2E-3</v>
      </c>
      <c r="H52" s="17">
        <f>TRUNC((H$30+H$41)*$G52,2)</f>
        <v>12.07</v>
      </c>
      <c r="I52" s="101"/>
    </row>
    <row r="53" spans="2:9" x14ac:dyDescent="0.2">
      <c r="B53" s="11" t="s">
        <v>11</v>
      </c>
      <c r="C53" s="88" t="s">
        <v>34</v>
      </c>
      <c r="D53" s="192" t="s">
        <v>138</v>
      </c>
      <c r="E53" s="193"/>
      <c r="F53" s="194"/>
      <c r="G53" s="16">
        <v>0.08</v>
      </c>
      <c r="H53" s="17">
        <f>TRUNC((H$30+H$41)*$G53,2)</f>
        <v>483.03</v>
      </c>
      <c r="I53" s="101"/>
    </row>
    <row r="54" spans="2:9" x14ac:dyDescent="0.2">
      <c r="B54" s="11" t="s">
        <v>140</v>
      </c>
      <c r="C54" s="184" t="s">
        <v>58</v>
      </c>
      <c r="D54" s="202"/>
      <c r="E54" s="202"/>
      <c r="F54" s="185"/>
      <c r="G54" s="19">
        <f>SUM(G45:G53)</f>
        <v>0.36800000000000005</v>
      </c>
      <c r="H54" s="14">
        <f>SUM(H45:H53)</f>
        <v>2221.8999999999996</v>
      </c>
      <c r="I54" s="15"/>
    </row>
    <row r="55" spans="2:9" x14ac:dyDescent="0.2">
      <c r="B55" s="220"/>
      <c r="C55" s="221"/>
      <c r="D55" s="221"/>
      <c r="E55" s="221"/>
      <c r="F55" s="221"/>
      <c r="G55" s="221"/>
      <c r="H55" s="222"/>
      <c r="I55" s="113"/>
    </row>
    <row r="56" spans="2:9" ht="12.75" customHeight="1" x14ac:dyDescent="0.2">
      <c r="B56" s="216" t="s">
        <v>36</v>
      </c>
      <c r="C56" s="217"/>
      <c r="D56" s="217"/>
      <c r="E56" s="217"/>
      <c r="F56" s="218"/>
      <c r="G56" s="135"/>
      <c r="H56" s="136"/>
      <c r="I56" s="113"/>
    </row>
    <row r="57" spans="2:9" x14ac:dyDescent="0.2">
      <c r="B57" s="90" t="s">
        <v>39</v>
      </c>
      <c r="C57" s="184" t="s">
        <v>40</v>
      </c>
      <c r="D57" s="202"/>
      <c r="E57" s="202"/>
      <c r="F57" s="202"/>
      <c r="G57" s="77"/>
      <c r="H57" s="90" t="s">
        <v>48</v>
      </c>
      <c r="I57" s="95"/>
    </row>
    <row r="58" spans="2:9" ht="12.75" customHeight="1" x14ac:dyDescent="0.2">
      <c r="B58" s="11" t="s">
        <v>4</v>
      </c>
      <c r="C58" s="88" t="s">
        <v>46</v>
      </c>
      <c r="D58" s="158" t="s">
        <v>143</v>
      </c>
      <c r="E58" s="159"/>
      <c r="F58" s="159"/>
      <c r="G58" s="160"/>
      <c r="H58" s="33">
        <f>IF((TRUNC((8.55*2*22)-(H$25*6%),2))&lt;0,"0,00",(TRUNC((8.55*2*22)-(H$25*6%),2)))</f>
        <v>72.89</v>
      </c>
    </row>
    <row r="59" spans="2:9" ht="12.75" customHeight="1" x14ac:dyDescent="0.2">
      <c r="B59" s="11" t="s">
        <v>5</v>
      </c>
      <c r="C59" s="88" t="s">
        <v>47</v>
      </c>
      <c r="D59" s="158" t="s">
        <v>144</v>
      </c>
      <c r="E59" s="159"/>
      <c r="F59" s="159"/>
      <c r="G59" s="160"/>
      <c r="H59" s="33">
        <f>50.67*22</f>
        <v>1114.74</v>
      </c>
      <c r="I59" s="114"/>
    </row>
    <row r="60" spans="2:9" x14ac:dyDescent="0.2">
      <c r="B60" s="11" t="s">
        <v>6</v>
      </c>
      <c r="C60" s="88" t="s">
        <v>102</v>
      </c>
      <c r="D60" s="158"/>
      <c r="E60" s="159"/>
      <c r="F60" s="159"/>
      <c r="G60" s="160"/>
      <c r="H60" s="33">
        <v>0</v>
      </c>
      <c r="I60" s="114"/>
    </row>
    <row r="61" spans="2:9" s="69" customFormat="1" x14ac:dyDescent="0.2">
      <c r="B61" s="11" t="s">
        <v>7</v>
      </c>
      <c r="C61" s="88" t="s">
        <v>2</v>
      </c>
      <c r="D61" s="158"/>
      <c r="E61" s="159"/>
      <c r="F61" s="159"/>
      <c r="G61" s="160"/>
      <c r="H61" s="33">
        <v>0</v>
      </c>
      <c r="I61" s="114"/>
    </row>
    <row r="62" spans="2:9" x14ac:dyDescent="0.2">
      <c r="B62" s="11" t="s">
        <v>141</v>
      </c>
      <c r="C62" s="184" t="s">
        <v>58</v>
      </c>
      <c r="D62" s="202"/>
      <c r="E62" s="202"/>
      <c r="F62" s="202"/>
      <c r="G62" s="77"/>
      <c r="H62" s="14">
        <f>SUM(H58:H61)</f>
        <v>1187.6300000000001</v>
      </c>
      <c r="I62" s="15"/>
    </row>
    <row r="63" spans="2:9" x14ac:dyDescent="0.2">
      <c r="B63" s="210"/>
      <c r="C63" s="211"/>
      <c r="D63" s="211"/>
      <c r="E63" s="211"/>
      <c r="F63" s="211"/>
      <c r="G63" s="211"/>
      <c r="H63" s="212"/>
      <c r="I63" s="94"/>
    </row>
    <row r="64" spans="2:9" x14ac:dyDescent="0.2">
      <c r="B64" s="229" t="s">
        <v>68</v>
      </c>
      <c r="C64" s="230"/>
      <c r="D64" s="230"/>
      <c r="E64" s="230"/>
      <c r="F64" s="230"/>
      <c r="G64" s="139"/>
      <c r="H64" s="139"/>
      <c r="I64" s="94"/>
    </row>
    <row r="65" spans="2:9" x14ac:dyDescent="0.2">
      <c r="B65" s="90">
        <v>2</v>
      </c>
      <c r="C65" s="184" t="s">
        <v>67</v>
      </c>
      <c r="D65" s="202"/>
      <c r="E65" s="202"/>
      <c r="F65" s="202"/>
      <c r="G65" s="77"/>
      <c r="H65" s="90" t="s">
        <v>48</v>
      </c>
      <c r="I65" s="95"/>
    </row>
    <row r="66" spans="2:9" x14ac:dyDescent="0.2">
      <c r="B66" s="11" t="s">
        <v>37</v>
      </c>
      <c r="C66" s="78" t="s">
        <v>26</v>
      </c>
      <c r="D66" s="158" t="s">
        <v>130</v>
      </c>
      <c r="E66" s="159"/>
      <c r="F66" s="159"/>
      <c r="G66" s="160"/>
      <c r="H66" s="17">
        <f>H41</f>
        <v>982.91</v>
      </c>
      <c r="I66" s="101"/>
    </row>
    <row r="67" spans="2:9" x14ac:dyDescent="0.2">
      <c r="B67" s="11" t="s">
        <v>38</v>
      </c>
      <c r="C67" s="78" t="s">
        <v>27</v>
      </c>
      <c r="D67" s="158" t="s">
        <v>140</v>
      </c>
      <c r="E67" s="159"/>
      <c r="F67" s="159"/>
      <c r="G67" s="160"/>
      <c r="H67" s="17">
        <f>H54</f>
        <v>2221.8999999999996</v>
      </c>
      <c r="I67" s="101"/>
    </row>
    <row r="68" spans="2:9" x14ac:dyDescent="0.2">
      <c r="B68" s="11" t="s">
        <v>39</v>
      </c>
      <c r="C68" s="78" t="s">
        <v>40</v>
      </c>
      <c r="D68" s="158" t="s">
        <v>141</v>
      </c>
      <c r="E68" s="159"/>
      <c r="F68" s="159"/>
      <c r="G68" s="160"/>
      <c r="H68" s="17">
        <f>H62</f>
        <v>1187.6300000000001</v>
      </c>
      <c r="I68" s="101"/>
    </row>
    <row r="69" spans="2:9" x14ac:dyDescent="0.2">
      <c r="B69" s="11" t="s">
        <v>142</v>
      </c>
      <c r="C69" s="184" t="s">
        <v>58</v>
      </c>
      <c r="D69" s="202"/>
      <c r="E69" s="202"/>
      <c r="F69" s="202"/>
      <c r="G69" s="77"/>
      <c r="H69" s="14">
        <f>SUM(H66:H68)</f>
        <v>4392.4399999999996</v>
      </c>
      <c r="I69" s="15"/>
    </row>
    <row r="70" spans="2:9" x14ac:dyDescent="0.2">
      <c r="B70" s="211"/>
      <c r="C70" s="211"/>
      <c r="D70" s="211"/>
      <c r="E70" s="211"/>
      <c r="F70" s="211"/>
      <c r="G70" s="211"/>
      <c r="H70" s="211"/>
      <c r="I70" s="95"/>
    </row>
    <row r="71" spans="2:9" x14ac:dyDescent="0.2">
      <c r="B71" s="94"/>
      <c r="C71" s="94"/>
      <c r="D71" s="94"/>
      <c r="E71" s="94"/>
      <c r="F71" s="94"/>
      <c r="G71" s="94"/>
      <c r="H71" s="94"/>
      <c r="I71" s="95"/>
    </row>
    <row r="72" spans="2:9" x14ac:dyDescent="0.2">
      <c r="B72" s="195" t="s">
        <v>69</v>
      </c>
      <c r="C72" s="196"/>
      <c r="D72" s="196"/>
      <c r="E72" s="196"/>
      <c r="F72" s="228"/>
      <c r="G72" s="132"/>
      <c r="H72" s="133"/>
      <c r="I72" s="95"/>
    </row>
    <row r="73" spans="2:9" x14ac:dyDescent="0.2">
      <c r="B73" s="90">
        <v>3</v>
      </c>
      <c r="C73" s="184" t="s">
        <v>59</v>
      </c>
      <c r="D73" s="202"/>
      <c r="E73" s="202"/>
      <c r="F73" s="185"/>
      <c r="G73" s="90" t="s">
        <v>1</v>
      </c>
      <c r="H73" s="90" t="s">
        <v>48</v>
      </c>
      <c r="I73" s="95"/>
    </row>
    <row r="74" spans="2:9" x14ac:dyDescent="0.2">
      <c r="B74" s="11" t="s">
        <v>4</v>
      </c>
      <c r="C74" s="79" t="s">
        <v>94</v>
      </c>
      <c r="D74" s="158" t="s">
        <v>159</v>
      </c>
      <c r="E74" s="159"/>
      <c r="F74" s="160"/>
      <c r="G74" s="34">
        <v>0.5</v>
      </c>
      <c r="H74" s="20">
        <f>TRUNC((H$75+H$76)*$G74,2)</f>
        <v>414.75</v>
      </c>
      <c r="I74" s="15"/>
    </row>
    <row r="75" spans="2:9" x14ac:dyDescent="0.2">
      <c r="B75" s="11" t="s">
        <v>5</v>
      </c>
      <c r="C75" s="88" t="s">
        <v>95</v>
      </c>
      <c r="D75" s="158" t="s">
        <v>178</v>
      </c>
      <c r="E75" s="159"/>
      <c r="F75" s="160"/>
      <c r="G75" s="21"/>
      <c r="H75" s="17">
        <f>TRUNC((H$30+H$41+H$53+H$62-H58)/12,2)</f>
        <v>636.29999999999995</v>
      </c>
      <c r="I75" s="101"/>
    </row>
    <row r="76" spans="2:9" x14ac:dyDescent="0.2">
      <c r="B76" s="11" t="s">
        <v>6</v>
      </c>
      <c r="C76" s="88" t="s">
        <v>96</v>
      </c>
      <c r="D76" s="192" t="s">
        <v>171</v>
      </c>
      <c r="E76" s="194"/>
      <c r="F76" s="36">
        <v>0.4</v>
      </c>
      <c r="G76" s="21"/>
      <c r="H76" s="17">
        <f>TRUNC(H$53*$F76,2)</f>
        <v>193.21</v>
      </c>
      <c r="I76" s="101"/>
    </row>
    <row r="77" spans="2:9" x14ac:dyDescent="0.2">
      <c r="B77" s="11" t="s">
        <v>7</v>
      </c>
      <c r="C77" s="79" t="s">
        <v>97</v>
      </c>
      <c r="D77" s="158" t="s">
        <v>160</v>
      </c>
      <c r="E77" s="159"/>
      <c r="F77" s="160"/>
      <c r="G77" s="170">
        <f>1-G74</f>
        <v>0.5</v>
      </c>
      <c r="H77" s="82">
        <f>(TRUNC(H$78*$G77,2))</f>
        <v>96.6</v>
      </c>
      <c r="I77" s="103"/>
    </row>
    <row r="78" spans="2:9" x14ac:dyDescent="0.2">
      <c r="B78" s="11" t="s">
        <v>8</v>
      </c>
      <c r="C78" s="88" t="s">
        <v>98</v>
      </c>
      <c r="D78" s="192" t="s">
        <v>171</v>
      </c>
      <c r="E78" s="194"/>
      <c r="F78" s="36">
        <v>0.4</v>
      </c>
      <c r="G78" s="21"/>
      <c r="H78" s="17">
        <f>TRUNC(H$53*$F78,2)</f>
        <v>193.21</v>
      </c>
      <c r="I78" s="101"/>
    </row>
    <row r="79" spans="2:9" x14ac:dyDescent="0.2">
      <c r="B79" s="11" t="s">
        <v>9</v>
      </c>
      <c r="C79" s="79" t="s">
        <v>176</v>
      </c>
      <c r="D79" s="231" t="s">
        <v>194</v>
      </c>
      <c r="E79" s="232"/>
      <c r="F79" s="35">
        <v>12</v>
      </c>
      <c r="G79" s="35">
        <v>3</v>
      </c>
      <c r="H79" s="17">
        <f>TRUNC(((H$30+H$41+H$54)/30)*$G79/$F79,2)</f>
        <v>68.83</v>
      </c>
      <c r="I79" s="101"/>
    </row>
    <row r="80" spans="2:9" x14ac:dyDescent="0.2">
      <c r="B80" s="11" t="s">
        <v>146</v>
      </c>
      <c r="C80" s="184" t="s">
        <v>58</v>
      </c>
      <c r="D80" s="202"/>
      <c r="E80" s="202"/>
      <c r="F80" s="202"/>
      <c r="G80" s="77"/>
      <c r="H80" s="14">
        <f>H$74+H$77+H$79</f>
        <v>580.18000000000006</v>
      </c>
      <c r="I80" s="15"/>
    </row>
    <row r="81" spans="2:9" x14ac:dyDescent="0.2">
      <c r="B81" s="91"/>
      <c r="C81" s="91"/>
      <c r="D81" s="91"/>
      <c r="E81" s="91"/>
      <c r="F81" s="91"/>
      <c r="G81" s="91"/>
      <c r="H81" s="91"/>
      <c r="I81" s="91"/>
    </row>
    <row r="82" spans="2:9" x14ac:dyDescent="0.2">
      <c r="B82" s="94"/>
      <c r="C82" s="94"/>
      <c r="D82" s="94"/>
      <c r="E82" s="94"/>
      <c r="F82" s="94"/>
      <c r="G82" s="94"/>
      <c r="H82" s="94"/>
      <c r="I82" s="95"/>
    </row>
    <row r="83" spans="2:9" x14ac:dyDescent="0.2">
      <c r="B83" s="195" t="s">
        <v>70</v>
      </c>
      <c r="C83" s="196"/>
      <c r="D83" s="196"/>
      <c r="E83" s="196"/>
      <c r="F83" s="228"/>
      <c r="G83" s="132"/>
      <c r="H83" s="133"/>
      <c r="I83" s="95"/>
    </row>
    <row r="84" spans="2:9" x14ac:dyDescent="0.2">
      <c r="B84" s="233" t="s">
        <v>87</v>
      </c>
      <c r="C84" s="234"/>
      <c r="D84" s="234"/>
      <c r="E84" s="234"/>
      <c r="F84" s="234"/>
      <c r="G84" s="140"/>
      <c r="H84" s="141"/>
      <c r="I84" s="95"/>
    </row>
    <row r="85" spans="2:9" x14ac:dyDescent="0.2">
      <c r="B85" s="90" t="s">
        <v>14</v>
      </c>
      <c r="C85" s="184" t="s">
        <v>88</v>
      </c>
      <c r="D85" s="202"/>
      <c r="E85" s="202"/>
      <c r="F85" s="185"/>
      <c r="G85" s="90" t="s">
        <v>103</v>
      </c>
      <c r="H85" s="90" t="s">
        <v>48</v>
      </c>
      <c r="I85" s="95"/>
    </row>
    <row r="86" spans="2:9" x14ac:dyDescent="0.2">
      <c r="B86" s="11" t="s">
        <v>4</v>
      </c>
      <c r="C86" s="88" t="s">
        <v>200</v>
      </c>
      <c r="D86" s="158" t="s">
        <v>152</v>
      </c>
      <c r="E86" s="159"/>
      <c r="F86" s="160"/>
      <c r="G86" s="35">
        <v>30</v>
      </c>
      <c r="H86" s="17">
        <f>TRUNC((H$88*$G86)/12,2)</f>
        <v>835.62</v>
      </c>
      <c r="I86" s="101"/>
    </row>
    <row r="87" spans="2:9" ht="22.5" x14ac:dyDescent="0.2">
      <c r="B87" s="11" t="s">
        <v>5</v>
      </c>
      <c r="C87" s="80" t="s">
        <v>158</v>
      </c>
      <c r="D87" s="161" t="s">
        <v>161</v>
      </c>
      <c r="E87" s="162"/>
      <c r="F87" s="163"/>
      <c r="G87" s="56">
        <v>8</v>
      </c>
      <c r="H87" s="17">
        <f>TRUNC((H$88*$G87)/12,2)</f>
        <v>222.83</v>
      </c>
      <c r="I87" s="101"/>
    </row>
    <row r="88" spans="2:9" x14ac:dyDescent="0.2">
      <c r="B88" s="11" t="s">
        <v>6</v>
      </c>
      <c r="C88" s="88" t="s">
        <v>109</v>
      </c>
      <c r="D88" s="158" t="s">
        <v>145</v>
      </c>
      <c r="E88" s="159"/>
      <c r="F88" s="159"/>
      <c r="G88" s="160"/>
      <c r="H88" s="17">
        <f>TRUNC((H$30+H$69+H$80)/30,2)</f>
        <v>334.25</v>
      </c>
      <c r="I88" s="101"/>
    </row>
    <row r="89" spans="2:9" x14ac:dyDescent="0.2">
      <c r="B89" s="11" t="s">
        <v>147</v>
      </c>
      <c r="C89" s="184" t="s">
        <v>58</v>
      </c>
      <c r="D89" s="202"/>
      <c r="E89" s="202"/>
      <c r="F89" s="202"/>
      <c r="G89" s="77"/>
      <c r="H89" s="14">
        <f>TRUNC(H$86+H$87,2)</f>
        <v>1058.45</v>
      </c>
      <c r="I89" s="15"/>
    </row>
    <row r="90" spans="2:9" x14ac:dyDescent="0.2">
      <c r="B90" s="70"/>
      <c r="C90" s="71"/>
      <c r="D90" s="71"/>
      <c r="E90" s="71"/>
      <c r="F90" s="71"/>
      <c r="G90" s="71"/>
      <c r="H90" s="72"/>
      <c r="I90" s="22"/>
    </row>
    <row r="91" spans="2:9" x14ac:dyDescent="0.2">
      <c r="B91" s="229" t="s">
        <v>89</v>
      </c>
      <c r="C91" s="230"/>
      <c r="D91" s="230"/>
      <c r="E91" s="230"/>
      <c r="F91" s="230"/>
      <c r="G91" s="142"/>
      <c r="H91" s="143"/>
      <c r="I91" s="95"/>
    </row>
    <row r="92" spans="2:9" x14ac:dyDescent="0.2">
      <c r="B92" s="90" t="s">
        <v>15</v>
      </c>
      <c r="C92" s="184" t="s">
        <v>90</v>
      </c>
      <c r="D92" s="202"/>
      <c r="E92" s="202"/>
      <c r="F92" s="185"/>
      <c r="G92" s="90" t="s">
        <v>103</v>
      </c>
      <c r="H92" s="90" t="s">
        <v>48</v>
      </c>
      <c r="I92" s="95"/>
    </row>
    <row r="93" spans="2:9" ht="22.5" x14ac:dyDescent="0.2">
      <c r="B93" s="11" t="s">
        <v>4</v>
      </c>
      <c r="C93" s="80" t="s">
        <v>91</v>
      </c>
      <c r="D93" s="158" t="s">
        <v>180</v>
      </c>
      <c r="E93" s="159"/>
      <c r="F93" s="159"/>
      <c r="G93" s="35"/>
      <c r="H93" s="17">
        <f>TRUNC(((H$30+H69+H80)/220)*(1+50%)*G93,2)</f>
        <v>0</v>
      </c>
      <c r="I93" s="101"/>
    </row>
    <row r="94" spans="2:9" x14ac:dyDescent="0.2">
      <c r="B94" s="11" t="s">
        <v>148</v>
      </c>
      <c r="C94" s="184" t="s">
        <v>58</v>
      </c>
      <c r="D94" s="202"/>
      <c r="E94" s="202"/>
      <c r="F94" s="202"/>
      <c r="G94" s="120"/>
      <c r="H94" s="14">
        <f>H93</f>
        <v>0</v>
      </c>
      <c r="I94" s="101"/>
    </row>
    <row r="95" spans="2:9" x14ac:dyDescent="0.2">
      <c r="B95" s="93"/>
      <c r="C95" s="92"/>
      <c r="D95" s="92"/>
      <c r="E95" s="92"/>
      <c r="F95" s="92"/>
      <c r="G95" s="94"/>
      <c r="H95" s="157"/>
      <c r="I95" s="117"/>
    </row>
    <row r="96" spans="2:9" x14ac:dyDescent="0.2">
      <c r="B96" s="229" t="s">
        <v>71</v>
      </c>
      <c r="C96" s="230"/>
      <c r="D96" s="230"/>
      <c r="E96" s="230"/>
      <c r="F96" s="230"/>
      <c r="G96" s="142"/>
      <c r="H96" s="143"/>
      <c r="I96" s="95"/>
    </row>
    <row r="97" spans="2:9" x14ac:dyDescent="0.2">
      <c r="B97" s="90">
        <v>4</v>
      </c>
      <c r="C97" s="184" t="s">
        <v>72</v>
      </c>
      <c r="D97" s="202"/>
      <c r="E97" s="202"/>
      <c r="F97" s="202"/>
      <c r="G97" s="185"/>
      <c r="H97" s="90" t="s">
        <v>48</v>
      </c>
      <c r="I97" s="95"/>
    </row>
    <row r="98" spans="2:9" x14ac:dyDescent="0.2">
      <c r="B98" s="11" t="s">
        <v>14</v>
      </c>
      <c r="C98" s="88" t="s">
        <v>41</v>
      </c>
      <c r="D98" s="158" t="s">
        <v>147</v>
      </c>
      <c r="E98" s="159"/>
      <c r="F98" s="159"/>
      <c r="G98" s="160"/>
      <c r="H98" s="17">
        <f>H89</f>
        <v>1058.45</v>
      </c>
      <c r="I98" s="101"/>
    </row>
    <row r="99" spans="2:9" x14ac:dyDescent="0.2">
      <c r="B99" s="11" t="s">
        <v>15</v>
      </c>
      <c r="C99" s="88" t="s">
        <v>43</v>
      </c>
      <c r="D99" s="158" t="s">
        <v>148</v>
      </c>
      <c r="E99" s="159"/>
      <c r="F99" s="159"/>
      <c r="G99" s="160"/>
      <c r="H99" s="17">
        <f>H94</f>
        <v>0</v>
      </c>
      <c r="I99" s="101"/>
    </row>
    <row r="100" spans="2:9" x14ac:dyDescent="0.2">
      <c r="B100" s="11" t="s">
        <v>149</v>
      </c>
      <c r="C100" s="184" t="s">
        <v>58</v>
      </c>
      <c r="D100" s="202"/>
      <c r="E100" s="202"/>
      <c r="F100" s="202"/>
      <c r="G100" s="77"/>
      <c r="H100" s="14">
        <f>SUM(H98:H99)</f>
        <v>1058.45</v>
      </c>
      <c r="I100" s="15"/>
    </row>
    <row r="101" spans="2:9" x14ac:dyDescent="0.2">
      <c r="B101" s="94"/>
      <c r="C101" s="94"/>
      <c r="D101" s="94"/>
      <c r="E101" s="94"/>
      <c r="F101" s="94"/>
      <c r="G101" s="94"/>
      <c r="H101" s="94"/>
      <c r="I101" s="95"/>
    </row>
    <row r="102" spans="2:9" x14ac:dyDescent="0.2">
      <c r="B102" s="94"/>
      <c r="C102" s="94"/>
      <c r="D102" s="94"/>
      <c r="E102" s="94"/>
      <c r="F102" s="94"/>
      <c r="G102" s="94"/>
      <c r="H102" s="94"/>
      <c r="I102" s="95"/>
    </row>
    <row r="103" spans="2:9" x14ac:dyDescent="0.2">
      <c r="B103" s="195" t="s">
        <v>73</v>
      </c>
      <c r="C103" s="196"/>
      <c r="D103" s="196"/>
      <c r="E103" s="196"/>
      <c r="F103" s="228"/>
      <c r="G103" s="132"/>
      <c r="H103" s="133"/>
      <c r="I103" s="95"/>
    </row>
    <row r="104" spans="2:9" x14ac:dyDescent="0.2">
      <c r="B104" s="90">
        <v>5</v>
      </c>
      <c r="C104" s="235" t="s">
        <v>60</v>
      </c>
      <c r="D104" s="236"/>
      <c r="E104" s="236"/>
      <c r="F104" s="236"/>
      <c r="G104" s="237"/>
      <c r="H104" s="90" t="s">
        <v>48</v>
      </c>
      <c r="I104" s="95"/>
    </row>
    <row r="105" spans="2:9" x14ac:dyDescent="0.2">
      <c r="B105" s="11" t="s">
        <v>4</v>
      </c>
      <c r="C105" s="64" t="s">
        <v>44</v>
      </c>
      <c r="D105" s="65"/>
      <c r="E105" s="65"/>
      <c r="F105" s="65"/>
      <c r="G105" s="66"/>
      <c r="H105" s="67">
        <v>0</v>
      </c>
      <c r="I105" s="101"/>
    </row>
    <row r="106" spans="2:9" x14ac:dyDescent="0.2">
      <c r="B106" s="11" t="s">
        <v>5</v>
      </c>
      <c r="C106" s="64" t="s">
        <v>12</v>
      </c>
      <c r="D106" s="65"/>
      <c r="E106" s="65"/>
      <c r="F106" s="65"/>
      <c r="G106" s="66"/>
      <c r="H106" s="67">
        <v>0</v>
      </c>
      <c r="I106" s="101"/>
    </row>
    <row r="107" spans="2:9" x14ac:dyDescent="0.2">
      <c r="B107" s="11" t="s">
        <v>6</v>
      </c>
      <c r="C107" s="64" t="s">
        <v>13</v>
      </c>
      <c r="D107" s="65"/>
      <c r="E107" s="65"/>
      <c r="F107" s="65"/>
      <c r="G107" s="66"/>
      <c r="H107" s="67">
        <f>Insumos!H6</f>
        <v>1.58</v>
      </c>
      <c r="I107" s="101"/>
    </row>
    <row r="108" spans="2:9" x14ac:dyDescent="0.2">
      <c r="B108" s="11" t="s">
        <v>7</v>
      </c>
      <c r="C108" s="64" t="s">
        <v>2</v>
      </c>
      <c r="D108" s="65"/>
      <c r="E108" s="65"/>
      <c r="F108" s="65"/>
      <c r="G108" s="66"/>
      <c r="H108" s="67"/>
      <c r="I108" s="101"/>
    </row>
    <row r="109" spans="2:9" x14ac:dyDescent="0.2">
      <c r="B109" s="11" t="s">
        <v>150</v>
      </c>
      <c r="C109" s="184" t="s">
        <v>58</v>
      </c>
      <c r="D109" s="202"/>
      <c r="E109" s="202"/>
      <c r="F109" s="202"/>
      <c r="G109" s="77"/>
      <c r="H109" s="14">
        <f>SUM(H105:H108)</f>
        <v>1.58</v>
      </c>
      <c r="I109" s="15"/>
    </row>
    <row r="110" spans="2:9" x14ac:dyDescent="0.2">
      <c r="B110" s="94"/>
      <c r="C110" s="94"/>
      <c r="D110" s="94"/>
      <c r="E110" s="94"/>
      <c r="F110" s="94"/>
      <c r="G110" s="73"/>
      <c r="H110" s="68"/>
      <c r="I110" s="15"/>
    </row>
    <row r="111" spans="2:9" x14ac:dyDescent="0.2">
      <c r="B111" s="94"/>
      <c r="C111" s="94"/>
      <c r="D111" s="94"/>
      <c r="E111" s="94"/>
      <c r="F111" s="94"/>
      <c r="G111" s="94"/>
      <c r="H111" s="94"/>
      <c r="I111" s="95"/>
    </row>
    <row r="112" spans="2:9" x14ac:dyDescent="0.2">
      <c r="B112" s="195" t="s">
        <v>74</v>
      </c>
      <c r="C112" s="196"/>
      <c r="D112" s="196"/>
      <c r="E112" s="196"/>
      <c r="F112" s="228"/>
      <c r="G112" s="132"/>
      <c r="H112" s="133"/>
      <c r="I112" s="95"/>
    </row>
    <row r="113" spans="2:9" x14ac:dyDescent="0.2">
      <c r="B113" s="90">
        <v>6</v>
      </c>
      <c r="C113" s="184" t="s">
        <v>61</v>
      </c>
      <c r="D113" s="202"/>
      <c r="E113" s="202"/>
      <c r="F113" s="185"/>
      <c r="G113" s="90" t="s">
        <v>1</v>
      </c>
      <c r="H113" s="90" t="s">
        <v>48</v>
      </c>
      <c r="I113" s="95"/>
    </row>
    <row r="114" spans="2:9" x14ac:dyDescent="0.2">
      <c r="B114" s="11" t="s">
        <v>4</v>
      </c>
      <c r="C114" s="88" t="s">
        <v>16</v>
      </c>
      <c r="D114" s="192" t="s">
        <v>162</v>
      </c>
      <c r="E114" s="193"/>
      <c r="F114" s="194"/>
      <c r="G114" s="46">
        <v>0.05</v>
      </c>
      <c r="H114" s="17">
        <f>TRUNC(H$131*$G114,2)</f>
        <v>554.38</v>
      </c>
      <c r="I114" s="101"/>
    </row>
    <row r="115" spans="2:9" x14ac:dyDescent="0.2">
      <c r="B115" s="11" t="s">
        <v>5</v>
      </c>
      <c r="C115" s="88" t="s">
        <v>3</v>
      </c>
      <c r="D115" s="192" t="s">
        <v>163</v>
      </c>
      <c r="E115" s="193"/>
      <c r="F115" s="194"/>
      <c r="G115" s="46">
        <v>0.1</v>
      </c>
      <c r="H115" s="17">
        <f>TRUNC((H$131+H$114)*$G115,2)</f>
        <v>1164.2</v>
      </c>
      <c r="I115" s="101"/>
    </row>
    <row r="116" spans="2:9" x14ac:dyDescent="0.2">
      <c r="B116" s="11" t="s">
        <v>6</v>
      </c>
      <c r="C116" s="88" t="s">
        <v>115</v>
      </c>
      <c r="D116" s="192" t="s">
        <v>164</v>
      </c>
      <c r="E116" s="193"/>
      <c r="F116" s="194"/>
      <c r="G116" s="48">
        <f>1-(G117+G118+G119)</f>
        <v>0.85749999999999993</v>
      </c>
      <c r="H116" s="23">
        <f>TRUNC(((H$131+H$114+H$115)/$G116),2)</f>
        <v>14934.39</v>
      </c>
      <c r="I116" s="104"/>
    </row>
    <row r="117" spans="2:9" x14ac:dyDescent="0.2">
      <c r="B117" s="11" t="s">
        <v>21</v>
      </c>
      <c r="C117" s="88" t="s">
        <v>18</v>
      </c>
      <c r="D117" s="192" t="s">
        <v>165</v>
      </c>
      <c r="E117" s="193"/>
      <c r="F117" s="194"/>
      <c r="G117" s="47">
        <v>1.6500000000000001E-2</v>
      </c>
      <c r="H117" s="17">
        <f>TRUNC(H$116*$G117,2)</f>
        <v>246.41</v>
      </c>
      <c r="I117" s="101"/>
    </row>
    <row r="118" spans="2:9" x14ac:dyDescent="0.2">
      <c r="B118" s="11" t="s">
        <v>22</v>
      </c>
      <c r="C118" s="88" t="s">
        <v>19</v>
      </c>
      <c r="D118" s="192" t="s">
        <v>165</v>
      </c>
      <c r="E118" s="193"/>
      <c r="F118" s="194"/>
      <c r="G118" s="47">
        <v>7.5999999999999998E-2</v>
      </c>
      <c r="H118" s="17">
        <f>TRUNC(H$116*$G118,2)</f>
        <v>1135.01</v>
      </c>
      <c r="I118" s="101"/>
    </row>
    <row r="119" spans="2:9" x14ac:dyDescent="0.2">
      <c r="B119" s="11" t="s">
        <v>23</v>
      </c>
      <c r="C119" s="88" t="s">
        <v>20</v>
      </c>
      <c r="D119" s="192" t="s">
        <v>165</v>
      </c>
      <c r="E119" s="193"/>
      <c r="F119" s="194"/>
      <c r="G119" s="47">
        <v>0.05</v>
      </c>
      <c r="H119" s="17">
        <f>TRUNC(H$116*$G119,2)</f>
        <v>746.71</v>
      </c>
      <c r="I119" s="101"/>
    </row>
    <row r="120" spans="2:9" x14ac:dyDescent="0.2">
      <c r="B120" s="11" t="s">
        <v>151</v>
      </c>
      <c r="C120" s="84" t="s">
        <v>58</v>
      </c>
      <c r="D120" s="241" t="s">
        <v>153</v>
      </c>
      <c r="E120" s="241"/>
      <c r="F120" s="241"/>
      <c r="G120" s="156"/>
      <c r="H120" s="14">
        <f>SUM(H114:H119)-H116</f>
        <v>3846.7099999999991</v>
      </c>
      <c r="I120" s="15"/>
    </row>
    <row r="121" spans="2:9" x14ac:dyDescent="0.2">
      <c r="B121" s="62"/>
      <c r="C121" s="62"/>
      <c r="D121" s="62"/>
      <c r="E121" s="62"/>
      <c r="F121" s="62"/>
      <c r="G121" s="62"/>
      <c r="H121" s="74"/>
      <c r="I121" s="24"/>
    </row>
    <row r="122" spans="2:9" x14ac:dyDescent="0.2">
      <c r="B122" s="238" t="s">
        <v>188</v>
      </c>
      <c r="C122" s="238"/>
      <c r="D122" s="238"/>
      <c r="E122" s="238"/>
      <c r="F122" s="238"/>
      <c r="G122" s="238"/>
      <c r="H122" s="238"/>
      <c r="I122" s="111"/>
    </row>
    <row r="123" spans="2:9" x14ac:dyDescent="0.2">
      <c r="B123" s="87"/>
      <c r="C123" s="87"/>
      <c r="D123" s="87"/>
      <c r="E123" s="87"/>
      <c r="F123" s="87"/>
      <c r="G123" s="87"/>
      <c r="H123" s="87"/>
      <c r="I123" s="111"/>
    </row>
    <row r="124" spans="2:9" x14ac:dyDescent="0.2">
      <c r="B124" s="195" t="s">
        <v>189</v>
      </c>
      <c r="C124" s="196"/>
      <c r="D124" s="196"/>
      <c r="E124" s="196"/>
      <c r="F124" s="196"/>
      <c r="G124" s="150"/>
      <c r="H124" s="133"/>
      <c r="I124" s="95"/>
    </row>
    <row r="125" spans="2:9" ht="12.75" customHeight="1" x14ac:dyDescent="0.2">
      <c r="B125" s="148"/>
      <c r="C125" s="239" t="s">
        <v>116</v>
      </c>
      <c r="D125" s="240"/>
      <c r="E125" s="240"/>
      <c r="F125" s="240"/>
      <c r="G125" s="149"/>
      <c r="H125" s="131" t="s">
        <v>48</v>
      </c>
      <c r="I125" s="95"/>
    </row>
    <row r="126" spans="2:9" x14ac:dyDescent="0.2">
      <c r="B126" s="11" t="s">
        <v>4</v>
      </c>
      <c r="C126" s="80" t="s">
        <v>76</v>
      </c>
      <c r="D126" s="158" t="s">
        <v>128</v>
      </c>
      <c r="E126" s="159"/>
      <c r="F126" s="159"/>
      <c r="G126" s="160"/>
      <c r="H126" s="17">
        <f>H30</f>
        <v>5055.01</v>
      </c>
      <c r="I126" s="101"/>
    </row>
    <row r="127" spans="2:9" ht="22.5" x14ac:dyDescent="0.2">
      <c r="B127" s="11" t="s">
        <v>5</v>
      </c>
      <c r="C127" s="80" t="s">
        <v>77</v>
      </c>
      <c r="D127" s="158" t="s">
        <v>142</v>
      </c>
      <c r="E127" s="159"/>
      <c r="F127" s="159"/>
      <c r="G127" s="160"/>
      <c r="H127" s="17">
        <f>H69</f>
        <v>4392.4399999999996</v>
      </c>
      <c r="I127" s="101"/>
    </row>
    <row r="128" spans="2:9" x14ac:dyDescent="0.2">
      <c r="B128" s="11" t="s">
        <v>6</v>
      </c>
      <c r="C128" s="80" t="s">
        <v>78</v>
      </c>
      <c r="D128" s="158" t="s">
        <v>146</v>
      </c>
      <c r="E128" s="159"/>
      <c r="F128" s="159"/>
      <c r="G128" s="160"/>
      <c r="H128" s="17">
        <f>H80</f>
        <v>580.18000000000006</v>
      </c>
      <c r="I128" s="101"/>
    </row>
    <row r="129" spans="2:9" ht="22.5" x14ac:dyDescent="0.2">
      <c r="B129" s="11" t="s">
        <v>7</v>
      </c>
      <c r="C129" s="80" t="s">
        <v>42</v>
      </c>
      <c r="D129" s="158" t="s">
        <v>149</v>
      </c>
      <c r="E129" s="159"/>
      <c r="F129" s="159"/>
      <c r="G129" s="160"/>
      <c r="H129" s="17">
        <f>H100</f>
        <v>1058.45</v>
      </c>
      <c r="I129" s="101"/>
    </row>
    <row r="130" spans="2:9" x14ac:dyDescent="0.2">
      <c r="B130" s="11" t="s">
        <v>8</v>
      </c>
      <c r="C130" s="80" t="s">
        <v>79</v>
      </c>
      <c r="D130" s="158" t="s">
        <v>150</v>
      </c>
      <c r="E130" s="159"/>
      <c r="F130" s="159"/>
      <c r="G130" s="160"/>
      <c r="H130" s="17">
        <f>H109</f>
        <v>1.58</v>
      </c>
      <c r="I130" s="101"/>
    </row>
    <row r="131" spans="2:9" x14ac:dyDescent="0.2">
      <c r="B131" s="86" t="s">
        <v>9</v>
      </c>
      <c r="C131" s="79" t="s">
        <v>45</v>
      </c>
      <c r="D131" s="164" t="s">
        <v>169</v>
      </c>
      <c r="E131" s="165"/>
      <c r="F131" s="165"/>
      <c r="G131" s="166"/>
      <c r="H131" s="20">
        <f>SUM(H126:H130)</f>
        <v>11087.660000000002</v>
      </c>
      <c r="I131" s="15"/>
    </row>
    <row r="132" spans="2:9" x14ac:dyDescent="0.2">
      <c r="B132" s="11" t="s">
        <v>10</v>
      </c>
      <c r="C132" s="88" t="s">
        <v>80</v>
      </c>
      <c r="D132" s="158" t="s">
        <v>151</v>
      </c>
      <c r="E132" s="159"/>
      <c r="F132" s="159"/>
      <c r="G132" s="160"/>
      <c r="H132" s="17">
        <f>H120</f>
        <v>3846.7099999999991</v>
      </c>
      <c r="I132" s="101"/>
    </row>
    <row r="133" spans="2:9" x14ac:dyDescent="0.2">
      <c r="B133" s="11" t="s">
        <v>154</v>
      </c>
      <c r="C133" s="83" t="s">
        <v>75</v>
      </c>
      <c r="D133" s="167" t="s">
        <v>168</v>
      </c>
      <c r="E133" s="155"/>
      <c r="F133" s="155"/>
      <c r="G133" s="156"/>
      <c r="H133" s="26">
        <f>SUM(H131:H132)</f>
        <v>14934.37</v>
      </c>
      <c r="I133" s="115"/>
    </row>
    <row r="134" spans="2:9" ht="12.75" customHeight="1" x14ac:dyDescent="0.2">
      <c r="B134" s="9"/>
      <c r="C134" s="9"/>
      <c r="D134" s="9"/>
      <c r="E134" s="9"/>
      <c r="F134" s="9"/>
      <c r="G134" s="9"/>
      <c r="H134" s="27"/>
      <c r="I134" s="27"/>
    </row>
    <row r="135" spans="2:9" x14ac:dyDescent="0.2">
      <c r="B135" s="238" t="s">
        <v>190</v>
      </c>
      <c r="C135" s="238"/>
      <c r="D135" s="238"/>
      <c r="E135" s="238"/>
      <c r="F135" s="238"/>
      <c r="I135" s="9"/>
    </row>
    <row r="136" spans="2:9" x14ac:dyDescent="0.2">
      <c r="B136" s="75"/>
      <c r="C136" s="75"/>
      <c r="D136" s="75"/>
      <c r="E136" s="69"/>
      <c r="F136" s="69"/>
      <c r="I136" s="9"/>
    </row>
    <row r="137" spans="2:9" x14ac:dyDescent="0.2">
      <c r="B137" s="248" t="s">
        <v>191</v>
      </c>
      <c r="C137" s="249"/>
      <c r="D137" s="249"/>
      <c r="E137" s="249"/>
      <c r="F137" s="249"/>
      <c r="G137" s="150"/>
      <c r="H137" s="133"/>
      <c r="I137" s="112"/>
    </row>
    <row r="138" spans="2:9" x14ac:dyDescent="0.2">
      <c r="B138" s="121" t="s">
        <v>4</v>
      </c>
      <c r="C138" s="151" t="s">
        <v>104</v>
      </c>
      <c r="D138" s="250" t="s">
        <v>154</v>
      </c>
      <c r="E138" s="251"/>
      <c r="F138" s="251"/>
      <c r="G138" s="152"/>
      <c r="H138" s="153">
        <f>H133</f>
        <v>14934.37</v>
      </c>
      <c r="I138" s="110"/>
    </row>
    <row r="139" spans="2:9" ht="22.5" x14ac:dyDescent="0.2">
      <c r="B139" s="11" t="s">
        <v>5</v>
      </c>
      <c r="C139" s="81" t="s">
        <v>156</v>
      </c>
      <c r="D139" s="252" t="s">
        <v>157</v>
      </c>
      <c r="E139" s="253"/>
      <c r="F139" s="253"/>
      <c r="G139" s="146"/>
      <c r="H139" s="6">
        <f>H41+H80+H98</f>
        <v>2621.54</v>
      </c>
      <c r="I139" s="105"/>
    </row>
    <row r="140" spans="2:9" ht="22.5" x14ac:dyDescent="0.2">
      <c r="B140" s="11" t="s">
        <v>6</v>
      </c>
      <c r="C140" s="81" t="s">
        <v>172</v>
      </c>
      <c r="D140" s="252" t="s">
        <v>179</v>
      </c>
      <c r="E140" s="253"/>
      <c r="F140" s="253"/>
      <c r="G140" s="147"/>
      <c r="H140" s="109">
        <f>TRUNC((H$41*$G54),2)</f>
        <v>361.71</v>
      </c>
      <c r="I140" s="110"/>
    </row>
    <row r="141" spans="2:9" ht="12.75" customHeight="1" x14ac:dyDescent="0.2">
      <c r="B141" s="11" t="s">
        <v>7</v>
      </c>
      <c r="C141" s="81" t="s">
        <v>16</v>
      </c>
      <c r="D141" s="242" t="s">
        <v>166</v>
      </c>
      <c r="E141" s="243"/>
      <c r="F141" s="244"/>
      <c r="G141" s="7">
        <f>G114</f>
        <v>0.05</v>
      </c>
      <c r="H141" s="6">
        <f>TRUNC((H$139+H$140)*$G141,2)</f>
        <v>149.16</v>
      </c>
      <c r="I141" s="105"/>
    </row>
    <row r="142" spans="2:9" ht="12.75" customHeight="1" x14ac:dyDescent="0.2">
      <c r="B142" s="11" t="s">
        <v>8</v>
      </c>
      <c r="C142" s="81" t="s">
        <v>3</v>
      </c>
      <c r="D142" s="242" t="s">
        <v>167</v>
      </c>
      <c r="E142" s="243"/>
      <c r="F142" s="244"/>
      <c r="G142" s="7">
        <f>G115</f>
        <v>0.1</v>
      </c>
      <c r="H142" s="6">
        <f>TRUNC((H$139+H$140+H$141)*$G142,2)</f>
        <v>313.24</v>
      </c>
      <c r="I142" s="105"/>
    </row>
    <row r="143" spans="2:9" ht="12.75" customHeight="1" x14ac:dyDescent="0.2">
      <c r="B143" s="11" t="s">
        <v>9</v>
      </c>
      <c r="C143" s="81" t="s">
        <v>105</v>
      </c>
      <c r="D143" s="242" t="s">
        <v>174</v>
      </c>
      <c r="E143" s="243"/>
      <c r="F143" s="244"/>
      <c r="G143" s="7">
        <f>G117+G118+G119</f>
        <v>0.14250000000000002</v>
      </c>
      <c r="H143" s="6">
        <f>TRUNC((H$139+H$140+H$141+H$142)/(1-$G143)-(H$139+H$140+H$141+H$142),2)</f>
        <v>572.6</v>
      </c>
      <c r="I143" s="105"/>
    </row>
    <row r="144" spans="2:9" ht="22.5" x14ac:dyDescent="0.2">
      <c r="B144" s="11" t="s">
        <v>10</v>
      </c>
      <c r="C144" s="122" t="s">
        <v>106</v>
      </c>
      <c r="D144" s="144" t="s">
        <v>175</v>
      </c>
      <c r="E144" s="145"/>
      <c r="F144" s="145"/>
      <c r="G144" s="146"/>
      <c r="H144" s="123">
        <f>SUM(H139:H143)</f>
        <v>4018.2499999999995</v>
      </c>
      <c r="I144" s="106"/>
    </row>
    <row r="145" spans="2:9" x14ac:dyDescent="0.2">
      <c r="B145" s="11" t="s">
        <v>155</v>
      </c>
      <c r="C145" s="85" t="s">
        <v>125</v>
      </c>
      <c r="D145" s="254" t="s">
        <v>173</v>
      </c>
      <c r="E145" s="255"/>
      <c r="F145" s="255"/>
      <c r="G145" s="154"/>
      <c r="H145" s="123">
        <f>H138-H144</f>
        <v>10916.12</v>
      </c>
      <c r="I145" s="116"/>
    </row>
    <row r="146" spans="2:9" ht="45" customHeight="1" x14ac:dyDescent="0.2">
      <c r="B146" s="245" t="s">
        <v>124</v>
      </c>
      <c r="C146" s="246"/>
      <c r="D146" s="246"/>
      <c r="E146" s="246"/>
      <c r="F146" s="246"/>
      <c r="G146" s="247"/>
      <c r="H146" s="130"/>
      <c r="I146" s="107"/>
    </row>
  </sheetData>
  <mergeCells count="103">
    <mergeCell ref="D145:F145"/>
    <mergeCell ref="B146:G146"/>
    <mergeCell ref="D138:F138"/>
    <mergeCell ref="D139:F139"/>
    <mergeCell ref="D140:F140"/>
    <mergeCell ref="D141:F141"/>
    <mergeCell ref="D142:F142"/>
    <mergeCell ref="D143:F143"/>
    <mergeCell ref="D120:F120"/>
    <mergeCell ref="B122:H122"/>
    <mergeCell ref="B124:F124"/>
    <mergeCell ref="C125:F125"/>
    <mergeCell ref="B135:F135"/>
    <mergeCell ref="B137:F137"/>
    <mergeCell ref="D114:F114"/>
    <mergeCell ref="D115:F115"/>
    <mergeCell ref="D116:F116"/>
    <mergeCell ref="D117:F117"/>
    <mergeCell ref="D118:F118"/>
    <mergeCell ref="D119:F119"/>
    <mergeCell ref="C100:F100"/>
    <mergeCell ref="B103:F103"/>
    <mergeCell ref="C104:G104"/>
    <mergeCell ref="C109:F109"/>
    <mergeCell ref="B112:F112"/>
    <mergeCell ref="C113:F113"/>
    <mergeCell ref="C89:F89"/>
    <mergeCell ref="B91:F91"/>
    <mergeCell ref="C92:F92"/>
    <mergeCell ref="C94:F94"/>
    <mergeCell ref="B96:F96"/>
    <mergeCell ref="C97:G97"/>
    <mergeCell ref="D78:E78"/>
    <mergeCell ref="D79:E79"/>
    <mergeCell ref="C80:F80"/>
    <mergeCell ref="B83:F83"/>
    <mergeCell ref="B84:F84"/>
    <mergeCell ref="C85:F85"/>
    <mergeCell ref="C65:F65"/>
    <mergeCell ref="C69:F69"/>
    <mergeCell ref="B70:H70"/>
    <mergeCell ref="B72:F72"/>
    <mergeCell ref="C73:F73"/>
    <mergeCell ref="D76:E76"/>
    <mergeCell ref="B55:H55"/>
    <mergeCell ref="B56:F56"/>
    <mergeCell ref="C57:F57"/>
    <mergeCell ref="C62:F62"/>
    <mergeCell ref="B63:H63"/>
    <mergeCell ref="B64:F64"/>
    <mergeCell ref="D49:F49"/>
    <mergeCell ref="D50:F50"/>
    <mergeCell ref="D51:F51"/>
    <mergeCell ref="D52:F52"/>
    <mergeCell ref="D53:F53"/>
    <mergeCell ref="C54:F54"/>
    <mergeCell ref="D46:F46"/>
    <mergeCell ref="B47:B48"/>
    <mergeCell ref="C47:C48"/>
    <mergeCell ref="D47:D48"/>
    <mergeCell ref="G47:G48"/>
    <mergeCell ref="H47:H48"/>
    <mergeCell ref="D40:F40"/>
    <mergeCell ref="C41:F41"/>
    <mergeCell ref="B42:H42"/>
    <mergeCell ref="B43:F43"/>
    <mergeCell ref="C44:F44"/>
    <mergeCell ref="D45:F45"/>
    <mergeCell ref="C31:F32"/>
    <mergeCell ref="B35:F35"/>
    <mergeCell ref="B36:F36"/>
    <mergeCell ref="B37:F37"/>
    <mergeCell ref="C38:F38"/>
    <mergeCell ref="D39:F39"/>
    <mergeCell ref="D26:F26"/>
    <mergeCell ref="D28:F28"/>
    <mergeCell ref="D29:F29"/>
    <mergeCell ref="C30:F30"/>
    <mergeCell ref="B19:B20"/>
    <mergeCell ref="C19:F19"/>
    <mergeCell ref="C20:F20"/>
    <mergeCell ref="B23:F23"/>
    <mergeCell ref="C24:F24"/>
    <mergeCell ref="D25:F25"/>
    <mergeCell ref="B17:B18"/>
    <mergeCell ref="C17:F17"/>
    <mergeCell ref="C18:F18"/>
    <mergeCell ref="B11:B12"/>
    <mergeCell ref="C11:F11"/>
    <mergeCell ref="C12:F12"/>
    <mergeCell ref="B13:B14"/>
    <mergeCell ref="C13:F13"/>
    <mergeCell ref="C14:F14"/>
    <mergeCell ref="B2:H2"/>
    <mergeCell ref="B3:H3"/>
    <mergeCell ref="D6:F6"/>
    <mergeCell ref="B8:F8"/>
    <mergeCell ref="B9:B10"/>
    <mergeCell ref="C9:F9"/>
    <mergeCell ref="C10:F10"/>
    <mergeCell ref="B15:B16"/>
    <mergeCell ref="C15:F15"/>
    <mergeCell ref="C16:F16"/>
  </mergeCells>
  <dataValidations count="10">
    <dataValidation type="list" allowBlank="1" showInputMessage="1" showErrorMessage="1" sqref="G26" xr:uid="{DA81E294-0375-491D-B1BD-1D5881DE0237}">
      <formula1>"0%, 30%"</formula1>
    </dataValidation>
    <dataValidation type="list" allowBlank="1" showInputMessage="1" showErrorMessage="1" sqref="G27" xr:uid="{6EEE6154-B237-4DA7-AA88-B47E93B32995}">
      <formula1>"0%, 10%, 20%, 40%"</formula1>
    </dataValidation>
    <dataValidation type="list" allowBlank="1" showInputMessage="1" showErrorMessage="1" sqref="E48" xr:uid="{8668C246-5B50-4F16-A4B8-2E82270BD34A}">
      <formula1>"1%, 2%, 3%"</formula1>
    </dataValidation>
    <dataValidation type="list" allowBlank="1" showInputMessage="1" showErrorMessage="1" sqref="G28" xr:uid="{068BD894-05F9-4248-AA2F-9C221E52E6CF}">
      <formula1>"0, 20%"</formula1>
    </dataValidation>
    <dataValidation type="list" allowBlank="1" showInputMessage="1" showErrorMessage="1" sqref="G118" xr:uid="{E5ABCA6C-4DDB-4944-8D68-99B03FD0D8E1}">
      <mc:AlternateContent xmlns:x12ac="http://schemas.microsoft.com/office/spreadsheetml/2011/1/ac" xmlns:mc="http://schemas.openxmlformats.org/markup-compatibility/2006">
        <mc:Choice Requires="x12ac">
          <x12ac:list>3%," 7,6%"</x12ac:list>
        </mc:Choice>
        <mc:Fallback>
          <formula1>"3%, 7,6%"</formula1>
        </mc:Fallback>
      </mc:AlternateContent>
    </dataValidation>
    <dataValidation type="list" allowBlank="1" showInputMessage="1" showErrorMessage="1" sqref="G117" xr:uid="{2D12C8A4-ADFD-4D4B-9F93-8FC26D5E49E8}">
      <mc:AlternateContent xmlns:x12ac="http://schemas.microsoft.com/office/spreadsheetml/2011/1/ac" xmlns:mc="http://schemas.openxmlformats.org/markup-compatibility/2006">
        <mc:Choice Requires="x12ac">
          <x12ac:list>"0,65%","1,65%"</x12ac:list>
        </mc:Choice>
        <mc:Fallback>
          <formula1>"0,65%,1,65%"</formula1>
        </mc:Fallback>
      </mc:AlternateContent>
    </dataValidation>
    <dataValidation type="whole" allowBlank="1" showInputMessage="1" showErrorMessage="1" errorTitle="Valor errado" error="Quantidade fixa de dias. Prencher com 30" sqref="G86" xr:uid="{1255D9C5-1901-4C3A-A9FF-3DDA02C482AD}">
      <formula1>30</formula1>
      <formula2>30</formula2>
    </dataValidation>
    <dataValidation type="list" operator="equal" allowBlank="1" showInputMessage="1" showErrorMessage="1" errorTitle="Valor errado" error="Percentual fixo. Preencher com 40%." sqref="F76 F78" xr:uid="{A1B73FFE-2720-4EA2-BD74-1C32914787AC}">
      <formula1>"40%"</formula1>
    </dataValidation>
    <dataValidation type="custom" allowBlank="1" showInputMessage="1" showErrorMessage="1" sqref="G116" xr:uid="{A2698E5C-639C-460D-A525-796372D8D00A}">
      <formula1>1-(G117+G118+G119)</formula1>
    </dataValidation>
    <dataValidation type="list" allowBlank="1" showInputMessage="1" showErrorMessage="1" sqref="G79" xr:uid="{2B62E9AD-20CD-471E-8F2B-F3981CAA7663}">
      <formula1>"3,6,9,12,15"</formula1>
    </dataValidation>
  </dataValidations>
  <pageMargins left="0.511811024" right="0.511811024" top="0.78740157499999996" bottom="0.78740157499999996" header="0.31496062000000002" footer="0.31496062000000002"/>
  <pageSetup paperSize="9" scale="69" fitToHeight="0" orientation="portrait" horizontalDpi="4294967293" verticalDpi="4294967293"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6"/>
  <sheetViews>
    <sheetView showGridLines="0" zoomScaleNormal="100" workbookViewId="0">
      <selection activeCell="H16" sqref="H16"/>
    </sheetView>
  </sheetViews>
  <sheetFormatPr defaultColWidth="9.140625" defaultRowHeight="11.25" x14ac:dyDescent="0.2"/>
  <cols>
    <col min="1" max="1" width="3.7109375" style="39" customWidth="1"/>
    <col min="2" max="2" width="25.7109375" style="39" customWidth="1"/>
    <col min="3" max="3" width="14.140625" style="39" customWidth="1"/>
    <col min="4" max="4" width="15.42578125" style="39" customWidth="1"/>
    <col min="5" max="5" width="14" style="39" customWidth="1"/>
    <col min="6" max="6" width="11.42578125" style="39" customWidth="1"/>
    <col min="7" max="7" width="13.140625" style="39" customWidth="1"/>
    <col min="8" max="10" width="15.7109375" style="39" customWidth="1"/>
    <col min="11" max="16384" width="9.140625" style="39"/>
  </cols>
  <sheetData>
    <row r="1" spans="1:10" ht="18.75" customHeight="1" thickBot="1" x14ac:dyDescent="0.25">
      <c r="A1" s="256" t="s">
        <v>111</v>
      </c>
      <c r="B1" s="257"/>
      <c r="C1" s="257"/>
      <c r="D1" s="257"/>
      <c r="E1" s="257"/>
      <c r="F1" s="257"/>
      <c r="G1" s="257"/>
      <c r="H1" s="258"/>
      <c r="I1" s="126"/>
      <c r="J1" s="126"/>
    </row>
    <row r="4" spans="1:10" s="40" customFormat="1" ht="48" customHeight="1" x14ac:dyDescent="0.2">
      <c r="A4" s="259" t="s">
        <v>81</v>
      </c>
      <c r="B4" s="260"/>
      <c r="C4" s="37" t="s">
        <v>112</v>
      </c>
      <c r="D4" s="37" t="s">
        <v>192</v>
      </c>
      <c r="E4" s="37" t="s">
        <v>119</v>
      </c>
      <c r="F4" s="37" t="s">
        <v>118</v>
      </c>
      <c r="G4" s="37" t="s">
        <v>114</v>
      </c>
      <c r="H4" s="37" t="s">
        <v>113</v>
      </c>
      <c r="I4" s="124"/>
      <c r="J4" s="124"/>
    </row>
    <row r="5" spans="1:10" ht="22.5" customHeight="1" x14ac:dyDescent="0.2">
      <c r="A5" s="3">
        <v>1</v>
      </c>
      <c r="B5" s="127" t="s">
        <v>92</v>
      </c>
      <c r="C5" s="44">
        <v>1359.9</v>
      </c>
      <c r="D5" s="45">
        <v>60</v>
      </c>
      <c r="E5" s="42">
        <v>1</v>
      </c>
      <c r="F5" s="42">
        <v>13</v>
      </c>
      <c r="G5" s="41">
        <f>IF(B5="","",TRUNC(E5/F5,2))</f>
        <v>7.0000000000000007E-2</v>
      </c>
      <c r="H5" s="41">
        <f>IF(B5="","",TRUNC(C5/D5*G5,2))</f>
        <v>1.58</v>
      </c>
      <c r="I5" s="125"/>
      <c r="J5" s="125"/>
    </row>
    <row r="6" spans="1:10" ht="22.5" customHeight="1" x14ac:dyDescent="0.2">
      <c r="B6" s="40"/>
      <c r="C6" s="43"/>
      <c r="D6" s="43"/>
      <c r="E6" s="43"/>
      <c r="F6" s="259" t="s">
        <v>110</v>
      </c>
      <c r="G6" s="260"/>
      <c r="H6" s="38">
        <f>SUM(H5:H5)</f>
        <v>1.58</v>
      </c>
    </row>
  </sheetData>
  <mergeCells count="3">
    <mergeCell ref="A4:B4"/>
    <mergeCell ref="F6:G6"/>
    <mergeCell ref="A1:H1"/>
  </mergeCells>
  <pageMargins left="0.511811024" right="0.511811024" top="0.78740157499999996" bottom="0.78740157499999996" header="0.31496062000000002" footer="0.31496062000000002"/>
  <pageSetup paperSize="9" scale="57"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Quadro resumo</vt:lpstr>
      <vt:lpstr>Arquivista</vt:lpstr>
      <vt:lpstr>Auxiliar de Arquivo</vt:lpstr>
      <vt:lpstr>Supervisor de Equipe</vt:lpstr>
      <vt:lpstr>Insumos</vt:lpstr>
      <vt:lpstr>Arquivista!Area_de_impressao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Wellington Couto De Almeida</cp:lastModifiedBy>
  <cp:lastPrinted>2025-10-06T13:12:08Z</cp:lastPrinted>
  <dcterms:created xsi:type="dcterms:W3CDTF">2010-12-08T17:56:29Z</dcterms:created>
  <dcterms:modified xsi:type="dcterms:W3CDTF">2025-10-06T14:14:10Z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