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I:\DADM\ALOG\DCAD\Processos Licitatórios\Editais\2025\Pregão\1 - Processamento\Central de Serviços - RC 6730\Mapa de Preços e Planilha\"/>
    </mc:Choice>
  </mc:AlternateContent>
  <xr:revisionPtr revIDLastSave="0" documentId="13_ncr:1_{BFD652F2-59DB-457E-9E7C-EF6ADF152407}" xr6:coauthVersionLast="47" xr6:coauthVersionMax="47" xr10:uidLastSave="{00000000-0000-0000-0000-000000000000}"/>
  <bookViews>
    <workbookView xWindow="-110" yWindow="-110" windowWidth="19420" windowHeight="10300" tabRatio="863" xr2:uid="{00000000-000D-0000-FFFF-FFFF00000000}"/>
  </bookViews>
  <sheets>
    <sheet name="Planilha de Preços" sheetId="32" r:id="rId1"/>
    <sheet name="Quadro resumo" sheetId="7" r:id="rId2"/>
    <sheet name="Orientações - Portaria" sheetId="40" r:id="rId3"/>
    <sheet name="TECSUP-01 - RJ" sheetId="27" r:id="rId4"/>
    <sheet name="TECSUP-02 - RJ" sheetId="28" r:id="rId5"/>
    <sheet name="TECSUP-02 - SP" sheetId="30" r:id="rId6"/>
    <sheet name="TECSUP-02 - DF" sheetId="31" r:id="rId7"/>
    <sheet name="GERSUP" sheetId="29" r:id="rId8"/>
    <sheet name="Demais componentes" sheetId="37" r:id="rId9"/>
    <sheet name="Quadro E" sheetId="35" state="hidden" r:id="rId10"/>
    <sheet name="Memória de Cálculo - Componente" sheetId="39" r:id="rId11"/>
  </sheets>
  <externalReferences>
    <externalReference r:id="rId12"/>
    <externalReference r:id="rId13"/>
  </externalReferences>
  <definedNames>
    <definedName name="_xlnm.Print_Area" localSheetId="8">'Demais componentes'!$A$1:$F$20</definedName>
    <definedName name="_xlnm.Print_Area" localSheetId="7">GERSUP!$A$1:$H$159</definedName>
    <definedName name="_xlnm.Print_Area" localSheetId="10">'Memória de Cálculo - Componente'!$A$1:$G$27</definedName>
    <definedName name="_xlnm.Print_Area" localSheetId="0">'Planilha de Preços'!$A$2:$H$33</definedName>
    <definedName name="_xlnm.Print_Area" localSheetId="1">'Quadro resumo'!$A$1:$G$21</definedName>
    <definedName name="_xlnm.Print_Area" localSheetId="3">'TECSUP-01 - RJ'!$A$1:$H$159</definedName>
    <definedName name="_xlnm.Print_Area" localSheetId="6">'TECSUP-02 - DF'!$A$1:$H$159</definedName>
    <definedName name="_xlnm.Print_Area" localSheetId="4">'TECSUP-02 - RJ'!$A$1:$H$159</definedName>
    <definedName name="_xlnm.Print_Area" localSheetId="5">'TECSUP-02 - SP'!$A$1:$H$157</definedName>
    <definedName name="Perfis">#REF!</definedName>
    <definedName name="Serviço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39" l="1"/>
  <c r="F4" i="39" s="1"/>
  <c r="F3" i="37" s="1"/>
  <c r="C11" i="7"/>
  <c r="G58" i="27"/>
  <c r="H80" i="30"/>
  <c r="H78" i="28"/>
  <c r="H78" i="27"/>
  <c r="D21" i="39"/>
  <c r="F21" i="39" s="1"/>
  <c r="D20" i="39"/>
  <c r="F20" i="39" s="1"/>
  <c r="D19" i="39"/>
  <c r="F19" i="39" s="1"/>
  <c r="D18" i="39"/>
  <c r="F18" i="39" s="1"/>
  <c r="D17" i="39"/>
  <c r="F17" i="39" s="1"/>
  <c r="D16" i="39"/>
  <c r="F16" i="39" s="1"/>
  <c r="D15" i="39"/>
  <c r="F15" i="39" s="1"/>
  <c r="D14" i="39"/>
  <c r="F14" i="39" s="1"/>
  <c r="D13" i="39"/>
  <c r="F13" i="39" s="1"/>
  <c r="D12" i="39"/>
  <c r="F12" i="39" s="1"/>
  <c r="D11" i="39"/>
  <c r="F11" i="39" s="1"/>
  <c r="D10" i="39"/>
  <c r="F10" i="39" s="1"/>
  <c r="D9" i="39"/>
  <c r="F9" i="39" s="1"/>
  <c r="D8" i="39"/>
  <c r="F8" i="39" s="1"/>
  <c r="D7" i="39"/>
  <c r="F7" i="39" s="1"/>
  <c r="D6" i="39"/>
  <c r="F6" i="39" s="1"/>
  <c r="D5" i="39"/>
  <c r="F5" i="39" s="1"/>
  <c r="F22" i="39" l="1"/>
  <c r="F6" i="37"/>
  <c r="F7" i="37"/>
  <c r="F5" i="37"/>
  <c r="F8" i="37" l="1"/>
  <c r="F17" i="37" s="1"/>
  <c r="C4" i="35"/>
  <c r="E4" i="35" s="1"/>
  <c r="F4" i="35" s="1"/>
  <c r="B17" i="35" s="1"/>
  <c r="C17" i="35" s="1"/>
  <c r="C8" i="35"/>
  <c r="H8" i="35"/>
  <c r="I8" i="35" s="1"/>
  <c r="C10" i="35"/>
  <c r="H10" i="35" s="1"/>
  <c r="C5" i="35"/>
  <c r="E5" i="35" s="1"/>
  <c r="C11" i="35"/>
  <c r="H11" i="35" s="1"/>
  <c r="C7" i="35"/>
  <c r="H7" i="35" s="1"/>
  <c r="I7" i="35" s="1"/>
  <c r="C6" i="35"/>
  <c r="H6" i="35" s="1"/>
  <c r="I6" i="35" s="1"/>
  <c r="B16" i="35"/>
  <c r="C16" i="35" s="1"/>
  <c r="F15" i="37"/>
  <c r="B18" i="35"/>
  <c r="C18" i="35" s="1"/>
  <c r="G11" i="35"/>
  <c r="G10" i="35"/>
  <c r="H79" i="31"/>
  <c r="H80" i="31"/>
  <c r="H78" i="31"/>
  <c r="H81" i="30"/>
  <c r="H78" i="30"/>
  <c r="H79" i="29"/>
  <c r="H79" i="28"/>
  <c r="H79" i="27"/>
  <c r="F9" i="37" l="1"/>
  <c r="H130" i="31" s="1"/>
  <c r="I10" i="35"/>
  <c r="I11" i="35"/>
  <c r="G139" i="29"/>
  <c r="H78" i="29"/>
  <c r="H77" i="29"/>
  <c r="H85" i="29" s="1"/>
  <c r="H91" i="29" s="1"/>
  <c r="G66" i="29"/>
  <c r="G73" i="29" s="1"/>
  <c r="G59" i="29"/>
  <c r="G58" i="29"/>
  <c r="G60" i="29" s="1"/>
  <c r="H52" i="29"/>
  <c r="H48" i="29" s="1"/>
  <c r="H45" i="29"/>
  <c r="H44" i="29"/>
  <c r="G139" i="31"/>
  <c r="H77" i="31"/>
  <c r="H85" i="31" s="1"/>
  <c r="H91" i="31" s="1"/>
  <c r="G66" i="31"/>
  <c r="G73" i="31" s="1"/>
  <c r="G59" i="31"/>
  <c r="G60" i="31" s="1"/>
  <c r="G58" i="31"/>
  <c r="H52" i="31"/>
  <c r="H48" i="31" s="1"/>
  <c r="H45" i="31"/>
  <c r="H44" i="31"/>
  <c r="G137" i="30"/>
  <c r="H77" i="30"/>
  <c r="H83" i="30" s="1"/>
  <c r="H89" i="30" s="1"/>
  <c r="G66" i="30"/>
  <c r="G73" i="30" s="1"/>
  <c r="G59" i="30"/>
  <c r="G58" i="30"/>
  <c r="H52" i="30"/>
  <c r="H48" i="30" s="1"/>
  <c r="H45" i="30"/>
  <c r="H44" i="30"/>
  <c r="H47" i="30" s="1"/>
  <c r="G139" i="28"/>
  <c r="H77" i="28"/>
  <c r="H85" i="28" s="1"/>
  <c r="H91" i="28" s="1"/>
  <c r="G66" i="28"/>
  <c r="G73" i="28" s="1"/>
  <c r="G59" i="28"/>
  <c r="G58" i="28"/>
  <c r="G60" i="28" s="1"/>
  <c r="H52" i="28"/>
  <c r="H48" i="28" s="1"/>
  <c r="H45" i="28"/>
  <c r="H44" i="28"/>
  <c r="H77" i="27"/>
  <c r="H128" i="30" l="1"/>
  <c r="H130" i="28"/>
  <c r="H130" i="29"/>
  <c r="H130" i="27"/>
  <c r="G60" i="30"/>
  <c r="H46" i="29"/>
  <c r="H47" i="29"/>
  <c r="H46" i="31"/>
  <c r="H47" i="31"/>
  <c r="H46" i="30"/>
  <c r="H50" i="30" s="1"/>
  <c r="H47" i="28"/>
  <c r="H46" i="28"/>
  <c r="H45" i="27"/>
  <c r="H52" i="27"/>
  <c r="H48" i="27" s="1"/>
  <c r="H50" i="31" l="1"/>
  <c r="H50" i="28"/>
  <c r="H130" i="30"/>
  <c r="H151" i="30" s="1"/>
  <c r="H132" i="29"/>
  <c r="H153" i="29" s="1"/>
  <c r="H132" i="28"/>
  <c r="H153" i="28" s="1"/>
  <c r="H132" i="31"/>
  <c r="H153" i="31" s="1"/>
  <c r="H50" i="29"/>
  <c r="H149" i="29" s="1"/>
  <c r="H149" i="31"/>
  <c r="H59" i="31"/>
  <c r="H58" i="31"/>
  <c r="H59" i="30"/>
  <c r="H147" i="30"/>
  <c r="H58" i="30"/>
  <c r="H59" i="28"/>
  <c r="H149" i="28"/>
  <c r="H58" i="28"/>
  <c r="H60" i="28" s="1"/>
  <c r="H89" i="28" s="1"/>
  <c r="H85" i="27"/>
  <c r="H59" i="29" l="1"/>
  <c r="H58" i="29"/>
  <c r="H60" i="29" s="1"/>
  <c r="H60" i="31"/>
  <c r="H60" i="30"/>
  <c r="H87" i="30" s="1"/>
  <c r="G5" i="35"/>
  <c r="G4" i="35"/>
  <c r="H69" i="31"/>
  <c r="H68" i="31"/>
  <c r="H70" i="31"/>
  <c r="H64" i="31"/>
  <c r="H65" i="31"/>
  <c r="H72" i="31"/>
  <c r="H98" i="31" s="1"/>
  <c r="H68" i="28"/>
  <c r="H65" i="28"/>
  <c r="H72" i="28"/>
  <c r="H98" i="28" s="1"/>
  <c r="H64" i="28"/>
  <c r="H66" i="28"/>
  <c r="H70" i="28"/>
  <c r="H69" i="28"/>
  <c r="H71" i="28"/>
  <c r="G139" i="27"/>
  <c r="G66" i="27"/>
  <c r="G73" i="27" s="1"/>
  <c r="G59" i="27"/>
  <c r="H44" i="27"/>
  <c r="H47" i="27" s="1"/>
  <c r="H89" i="31" l="1"/>
  <c r="H71" i="31"/>
  <c r="H66" i="31"/>
  <c r="H66" i="30"/>
  <c r="H68" i="30"/>
  <c r="H70" i="30"/>
  <c r="H65" i="30"/>
  <c r="H72" i="30"/>
  <c r="H96" i="30" s="1"/>
  <c r="H64" i="30"/>
  <c r="H71" i="30"/>
  <c r="H69" i="30"/>
  <c r="I4" i="35"/>
  <c r="B22" i="35" s="1"/>
  <c r="C22" i="35" s="1"/>
  <c r="B21" i="35"/>
  <c r="C21" i="35" s="1"/>
  <c r="I5" i="35"/>
  <c r="B23" i="35" s="1"/>
  <c r="C23" i="35" s="1"/>
  <c r="H89" i="29"/>
  <c r="H66" i="29"/>
  <c r="H65" i="29"/>
  <c r="H70" i="29"/>
  <c r="H68" i="29"/>
  <c r="H64" i="29"/>
  <c r="H72" i="29"/>
  <c r="H69" i="29"/>
  <c r="H71" i="29"/>
  <c r="H99" i="31"/>
  <c r="H97" i="31" s="1"/>
  <c r="H101" i="31"/>
  <c r="H100" i="31" s="1"/>
  <c r="H99" i="30"/>
  <c r="H98" i="30" s="1"/>
  <c r="H97" i="30"/>
  <c r="H73" i="30"/>
  <c r="H101" i="28"/>
  <c r="H100" i="28" s="1"/>
  <c r="H99" i="28"/>
  <c r="H97" i="28"/>
  <c r="H73" i="28"/>
  <c r="H46" i="27"/>
  <c r="G60" i="27"/>
  <c r="H73" i="29" l="1"/>
  <c r="H90" i="29" s="1"/>
  <c r="H92" i="29" s="1"/>
  <c r="H73" i="31"/>
  <c r="H95" i="30"/>
  <c r="H5" i="35"/>
  <c r="H4" i="35"/>
  <c r="H101" i="29"/>
  <c r="H100" i="29" s="1"/>
  <c r="H99" i="29"/>
  <c r="H98" i="29"/>
  <c r="H90" i="31"/>
  <c r="H92" i="31" s="1"/>
  <c r="H102" i="31"/>
  <c r="H103" i="31" s="1"/>
  <c r="H151" i="31" s="1"/>
  <c r="H88" i="30"/>
  <c r="H90" i="30" s="1"/>
  <c r="H100" i="30"/>
  <c r="H90" i="28"/>
  <c r="H92" i="28" s="1"/>
  <c r="H102" i="28"/>
  <c r="H103" i="28" s="1"/>
  <c r="H151" i="28" s="1"/>
  <c r="H50" i="27"/>
  <c r="H58" i="27" s="1"/>
  <c r="H101" i="30" l="1"/>
  <c r="H149" i="30" s="1"/>
  <c r="H97" i="29"/>
  <c r="H102" i="29"/>
  <c r="H103" i="29" s="1"/>
  <c r="H150" i="29"/>
  <c r="H150" i="31"/>
  <c r="H116" i="31"/>
  <c r="H117" i="31" s="1"/>
  <c r="H122" i="31" s="1"/>
  <c r="H111" i="31"/>
  <c r="H83" i="31" s="1"/>
  <c r="H148" i="30"/>
  <c r="H109" i="30"/>
  <c r="H114" i="30"/>
  <c r="H115" i="30" s="1"/>
  <c r="H120" i="30" s="1"/>
  <c r="H150" i="28"/>
  <c r="H116" i="28"/>
  <c r="H117" i="28" s="1"/>
  <c r="H122" i="28" s="1"/>
  <c r="H111" i="28"/>
  <c r="H59" i="27"/>
  <c r="H149" i="27"/>
  <c r="H151" i="29" l="1"/>
  <c r="H116" i="29"/>
  <c r="H117" i="29" s="1"/>
  <c r="H122" i="29" s="1"/>
  <c r="H111" i="29"/>
  <c r="H109" i="29" s="1"/>
  <c r="H83" i="28"/>
  <c r="H82" i="28"/>
  <c r="H110" i="31"/>
  <c r="H109" i="31"/>
  <c r="H108" i="30"/>
  <c r="H107" i="30"/>
  <c r="H109" i="28"/>
  <c r="H110" i="28"/>
  <c r="H60" i="27"/>
  <c r="H83" i="29" l="1"/>
  <c r="H82" i="29"/>
  <c r="H110" i="29"/>
  <c r="H112" i="29" s="1"/>
  <c r="H121" i="29" s="1"/>
  <c r="H123" i="29" s="1"/>
  <c r="H152" i="29" s="1"/>
  <c r="H154" i="29" s="1"/>
  <c r="H137" i="29" s="1"/>
  <c r="H112" i="31"/>
  <c r="H121" i="31" s="1"/>
  <c r="H123" i="31" s="1"/>
  <c r="H152" i="31" s="1"/>
  <c r="H154" i="31" s="1"/>
  <c r="H137" i="31" s="1"/>
  <c r="H138" i="31" s="1"/>
  <c r="H139" i="31" s="1"/>
  <c r="H110" i="30"/>
  <c r="H119" i="30" s="1"/>
  <c r="H121" i="30" s="1"/>
  <c r="H150" i="30" s="1"/>
  <c r="H152" i="30" s="1"/>
  <c r="H135" i="30" s="1"/>
  <c r="H136" i="30" s="1"/>
  <c r="H112" i="28"/>
  <c r="H121" i="28" s="1"/>
  <c r="H123" i="28" s="1"/>
  <c r="H152" i="28" s="1"/>
  <c r="H154" i="28" s="1"/>
  <c r="H137" i="28" s="1"/>
  <c r="H64" i="27"/>
  <c r="H70" i="27"/>
  <c r="H66" i="27"/>
  <c r="H71" i="27"/>
  <c r="H68" i="27"/>
  <c r="H89" i="27"/>
  <c r="H65" i="27"/>
  <c r="H72" i="27"/>
  <c r="H99" i="27" s="1"/>
  <c r="H69" i="27"/>
  <c r="H138" i="29" l="1"/>
  <c r="H139" i="29" s="1"/>
  <c r="H142" i="29" s="1"/>
  <c r="H142" i="31"/>
  <c r="H141" i="31"/>
  <c r="H140" i="31"/>
  <c r="H137" i="30"/>
  <c r="H138" i="28"/>
  <c r="H139" i="28" s="1"/>
  <c r="H73" i="27"/>
  <c r="H102" i="27" s="1"/>
  <c r="H101" i="27"/>
  <c r="H100" i="27" s="1"/>
  <c r="H143" i="31" l="1"/>
  <c r="H155" i="31" s="1"/>
  <c r="H156" i="31" s="1"/>
  <c r="H158" i="31" s="1"/>
  <c r="H140" i="29"/>
  <c r="H141" i="29"/>
  <c r="H140" i="30"/>
  <c r="H139" i="30"/>
  <c r="H138" i="30"/>
  <c r="H142" i="28"/>
  <c r="H141" i="28"/>
  <c r="H140" i="28"/>
  <c r="H90" i="27"/>
  <c r="E9" i="7" l="1"/>
  <c r="F9" i="7" s="1"/>
  <c r="H143" i="28"/>
  <c r="H155" i="28" s="1"/>
  <c r="H156" i="28" s="1"/>
  <c r="H158" i="28" s="1"/>
  <c r="H143" i="29"/>
  <c r="H155" i="29" s="1"/>
  <c r="H156" i="29" s="1"/>
  <c r="H158" i="29" s="1"/>
  <c r="H141" i="30"/>
  <c r="H153" i="30" s="1"/>
  <c r="H154" i="30" s="1"/>
  <c r="H156" i="30" s="1"/>
  <c r="I43" i="28" l="1"/>
  <c r="H15" i="32"/>
  <c r="G9" i="7"/>
  <c r="E10" i="7"/>
  <c r="F10" i="7" s="1"/>
  <c r="E8" i="7"/>
  <c r="F8" i="7" s="1"/>
  <c r="E7" i="7"/>
  <c r="F7" i="7" s="1"/>
  <c r="H132" i="27"/>
  <c r="H153" i="27" s="1"/>
  <c r="H16" i="32" l="1"/>
  <c r="H14" i="32"/>
  <c r="H13" i="32"/>
  <c r="G8" i="7"/>
  <c r="G7" i="7"/>
  <c r="G10" i="7"/>
  <c r="H91" i="27"/>
  <c r="H92" i="27" s="1"/>
  <c r="H150" i="27" l="1"/>
  <c r="H98" i="27"/>
  <c r="H97" i="27" s="1"/>
  <c r="H103" i="27" s="1"/>
  <c r="H151" i="27" l="1"/>
  <c r="H111" i="27"/>
  <c r="H116" i="27"/>
  <c r="H117" i="27" s="1"/>
  <c r="H122" i="27" s="1"/>
  <c r="H82" i="27" l="1"/>
  <c r="H83" i="27"/>
  <c r="H110" i="27"/>
  <c r="H109" i="27"/>
  <c r="H112" i="27" l="1"/>
  <c r="H121" i="27" s="1"/>
  <c r="H123" i="27" s="1"/>
  <c r="H152" i="27" s="1"/>
  <c r="H154" i="27" s="1"/>
  <c r="H137" i="27" l="1"/>
  <c r="H138" i="27" s="1"/>
  <c r="H139" i="27" s="1"/>
  <c r="H142" i="27" s="1"/>
  <c r="H141" i="27" l="1"/>
  <c r="H140" i="27"/>
  <c r="H143" i="27" l="1"/>
  <c r="H155" i="27" s="1"/>
  <c r="H156" i="27" s="1"/>
  <c r="H158" i="27" s="1"/>
  <c r="E6" i="7" l="1"/>
  <c r="F6" i="7" l="1"/>
  <c r="G6" i="7" s="1"/>
  <c r="G11" i="7" s="1"/>
  <c r="G12" i="7" s="1"/>
  <c r="H12" i="32"/>
  <c r="H17" i="32" s="1"/>
  <c r="F11"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michelly</author>
    <author>Felipe Mazza Mascarenhas</author>
    <author>suporte</author>
  </authors>
  <commentList>
    <comment ref="B41" authorId="0" shapeId="0" xr:uid="{00000000-0006-0000-0100-000001000000}">
      <text>
        <r>
          <rPr>
            <sz val="9"/>
            <color indexed="81"/>
            <rFont val="Segoe UI"/>
            <family val="2"/>
          </rPr>
          <t xml:space="preserve">Nota 1: O Módulo 1 refere-se ao valor mensal devido ao empregado pela prestação do serviço no período de 12 meses.
</t>
        </r>
      </text>
    </comment>
    <comment ref="D45" authorId="0" shapeId="0" xr:uid="{00000000-0006-0000-0100-000002000000}">
      <text>
        <r>
          <rPr>
            <sz val="9"/>
            <color indexed="81"/>
            <rFont val="Segoe UI"/>
            <family val="2"/>
          </rPr>
          <t>Grau mínimo 10%, grau médio 20% e grau máximo 40%.</t>
        </r>
      </text>
    </comment>
    <comment ref="D48" authorId="0" shapeId="0" xr:uid="{00000000-0006-0000-0100-000003000000}">
      <text>
        <r>
          <rPr>
            <sz val="9"/>
            <color indexed="81"/>
            <rFont val="Segoe UI"/>
            <family val="2"/>
          </rPr>
          <t>Considerando 220h mensais</t>
        </r>
        <r>
          <rPr>
            <b/>
            <sz val="9"/>
            <color indexed="81"/>
            <rFont val="Segoe UI"/>
            <family val="2"/>
          </rPr>
          <t>.</t>
        </r>
      </text>
    </comment>
    <comment ref="B56" authorId="0" shapeId="0" xr:uid="{00000000-0006-0000-0100-000004000000}">
      <text>
        <r>
          <rPr>
            <sz val="9"/>
            <color indexed="81"/>
            <rFont val="Segoe UI"/>
            <family val="2"/>
          </rPr>
          <t>Nota 1: Como a planilha de custos e formação de preços é calculada mensalmente, provisiona-se proporcionalmente 1/12 (um doze avos) dos valores referentes a gratificação natalina e adicional de férias.
Nota 2: O adicional de férias contido no Submódulo 2.1 corresponde a 1/3 (um terço) da remuneração que por sua vez é divido por 12 (doze) conforme Nota 1 acima.</t>
        </r>
      </text>
    </comment>
    <comment ref="G58" authorId="1" shapeId="0" xr:uid="{00000000-0006-0000-0100-000005000000}">
      <text>
        <r>
          <rPr>
            <sz val="9"/>
            <color indexed="81"/>
            <rFont val="Segoe UI"/>
            <family val="2"/>
          </rPr>
          <t>Tot.1 ÷ 12 meses</t>
        </r>
      </text>
    </comment>
    <comment ref="G59" authorId="1" shapeId="0" xr:uid="{00000000-0006-0000-0100-000006000000}">
      <text>
        <r>
          <rPr>
            <sz val="9"/>
            <color indexed="81"/>
            <rFont val="Segoe UI"/>
            <family val="2"/>
          </rPr>
          <t>(Tot.1 ÷ 12 meses) + [(Tot.1 ÷ 3) ÷ 12 meses]</t>
        </r>
      </text>
    </comment>
    <comment ref="B62" authorId="0" shapeId="0" xr:uid="{00000000-0006-0000-0100-000007000000}">
      <text>
        <r>
          <rPr>
            <sz val="9"/>
            <color indexed="81"/>
            <rFont val="Segoe UI"/>
            <family val="2"/>
          </rPr>
          <t xml:space="preserve">Nota 1: Os percentuais dos encargos previdenciários, do FGTS e demais contribuições são aqueles estabelecidos pela legislação vigente.
Nota 2: O SAT a depender do grau de risco do serviço irá variar entre 1%, para risco leve, de 2%, para risco médio, e de 3% de risco grave.
Nota 3: Esses percentuais incidem sobre o Módulo 1 e o Submódulo 2.1.
</t>
        </r>
      </text>
    </comment>
    <comment ref="G64" authorId="0" shapeId="0" xr:uid="{00000000-0006-0000-0100-000008000000}">
      <text>
        <r>
          <rPr>
            <sz val="9"/>
            <color indexed="81"/>
            <rFont val="Segoe UI"/>
            <family val="2"/>
          </rPr>
          <t>Percentual fixo:
Lei 8.212/91, Art. 22, I</t>
        </r>
      </text>
    </comment>
    <comment ref="G65" authorId="0" shapeId="0" xr:uid="{00000000-0006-0000-0100-000009000000}">
      <text>
        <r>
          <rPr>
            <sz val="9"/>
            <color indexed="81"/>
            <rFont val="Segoe UI"/>
            <family val="2"/>
          </rPr>
          <t>Percentual fixo:
- C.F./88, Art. 212, §5º
- Decreto 6.003/2006, Art. 1º, §1º</t>
        </r>
      </text>
    </comment>
    <comment ref="E66" authorId="0" shapeId="0" xr:uid="{00000000-0006-0000-0100-00000A000000}">
      <text>
        <r>
          <rPr>
            <sz val="9"/>
            <color indexed="81"/>
            <rFont val="Segoe UI"/>
            <family val="2"/>
          </rPr>
          <t>Riscos Ambientais do Trabalho:
1%, 2% ou 3%
Lei 8.212/91, Art. 22, II</t>
        </r>
      </text>
    </comment>
    <comment ref="F66" authorId="0" shapeId="0" xr:uid="{00000000-0006-0000-0100-00000B000000}">
      <text>
        <r>
          <rPr>
            <sz val="9"/>
            <color indexed="81"/>
            <rFont val="Segoe UI"/>
            <family val="2"/>
          </rPr>
          <t>Fator Acidentário de Prevenção:
0,50 a 2
Decreto 6.957/09, Art. 1º, §1º</t>
        </r>
      </text>
    </comment>
    <comment ref="G68" authorId="0" shapeId="0" xr:uid="{00000000-0006-0000-0100-00000C000000}">
      <text>
        <r>
          <rPr>
            <sz val="9"/>
            <color indexed="81"/>
            <rFont val="Segoe UI"/>
            <family val="2"/>
          </rPr>
          <t>Percentual fixo:
- Lei 8.036/90, Art. 30</t>
        </r>
      </text>
    </comment>
    <comment ref="G69" authorId="0" shapeId="0" xr:uid="{00000000-0006-0000-0100-00000D000000}">
      <text>
        <r>
          <rPr>
            <sz val="9"/>
            <color indexed="81"/>
            <rFont val="Segoe UI"/>
            <family val="2"/>
          </rPr>
          <t>Percentual fixo:
- Decreto-Lei 6.246/44, Art. 1º
- Decreto-Lei 8.621/46, Art. 4º</t>
        </r>
      </text>
    </comment>
    <comment ref="G70" authorId="0" shapeId="0" xr:uid="{00000000-0006-0000-0100-00000E000000}">
      <text>
        <r>
          <rPr>
            <sz val="9"/>
            <color indexed="81"/>
            <rFont val="Segoe UI"/>
            <family val="2"/>
          </rPr>
          <t>Percentual fixo:
- Lei 8.029/90, alterada pela Lei 8.154/90</t>
        </r>
      </text>
    </comment>
    <comment ref="G71" authorId="0" shapeId="0" xr:uid="{00000000-0006-0000-0100-00000F000000}">
      <text>
        <r>
          <rPr>
            <sz val="9"/>
            <color indexed="81"/>
            <rFont val="Segoe UI"/>
            <family val="2"/>
          </rPr>
          <t>Percentual fixo:
- Decreto-Lei 1.146/70, Art. 1º, inciso I</t>
        </r>
      </text>
    </comment>
    <comment ref="G72" authorId="0" shapeId="0" xr:uid="{00000000-0006-0000-0100-000010000000}">
      <text>
        <r>
          <rPr>
            <sz val="9"/>
            <color indexed="81"/>
            <rFont val="Segoe UI"/>
            <family val="2"/>
          </rPr>
          <t>Percentual fixo:
- Lei 8.036/90, Art. 15</t>
        </r>
      </text>
    </comment>
    <comment ref="B75" authorId="0" shapeId="0" xr:uid="{00000000-0006-0000-0100-000011000000}">
      <text>
        <r>
          <rPr>
            <sz val="9"/>
            <color indexed="81"/>
            <rFont val="Segoe UI"/>
            <family val="2"/>
          </rPr>
          <t>Nota 1: O valor informado deverá ser o custo real do benefício (descontado o valor eventualmente pago pelo empregado).
Nota 2: Observar a previsão dos benefícios contidos em Acordos, Convenções e Dissídios Coletivos de Trabalho e atentar-se ao disposto no art. 6º da IN 05, de 25/05/2017.</t>
        </r>
      </text>
    </comment>
    <comment ref="C76" authorId="1" shapeId="0" xr:uid="{00000000-0006-0000-0100-000012000000}">
      <text>
        <r>
          <rPr>
            <sz val="9"/>
            <color indexed="81"/>
            <rFont val="Segoe UI"/>
            <family val="2"/>
          </rPr>
          <t>*Considerada média de 22 dias úteis mensais</t>
        </r>
      </text>
    </comment>
    <comment ref="G77" authorId="2" shapeId="0" xr:uid="{ABEA88F2-0E63-4EA4-8903-736CE4EC58CF}">
      <text>
        <r>
          <rPr>
            <b/>
            <sz val="9"/>
            <color indexed="81"/>
            <rFont val="Segoe UI"/>
            <family val="2"/>
          </rPr>
          <t xml:space="preserve">https://www.riocardmais.com.br/Tarifas
</t>
        </r>
        <r>
          <rPr>
            <sz val="9"/>
            <color indexed="81"/>
            <rFont val="Segoe UI"/>
            <family val="2"/>
          </rPr>
          <t xml:space="preserve">
</t>
        </r>
      </text>
    </comment>
    <comment ref="C98" authorId="1" shapeId="0" xr:uid="{00000000-0006-0000-0100-000013000000}">
      <text>
        <r>
          <rPr>
            <sz val="9"/>
            <color indexed="81"/>
            <rFont val="Segoe UI"/>
            <family val="2"/>
          </rPr>
          <t>O pagamento relativo à rubrica de benefícios dependerá de como a Convenção Coletiva de Trabalho aborda o assunto. Se pagamento por dia trabalhado, não deve constar esses valores na memória de cálculo.
(Remuneração +13º salário + Férias e Adicional de férias + FGTS + Benefícios - Vale Transporte) ÷ 12 meses</t>
        </r>
      </text>
    </comment>
    <comment ref="F99" authorId="1" shapeId="0" xr:uid="{00000000-0006-0000-0100-000014000000}">
      <text>
        <r>
          <rPr>
            <sz val="9"/>
            <color indexed="81"/>
            <rFont val="Segoe UI"/>
            <family val="2"/>
          </rPr>
          <t>Percentual fixo</t>
        </r>
      </text>
    </comment>
    <comment ref="G100" authorId="1" shapeId="0" xr:uid="{00000000-0006-0000-0100-000015000000}">
      <text>
        <r>
          <rPr>
            <sz val="9"/>
            <color indexed="81"/>
            <rFont val="Segoe UI"/>
            <family val="2"/>
          </rPr>
          <t>Percentual variável, desde que maior que 100%</t>
        </r>
      </text>
    </comment>
    <comment ref="F101" authorId="1" shapeId="0" xr:uid="{00000000-0006-0000-0100-000016000000}">
      <text>
        <r>
          <rPr>
            <sz val="9"/>
            <color indexed="81"/>
            <rFont val="Segoe UI"/>
            <family val="2"/>
          </rPr>
          <t>Percentual fixo</t>
        </r>
      </text>
    </comment>
    <comment ref="C102" authorId="1" shapeId="0" xr:uid="{00000000-0006-0000-0100-000017000000}">
      <text>
        <r>
          <rPr>
            <sz val="9"/>
            <color indexed="81"/>
            <rFont val="Segoe UI"/>
            <family val="2"/>
          </rPr>
          <t>(Remuneração +13º salário + Férias e Adicional de férias + FGTS + Benefícios) ÷ 12 meses</t>
        </r>
      </text>
    </comment>
    <comment ref="F102" authorId="1" shapeId="0" xr:uid="{00000000-0006-0000-0100-000018000000}">
      <text>
        <r>
          <rPr>
            <sz val="9"/>
            <color indexed="81"/>
            <rFont val="Segoe UI"/>
            <family val="2"/>
          </rPr>
          <t>Valor fixo</t>
        </r>
      </text>
    </comment>
    <comment ref="G102" authorId="1" shapeId="0" xr:uid="{00000000-0006-0000-0100-000019000000}">
      <text>
        <r>
          <rPr>
            <sz val="9"/>
            <color indexed="81"/>
            <rFont val="Segoe UI"/>
            <family val="2"/>
          </rPr>
          <t>Lei nº 12.506, de 2011.
“Art. 1º O aviso prévio, de que trata o Capítulo VI do Título IV da Consolidação das Leis do Trabalho - CLT, aprovada pelo Decreto-Lei nº 5.452, de 1º de maio de 1943, será concedido na proporção de 30 (trinta) dias aos empregados que contem até 1 (um) ano de serviço na mesma empresa.
Parágrafo único. Ao aviso prévio previsto neste artigo serão acrescidos 3 (três) dias por ano de serviço prestado na mesma empresa, até o máximo de 60 (sessenta) dias, perfazendo um total de até 90 (noventa) dias.”</t>
        </r>
      </text>
    </comment>
    <comment ref="B106" authorId="0" shapeId="0" xr:uid="{00000000-0006-0000-0100-00001A000000}">
      <text>
        <r>
          <rPr>
            <sz val="9"/>
            <color indexed="81"/>
            <rFont val="Segoe UI"/>
            <family val="2"/>
          </rPr>
          <t>Nota 1: Os itens que contemplam o módulo 4 se referem ao custo dos dias trabalhados pelo repositor/substituto, quando o empregado alocado na prestação de serviço estiver ausente, conforme as previsões estabelecidas na legislação.</t>
        </r>
      </text>
    </comment>
    <comment ref="G108" authorId="0" shapeId="0" xr:uid="{00000000-0006-0000-0100-00001B000000}">
      <text>
        <r>
          <rPr>
            <sz val="9"/>
            <color indexed="81"/>
            <rFont val="Segoe UI"/>
            <family val="2"/>
          </rPr>
          <t xml:space="preserve">Estimativa de dias:
Férias – 30 dias/ano
Ausências Legais – 2,96 faltas/ano
Licença Paternidade – 0,075 (5 dias/ano * 1,5% incidência)
Ausência por Acidente de Trabalho – 1,2 (15 dia/ano * 8% incidência)
Afastamento Maternidade – 2,4 (4 meses/ano * 2% incidência)
Outras Ausências - 1 falta/ano
Total de 38 dias (aproximadamente) de ausência ao ano.
</t>
        </r>
      </text>
    </comment>
    <comment ref="G109" authorId="1" shapeId="0" xr:uid="{00000000-0006-0000-0100-00001C000000}">
      <text>
        <r>
          <rPr>
            <sz val="9"/>
            <color indexed="81"/>
            <rFont val="Segoe UI"/>
            <family val="2"/>
          </rPr>
          <t xml:space="preserve">Quantidade </t>
        </r>
        <r>
          <rPr>
            <b/>
            <sz val="9"/>
            <color indexed="81"/>
            <rFont val="Segoe UI"/>
            <family val="2"/>
          </rPr>
          <t>fixa</t>
        </r>
        <r>
          <rPr>
            <sz val="9"/>
            <color indexed="81"/>
            <rFont val="Segoe UI"/>
            <family val="2"/>
          </rPr>
          <t xml:space="preserve"> de dias = 30</t>
        </r>
      </text>
    </comment>
    <comment ref="G110" authorId="0" shapeId="0" xr:uid="{00000000-0006-0000-0100-00001D000000}">
      <text>
        <r>
          <rPr>
            <sz val="9"/>
            <color indexed="81"/>
            <rFont val="Segoe UI"/>
            <family val="2"/>
          </rPr>
          <t>Necessidade da empresa, de acordo com as probabilidades consignadas em sua proposta, de um repositor durante o ano (em dias).</t>
        </r>
      </text>
    </comment>
    <comment ref="C111" authorId="1" shapeId="0" xr:uid="{00000000-0006-0000-0100-00001E000000}">
      <text>
        <r>
          <rPr>
            <sz val="9"/>
            <color indexed="81"/>
            <rFont val="Segoe UI"/>
            <family val="2"/>
          </rPr>
          <t>(Módulo 1 + Módulo 2 + Módulo 3) ÷ 30 dias</t>
        </r>
      </text>
    </comment>
    <comment ref="G115" authorId="0" shapeId="0" xr:uid="{00000000-0006-0000-0100-00001F000000}">
      <text>
        <r>
          <rPr>
            <sz val="9"/>
            <color indexed="81"/>
            <rFont val="Segoe UI"/>
            <family val="2"/>
          </rPr>
          <t xml:space="preserve">Dias necessários para substituição.
</t>
        </r>
      </text>
    </comment>
    <comment ref="B126" authorId="0" shapeId="0" xr:uid="{00000000-0006-0000-0100-000020000000}">
      <text>
        <r>
          <rPr>
            <sz val="9"/>
            <color indexed="81"/>
            <rFont val="Segoe UI"/>
            <family val="2"/>
          </rPr>
          <t>Nota: Valores mensais por posto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michelly</author>
    <author>Felipe Mazza Mascarenhas</author>
    <author>suporte</author>
  </authors>
  <commentList>
    <comment ref="B41" authorId="0" shapeId="0" xr:uid="{E6046273-E414-4A7B-A0EE-6D5C705BED00}">
      <text>
        <r>
          <rPr>
            <sz val="9"/>
            <color indexed="81"/>
            <rFont val="Segoe UI"/>
            <family val="2"/>
          </rPr>
          <t xml:space="preserve">Nota 1: O Módulo 1 refere-se ao valor mensal devido ao empregado pela prestação do serviço no período de 12 meses.
</t>
        </r>
      </text>
    </comment>
    <comment ref="D45" authorId="0" shapeId="0" xr:uid="{FF439E66-8C35-47FB-B3AE-D5F65789884B}">
      <text>
        <r>
          <rPr>
            <sz val="9"/>
            <color indexed="81"/>
            <rFont val="Segoe UI"/>
            <family val="2"/>
          </rPr>
          <t>Grau mínimo 10%, grau médio 20% e grau máximo 40%.</t>
        </r>
      </text>
    </comment>
    <comment ref="D48" authorId="0" shapeId="0" xr:uid="{72A65B34-437D-4555-822E-B8BCAA45ED8B}">
      <text>
        <r>
          <rPr>
            <sz val="9"/>
            <color indexed="81"/>
            <rFont val="Segoe UI"/>
            <family val="2"/>
          </rPr>
          <t>Considerando 220h mensais</t>
        </r>
        <r>
          <rPr>
            <b/>
            <sz val="9"/>
            <color indexed="81"/>
            <rFont val="Segoe UI"/>
            <family val="2"/>
          </rPr>
          <t>.</t>
        </r>
      </text>
    </comment>
    <comment ref="B56" authorId="0" shapeId="0" xr:uid="{76DFC178-45B6-4173-ACF1-F5E0565D551E}">
      <text>
        <r>
          <rPr>
            <sz val="9"/>
            <color indexed="81"/>
            <rFont val="Segoe UI"/>
            <family val="2"/>
          </rPr>
          <t>Nota 1: Como a planilha de custos e formação de preços é calculada mensalmente, provisiona-se proporcionalmente 1/12 (um doze avos) dos valores referentes a gratificação natalina e adicional de férias.
Nota 2: O adicional de férias contido no Submódulo 2.1 corresponde a 1/3 (um terço) da remuneração que por sua vez é divido por 12 (doze) conforme Nota 1 acima.</t>
        </r>
      </text>
    </comment>
    <comment ref="G58" authorId="1" shapeId="0" xr:uid="{FC1B6D03-4096-439B-8271-2A0E2B39E2E1}">
      <text>
        <r>
          <rPr>
            <sz val="9"/>
            <color indexed="81"/>
            <rFont val="Segoe UI"/>
            <family val="2"/>
          </rPr>
          <t>Tot.1 ÷ 12 meses</t>
        </r>
      </text>
    </comment>
    <comment ref="G59" authorId="1" shapeId="0" xr:uid="{9775BAC4-7B3F-4495-94A4-8E739351793B}">
      <text>
        <r>
          <rPr>
            <sz val="9"/>
            <color indexed="81"/>
            <rFont val="Segoe UI"/>
            <family val="2"/>
          </rPr>
          <t>(Tot.1 ÷ 12 meses) + [(Tot.1 ÷ 3) ÷ 12 meses]</t>
        </r>
      </text>
    </comment>
    <comment ref="B62" authorId="0" shapeId="0" xr:uid="{9C51B5DB-4B48-4D1E-8426-14DF381B0828}">
      <text>
        <r>
          <rPr>
            <sz val="9"/>
            <color indexed="81"/>
            <rFont val="Segoe UI"/>
            <family val="2"/>
          </rPr>
          <t xml:space="preserve">Nota 1: Os percentuais dos encargos previdenciários, do FGTS e demais contribuições são aqueles estabelecidos pela legislação vigente.
Nota 2: O SAT a depender do grau de risco do serviço irá variar entre 1%, para risco leve, de 2%, para risco médio, e de 3% de risco grave.
Nota 3: Esses percentuais incidem sobre o Módulo 1 e o Submódulo 2.1.
</t>
        </r>
      </text>
    </comment>
    <comment ref="G64" authorId="0" shapeId="0" xr:uid="{12179CDE-209B-435C-BA3A-5419134DB334}">
      <text>
        <r>
          <rPr>
            <sz val="9"/>
            <color indexed="81"/>
            <rFont val="Segoe UI"/>
            <family val="2"/>
          </rPr>
          <t>Percentual fixo:
Lei 8.212/91, Art. 22, I</t>
        </r>
      </text>
    </comment>
    <comment ref="G65" authorId="0" shapeId="0" xr:uid="{4B0C1CD1-6645-4BE0-BF14-69099F4C72EB}">
      <text>
        <r>
          <rPr>
            <sz val="9"/>
            <color indexed="81"/>
            <rFont val="Segoe UI"/>
            <family val="2"/>
          </rPr>
          <t>Percentual fixo:
- C.F./88, Art. 212, §5º
- Decreto 6.003/2006, Art. 1º, §1º</t>
        </r>
      </text>
    </comment>
    <comment ref="E66" authorId="0" shapeId="0" xr:uid="{61B55972-A125-4062-80E9-5F5D60F76DB9}">
      <text>
        <r>
          <rPr>
            <sz val="9"/>
            <color indexed="81"/>
            <rFont val="Segoe UI"/>
            <family val="2"/>
          </rPr>
          <t>Riscos Ambientais do Trabalho:
1%, 2% ou 3%
Lei 8.212/91, Art. 22, II</t>
        </r>
      </text>
    </comment>
    <comment ref="F66" authorId="0" shapeId="0" xr:uid="{569981D3-046B-4750-9701-23FD555B5829}">
      <text>
        <r>
          <rPr>
            <sz val="9"/>
            <color indexed="81"/>
            <rFont val="Segoe UI"/>
            <family val="2"/>
          </rPr>
          <t>Fator Acidentário de Prevenção:
0,50 a 2
Decreto 6.957/09, Art. 1º, §1º</t>
        </r>
      </text>
    </comment>
    <comment ref="G68" authorId="0" shapeId="0" xr:uid="{D6516A8A-68DA-47D1-91AA-12C3139E5753}">
      <text>
        <r>
          <rPr>
            <sz val="9"/>
            <color indexed="81"/>
            <rFont val="Segoe UI"/>
            <family val="2"/>
          </rPr>
          <t>Percentual fixo:
- Lei 8.036/90, Art. 30</t>
        </r>
      </text>
    </comment>
    <comment ref="G69" authorId="0" shapeId="0" xr:uid="{6AB2172C-DE6B-416D-8C0C-145236080B2C}">
      <text>
        <r>
          <rPr>
            <sz val="9"/>
            <color indexed="81"/>
            <rFont val="Segoe UI"/>
            <family val="2"/>
          </rPr>
          <t>Percentual fixo:
- Decreto-Lei 6.246/44, Art. 1º
- Decreto-Lei 8.621/46, Art. 4º</t>
        </r>
      </text>
    </comment>
    <comment ref="G70" authorId="0" shapeId="0" xr:uid="{F7895DA6-85CE-4A33-AA12-8C7123E721F3}">
      <text>
        <r>
          <rPr>
            <sz val="9"/>
            <color indexed="81"/>
            <rFont val="Segoe UI"/>
            <family val="2"/>
          </rPr>
          <t>Percentual fixo:
- Lei 8.029/90, alterada pela Lei 8.154/90</t>
        </r>
      </text>
    </comment>
    <comment ref="G71" authorId="0" shapeId="0" xr:uid="{5603E4D4-3E0A-4694-8A0D-A4F49FD29C9E}">
      <text>
        <r>
          <rPr>
            <sz val="9"/>
            <color indexed="81"/>
            <rFont val="Segoe UI"/>
            <family val="2"/>
          </rPr>
          <t>Percentual fixo:
- Decreto-Lei 1.146/70, Art. 1º, inciso I</t>
        </r>
      </text>
    </comment>
    <comment ref="G72" authorId="0" shapeId="0" xr:uid="{A51DF3DE-8494-4720-8948-EF54F25039B2}">
      <text>
        <r>
          <rPr>
            <sz val="9"/>
            <color indexed="81"/>
            <rFont val="Segoe UI"/>
            <family val="2"/>
          </rPr>
          <t>Percentual fixo:
- Lei 8.036/90, Art. 15</t>
        </r>
      </text>
    </comment>
    <comment ref="B75" authorId="0" shapeId="0" xr:uid="{CF59ACE9-73B1-4132-90B3-7A2EBDB4F0FD}">
      <text>
        <r>
          <rPr>
            <sz val="9"/>
            <color indexed="81"/>
            <rFont val="Segoe UI"/>
            <family val="2"/>
          </rPr>
          <t>Nota 1: O valor informado deverá ser o custo real do benefício (descontado o valor eventualmente pago pelo empregado).
Nota 2: Observar a previsão dos benefícios contidos em Acordos, Convenções e Dissídios Coletivos de Trabalho e atentar-se ao disposto no art. 6º da IN 05, de 25/05/2017.</t>
        </r>
      </text>
    </comment>
    <comment ref="C76" authorId="1" shapeId="0" xr:uid="{FAAD8C4B-7DFA-4528-BF64-5BE4E85D49F2}">
      <text>
        <r>
          <rPr>
            <sz val="9"/>
            <color indexed="81"/>
            <rFont val="Segoe UI"/>
            <family val="2"/>
          </rPr>
          <t>*Considerada média de 22 dias úteis mensais</t>
        </r>
      </text>
    </comment>
    <comment ref="G77" authorId="2" shapeId="0" xr:uid="{0558377E-27E8-413F-91D2-7D3027C8859E}">
      <text>
        <r>
          <rPr>
            <b/>
            <sz val="9"/>
            <color indexed="81"/>
            <rFont val="Segoe UI"/>
            <family val="2"/>
          </rPr>
          <t xml:space="preserve">https://www.riocardmais.com.br/Tarifas
</t>
        </r>
        <r>
          <rPr>
            <sz val="9"/>
            <color indexed="81"/>
            <rFont val="Segoe UI"/>
            <family val="2"/>
          </rPr>
          <t xml:space="preserve">
</t>
        </r>
      </text>
    </comment>
    <comment ref="C98" authorId="1" shapeId="0" xr:uid="{6E72204F-1AB9-426B-92AA-5F8E8C51CB97}">
      <text>
        <r>
          <rPr>
            <sz val="9"/>
            <color indexed="81"/>
            <rFont val="Segoe UI"/>
            <family val="2"/>
          </rPr>
          <t>O pagamento relativo à rubrica de benefícios dependerá de como a Convenção Coletiva de Trabalho aborda o assunto. Se pagamento por dia trabalhado, não deve constar esses valores na memória de cálculo.
(Remuneração +13º salário + Férias e Adicional de férias + FGTS + Benefícios - Vale Transporte) ÷ 12 meses</t>
        </r>
      </text>
    </comment>
    <comment ref="F99" authorId="1" shapeId="0" xr:uid="{22D8ED69-0F37-45F9-ADC5-355293E4EA5A}">
      <text>
        <r>
          <rPr>
            <sz val="9"/>
            <color indexed="81"/>
            <rFont val="Segoe UI"/>
            <family val="2"/>
          </rPr>
          <t>Percentual fixo</t>
        </r>
      </text>
    </comment>
    <comment ref="G100" authorId="1" shapeId="0" xr:uid="{2B5F1D06-ED6B-4822-9873-BC3F2358836A}">
      <text>
        <r>
          <rPr>
            <sz val="9"/>
            <color indexed="81"/>
            <rFont val="Segoe UI"/>
            <family val="2"/>
          </rPr>
          <t>Percentual variável, desde que maior que 100%</t>
        </r>
      </text>
    </comment>
    <comment ref="F101" authorId="1" shapeId="0" xr:uid="{9B017D3F-E723-4568-83EF-FE82D98AA73C}">
      <text>
        <r>
          <rPr>
            <sz val="9"/>
            <color indexed="81"/>
            <rFont val="Segoe UI"/>
            <family val="2"/>
          </rPr>
          <t>Percentual fixo</t>
        </r>
      </text>
    </comment>
    <comment ref="C102" authorId="1" shapeId="0" xr:uid="{49FAF0E1-8F01-438F-BF7F-CC19183C8B1A}">
      <text>
        <r>
          <rPr>
            <sz val="9"/>
            <color indexed="81"/>
            <rFont val="Segoe UI"/>
            <family val="2"/>
          </rPr>
          <t>(Remuneração +13º salário + Férias e Adicional de férias + FGTS + Benefícios) ÷ 12 meses</t>
        </r>
      </text>
    </comment>
    <comment ref="F102" authorId="1" shapeId="0" xr:uid="{7CBF04A4-52D5-4111-92E6-859F8514630B}">
      <text>
        <r>
          <rPr>
            <sz val="9"/>
            <color indexed="81"/>
            <rFont val="Segoe UI"/>
            <family val="2"/>
          </rPr>
          <t>Valor fixo</t>
        </r>
      </text>
    </comment>
    <comment ref="G102" authorId="1" shapeId="0" xr:uid="{5AFED6B1-F669-4BED-AF52-ACFEFF6BBE55}">
      <text>
        <r>
          <rPr>
            <sz val="9"/>
            <color indexed="81"/>
            <rFont val="Segoe UI"/>
            <family val="2"/>
          </rPr>
          <t>Lei nº 12.506, de 2011.
“Art. 1º O aviso prévio, de que trata o Capítulo VI do Título IV da Consolidação das Leis do Trabalho - CLT, aprovada pelo Decreto-Lei nº 5.452, de 1º de maio de 1943, será concedido na proporção de 30 (trinta) dias aos empregados que contem até 1 (um) ano de serviço na mesma empresa.
Parágrafo único. Ao aviso prévio previsto neste artigo serão acrescidos 3 (três) dias por ano de serviço prestado na mesma empresa, até o máximo de 60 (sessenta) dias, perfazendo um total de até 90 (noventa) dias.”</t>
        </r>
      </text>
    </comment>
    <comment ref="B106" authorId="0" shapeId="0" xr:uid="{021A102A-A478-470E-AB5E-5BC37683A1B1}">
      <text>
        <r>
          <rPr>
            <sz val="9"/>
            <color indexed="81"/>
            <rFont val="Segoe UI"/>
            <family val="2"/>
          </rPr>
          <t>Nota 1: Os itens que contemplam o módulo 4 se referem ao custo dos dias trabalhados pelo repositor/substituto, quando o empregado alocado na prestação de serviço estiver ausente, conforme as previsões estabelecidas na legislação.</t>
        </r>
      </text>
    </comment>
    <comment ref="G108" authorId="0" shapeId="0" xr:uid="{F8206E51-7482-46D6-BEB4-896BE20A1E50}">
      <text>
        <r>
          <rPr>
            <sz val="9"/>
            <color indexed="81"/>
            <rFont val="Segoe UI"/>
            <family val="2"/>
          </rPr>
          <t xml:space="preserve">Estimativa de dias:
Férias – 30 dias/ano
Ausências Legais – 2,96 faltas/ano
Licença Paternidade – 0,075 (5 dias/ano * 1,5% incidência)
Ausência por Acidente de Trabalho – 1,2 (15 dia/ano * 8% incidência)
Afastamento Maternidade – 2,4 (4 meses/ano * 2% incidência)
Outras Ausências - 1 falta/ano
Total de 38 dias (aproximadamente) de ausência ao ano.
</t>
        </r>
      </text>
    </comment>
    <comment ref="G109" authorId="1" shapeId="0" xr:uid="{21CF042D-80FA-4B70-9396-ECF84911FB5A}">
      <text>
        <r>
          <rPr>
            <sz val="9"/>
            <color indexed="81"/>
            <rFont val="Segoe UI"/>
            <family val="2"/>
          </rPr>
          <t xml:space="preserve">Quantidade </t>
        </r>
        <r>
          <rPr>
            <b/>
            <sz val="9"/>
            <color indexed="81"/>
            <rFont val="Segoe UI"/>
            <family val="2"/>
          </rPr>
          <t>fixa</t>
        </r>
        <r>
          <rPr>
            <sz val="9"/>
            <color indexed="81"/>
            <rFont val="Segoe UI"/>
            <family val="2"/>
          </rPr>
          <t xml:space="preserve"> de dias = 30</t>
        </r>
      </text>
    </comment>
    <comment ref="G110" authorId="0" shapeId="0" xr:uid="{DA231557-B0B3-47F3-ABA7-EB47C553583D}">
      <text>
        <r>
          <rPr>
            <sz val="9"/>
            <color indexed="81"/>
            <rFont val="Segoe UI"/>
            <family val="2"/>
          </rPr>
          <t>Necessidade da empresa, de acordo com as probabilidades consignadas em sua proposta, de um repositor durante o ano (em dias).</t>
        </r>
      </text>
    </comment>
    <comment ref="C111" authorId="1" shapeId="0" xr:uid="{68FA6F20-D62F-44BA-BDE6-6C144DA3E694}">
      <text>
        <r>
          <rPr>
            <sz val="9"/>
            <color indexed="81"/>
            <rFont val="Segoe UI"/>
            <family val="2"/>
          </rPr>
          <t>(Módulo 1 + Módulo 2 + Módulo 3) ÷ 30 dias</t>
        </r>
      </text>
    </comment>
    <comment ref="G115" authorId="0" shapeId="0" xr:uid="{50C690C9-7EEA-4B24-AA6A-DA016AE87E0B}">
      <text>
        <r>
          <rPr>
            <sz val="9"/>
            <color indexed="81"/>
            <rFont val="Segoe UI"/>
            <family val="2"/>
          </rPr>
          <t xml:space="preserve">Dias necessários para substituição.
</t>
        </r>
      </text>
    </comment>
    <comment ref="B126" authorId="0" shapeId="0" xr:uid="{D164DE6A-0957-499F-9EFE-E458AB5CBC28}">
      <text>
        <r>
          <rPr>
            <sz val="9"/>
            <color indexed="81"/>
            <rFont val="Segoe UI"/>
            <family val="2"/>
          </rPr>
          <t>Nota: Valores mensais por posto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michelly</author>
    <author>Felipe Mazza Mascarenhas</author>
    <author>suporte</author>
  </authors>
  <commentList>
    <comment ref="B41" authorId="0" shapeId="0" xr:uid="{7AE9ACA9-ABF6-4E94-97A5-25A991DE1211}">
      <text>
        <r>
          <rPr>
            <sz val="9"/>
            <color indexed="81"/>
            <rFont val="Segoe UI"/>
            <family val="2"/>
          </rPr>
          <t xml:space="preserve">Nota 1: O Módulo 1 refere-se ao valor mensal devido ao empregado pela prestação do serviço no período de 12 meses.
</t>
        </r>
      </text>
    </comment>
    <comment ref="D45" authorId="0" shapeId="0" xr:uid="{9D57AB92-04F7-4E24-B64E-3AF3AA1E82E6}">
      <text>
        <r>
          <rPr>
            <sz val="9"/>
            <color indexed="81"/>
            <rFont val="Segoe UI"/>
            <family val="2"/>
          </rPr>
          <t>Grau mínimo 10%, grau médio 20% e grau máximo 40%.</t>
        </r>
      </text>
    </comment>
    <comment ref="D48" authorId="0" shapeId="0" xr:uid="{E52C36AD-D608-4DAA-831D-8F9A15E9BDD5}">
      <text>
        <r>
          <rPr>
            <sz val="9"/>
            <color indexed="81"/>
            <rFont val="Segoe UI"/>
            <family val="2"/>
          </rPr>
          <t>Considerando 220h mensais</t>
        </r>
        <r>
          <rPr>
            <b/>
            <sz val="9"/>
            <color indexed="81"/>
            <rFont val="Segoe UI"/>
            <family val="2"/>
          </rPr>
          <t>.</t>
        </r>
      </text>
    </comment>
    <comment ref="B56" authorId="0" shapeId="0" xr:uid="{DBFEEA38-84EB-4D9D-9457-152DEACFCB27}">
      <text>
        <r>
          <rPr>
            <sz val="9"/>
            <color indexed="81"/>
            <rFont val="Segoe UI"/>
            <family val="2"/>
          </rPr>
          <t>Nota 1: Como a planilha de custos e formação de preços é calculada mensalmente, provisiona-se proporcionalmente 1/12 (um doze avos) dos valores referentes a gratificação natalina e adicional de férias.
Nota 2: O adicional de férias contido no Submódulo 2.1 corresponde a 1/3 (um terço) da remuneração que por sua vez é divido por 12 (doze) conforme Nota 1 acima.</t>
        </r>
      </text>
    </comment>
    <comment ref="G58" authorId="1" shapeId="0" xr:uid="{24E035B3-927D-43F6-B2F0-B5FD2C102BF4}">
      <text>
        <r>
          <rPr>
            <sz val="9"/>
            <color indexed="81"/>
            <rFont val="Segoe UI"/>
            <family val="2"/>
          </rPr>
          <t>Tot.1 ÷ 12 meses</t>
        </r>
      </text>
    </comment>
    <comment ref="G59" authorId="1" shapeId="0" xr:uid="{9EFEE2E3-1D4F-4BBD-9C2F-C0BCD8FDB523}">
      <text>
        <r>
          <rPr>
            <sz val="9"/>
            <color indexed="81"/>
            <rFont val="Segoe UI"/>
            <family val="2"/>
          </rPr>
          <t>(Tot.1 ÷ 12 meses) + [(Tot.1 ÷ 3) ÷ 12 meses]</t>
        </r>
      </text>
    </comment>
    <comment ref="B62" authorId="0" shapeId="0" xr:uid="{63E2D009-F606-44B9-8781-C4412DD38525}">
      <text>
        <r>
          <rPr>
            <sz val="9"/>
            <color indexed="81"/>
            <rFont val="Segoe UI"/>
            <family val="2"/>
          </rPr>
          <t xml:space="preserve">Nota 1: Os percentuais dos encargos previdenciários, do FGTS e demais contribuições são aqueles estabelecidos pela legislação vigente.
Nota 2: O SAT a depender do grau de risco do serviço irá variar entre 1%, para risco leve, de 2%, para risco médio, e de 3% de risco grave.
Nota 3: Esses percentuais incidem sobre o Módulo 1 e o Submódulo 2.1.
</t>
        </r>
      </text>
    </comment>
    <comment ref="G64" authorId="0" shapeId="0" xr:uid="{8C08E784-AFA2-45AA-9B63-BB9867F434AD}">
      <text>
        <r>
          <rPr>
            <sz val="9"/>
            <color indexed="81"/>
            <rFont val="Segoe UI"/>
            <family val="2"/>
          </rPr>
          <t>Percentual fixo:
Lei 8.212/91, Art. 22, I</t>
        </r>
      </text>
    </comment>
    <comment ref="G65" authorId="0" shapeId="0" xr:uid="{E1DF441B-85FD-4FA3-8C83-A1A701818A7C}">
      <text>
        <r>
          <rPr>
            <sz val="9"/>
            <color indexed="81"/>
            <rFont val="Segoe UI"/>
            <family val="2"/>
          </rPr>
          <t>Percentual fixo:
- C.F./88, Art. 212, §5º
- Decreto 6.003/2006, Art. 1º, §1º</t>
        </r>
      </text>
    </comment>
    <comment ref="E66" authorId="0" shapeId="0" xr:uid="{4C0D84CF-000B-43D7-B175-8E36DD7CA3C4}">
      <text>
        <r>
          <rPr>
            <sz val="9"/>
            <color indexed="81"/>
            <rFont val="Segoe UI"/>
            <family val="2"/>
          </rPr>
          <t>Riscos Ambientais do Trabalho:
1%, 2% ou 3%
Lei 8.212/91, Art. 22, II</t>
        </r>
      </text>
    </comment>
    <comment ref="F66" authorId="0" shapeId="0" xr:uid="{FBD90D23-69B0-4898-B038-BE3B4F65DC27}">
      <text>
        <r>
          <rPr>
            <sz val="9"/>
            <color indexed="81"/>
            <rFont val="Segoe UI"/>
            <family val="2"/>
          </rPr>
          <t>Fator Acidentário de Prevenção:
0,50 a 2
Decreto 6.957/09, Art. 1º, §1º</t>
        </r>
      </text>
    </comment>
    <comment ref="G68" authorId="0" shapeId="0" xr:uid="{E88FEF6E-5D56-43E7-89D8-70EFC10DACC3}">
      <text>
        <r>
          <rPr>
            <sz val="9"/>
            <color indexed="81"/>
            <rFont val="Segoe UI"/>
            <family val="2"/>
          </rPr>
          <t>Percentual fixo:
- Lei 8.036/90, Art. 30</t>
        </r>
      </text>
    </comment>
    <comment ref="G69" authorId="0" shapeId="0" xr:uid="{2D1B67DF-84B6-4DAC-AD9D-92377E4961EB}">
      <text>
        <r>
          <rPr>
            <sz val="9"/>
            <color indexed="81"/>
            <rFont val="Segoe UI"/>
            <family val="2"/>
          </rPr>
          <t>Percentual fixo:
- Decreto-Lei 6.246/44, Art. 1º
- Decreto-Lei 8.621/46, Art. 4º</t>
        </r>
      </text>
    </comment>
    <comment ref="G70" authorId="0" shapeId="0" xr:uid="{0EC5B429-2E01-46F1-9C7E-D3A938B5855B}">
      <text>
        <r>
          <rPr>
            <sz val="9"/>
            <color indexed="81"/>
            <rFont val="Segoe UI"/>
            <family val="2"/>
          </rPr>
          <t>Percentual fixo:
- Lei 8.029/90, alterada pela Lei 8.154/90</t>
        </r>
      </text>
    </comment>
    <comment ref="G71" authorId="0" shapeId="0" xr:uid="{37BA329A-BCF1-4445-9AA5-2814B615662A}">
      <text>
        <r>
          <rPr>
            <sz val="9"/>
            <color indexed="81"/>
            <rFont val="Segoe UI"/>
            <family val="2"/>
          </rPr>
          <t>Percentual fixo:
- Decreto-Lei 1.146/70, Art. 1º, inciso I</t>
        </r>
      </text>
    </comment>
    <comment ref="G72" authorId="0" shapeId="0" xr:uid="{B1726D66-EF98-4B56-9B78-1DE8ED785F3F}">
      <text>
        <r>
          <rPr>
            <sz val="9"/>
            <color indexed="81"/>
            <rFont val="Segoe UI"/>
            <family val="2"/>
          </rPr>
          <t>Percentual fixo:
- Lei 8.036/90, Art. 15</t>
        </r>
      </text>
    </comment>
    <comment ref="B75" authorId="0" shapeId="0" xr:uid="{251B2CC2-14B9-492F-9A47-327525737D46}">
      <text>
        <r>
          <rPr>
            <sz val="9"/>
            <color indexed="81"/>
            <rFont val="Segoe UI"/>
            <family val="2"/>
          </rPr>
          <t>Nota 1: O valor informado deverá ser o custo real do benefício (descontado o valor eventualmente pago pelo empregado).
Nota 2: Observar a previsão dos benefícios contidos em Acordos, Convenções e Dissídios Coletivos de Trabalho e atentar-se ao disposto no art. 6º da IN 05, de 25/05/2017.</t>
        </r>
      </text>
    </comment>
    <comment ref="C76" authorId="1" shapeId="0" xr:uid="{05A39600-1D49-4BE6-88BF-2BF347103771}">
      <text>
        <r>
          <rPr>
            <sz val="9"/>
            <color indexed="81"/>
            <rFont val="Segoe UI"/>
            <family val="2"/>
          </rPr>
          <t>*Considerada média de 22 dias úteis mensais</t>
        </r>
      </text>
    </comment>
    <comment ref="G77" authorId="2" shapeId="0" xr:uid="{71D0C16D-4A34-4D6B-980B-CA6B91D028DE}">
      <text>
        <r>
          <rPr>
            <b/>
            <sz val="9"/>
            <color indexed="81"/>
            <rFont val="Segoe UI"/>
            <family val="2"/>
          </rPr>
          <t>https://www.sptrans.com.br/tarifas</t>
        </r>
        <r>
          <rPr>
            <sz val="9"/>
            <color indexed="81"/>
            <rFont val="Segoe UI"/>
            <family val="2"/>
          </rPr>
          <t xml:space="preserve">
</t>
        </r>
      </text>
    </comment>
    <comment ref="C96" authorId="1" shapeId="0" xr:uid="{21538B09-A880-4D35-B6B1-D459768F17A2}">
      <text>
        <r>
          <rPr>
            <sz val="9"/>
            <color indexed="81"/>
            <rFont val="Segoe UI"/>
            <family val="2"/>
          </rPr>
          <t>O pagamento relativo à rubrica de benefícios dependerá de como a Convenção Coletiva de Trabalho aborda o assunto. Se pagamento por dia trabalhado, não deve constar esses valores na memória de cálculo.
(Remuneração +13º salário + Férias e Adicional de férias + FGTS + Benefícios - Vale Transporte) ÷ 12 meses</t>
        </r>
      </text>
    </comment>
    <comment ref="F97" authorId="1" shapeId="0" xr:uid="{27427600-9A99-49FA-80A8-956E787DB5E4}">
      <text>
        <r>
          <rPr>
            <sz val="9"/>
            <color indexed="81"/>
            <rFont val="Segoe UI"/>
            <family val="2"/>
          </rPr>
          <t>Percentual fixo</t>
        </r>
      </text>
    </comment>
    <comment ref="G98" authorId="1" shapeId="0" xr:uid="{AB4193C5-A19E-479C-91F2-541BA54783F1}">
      <text>
        <r>
          <rPr>
            <sz val="9"/>
            <color indexed="81"/>
            <rFont val="Segoe UI"/>
            <family val="2"/>
          </rPr>
          <t>Percentual variável, desde que maior que 100%</t>
        </r>
      </text>
    </comment>
    <comment ref="F99" authorId="1" shapeId="0" xr:uid="{82087A35-DF33-472E-A40D-2882D9E5BFA0}">
      <text>
        <r>
          <rPr>
            <sz val="9"/>
            <color indexed="81"/>
            <rFont val="Segoe UI"/>
            <family val="2"/>
          </rPr>
          <t>Percentual fixo</t>
        </r>
      </text>
    </comment>
    <comment ref="C100" authorId="1" shapeId="0" xr:uid="{C3258C07-AFCA-4ADA-A118-7CFF3E2246FA}">
      <text>
        <r>
          <rPr>
            <sz val="9"/>
            <color indexed="81"/>
            <rFont val="Segoe UI"/>
            <family val="2"/>
          </rPr>
          <t>(Remuneração +13º salário + Férias e Adicional de férias + FGTS + Benefícios) ÷ 12 meses</t>
        </r>
      </text>
    </comment>
    <comment ref="F100" authorId="1" shapeId="0" xr:uid="{281B4806-A75B-45FE-A9D1-49F56AFB3E87}">
      <text>
        <r>
          <rPr>
            <sz val="9"/>
            <color indexed="81"/>
            <rFont val="Segoe UI"/>
            <family val="2"/>
          </rPr>
          <t>Valor fixo</t>
        </r>
      </text>
    </comment>
    <comment ref="G100" authorId="1" shapeId="0" xr:uid="{CA970C05-3693-4474-8D01-1968B863F5D2}">
      <text>
        <r>
          <rPr>
            <sz val="9"/>
            <color indexed="81"/>
            <rFont val="Segoe UI"/>
            <family val="2"/>
          </rPr>
          <t>Lei nº 12.506, de 2011.
“Art. 1º O aviso prévio, de que trata o Capítulo VI do Título IV da Consolidação das Leis do Trabalho - CLT, aprovada pelo Decreto-Lei nº 5.452, de 1º de maio de 1943, será concedido na proporção de 30 (trinta) dias aos empregados que contem até 1 (um) ano de serviço na mesma empresa.
Parágrafo único. Ao aviso prévio previsto neste artigo serão acrescidos 3 (três) dias por ano de serviço prestado na mesma empresa, até o máximo de 60 (sessenta) dias, perfazendo um total de até 90 (noventa) dias.”</t>
        </r>
      </text>
    </comment>
    <comment ref="B104" authorId="0" shapeId="0" xr:uid="{AFD81323-B003-431A-A74F-0FC14E206A2C}">
      <text>
        <r>
          <rPr>
            <sz val="9"/>
            <color indexed="81"/>
            <rFont val="Segoe UI"/>
            <family val="2"/>
          </rPr>
          <t>Nota 1: Os itens que contemplam o módulo 4 se referem ao custo dos dias trabalhados pelo repositor/substituto, quando o empregado alocado na prestação de serviço estiver ausente, conforme as previsões estabelecidas na legislação.</t>
        </r>
      </text>
    </comment>
    <comment ref="G106" authorId="0" shapeId="0" xr:uid="{0C96F925-920E-4947-8005-D2A517CA3170}">
      <text>
        <r>
          <rPr>
            <sz val="9"/>
            <color indexed="81"/>
            <rFont val="Segoe UI"/>
            <family val="2"/>
          </rPr>
          <t xml:space="preserve">Estimativa de dias:
Férias – 30 dias/ano
Ausências Legais – 2,96 faltas/ano
Licença Paternidade – 0,075 (5 dias/ano * 1,5% incidência)
Ausência por Acidente de Trabalho – 1,2 (15 dia/ano * 8% incidência)
Afastamento Maternidade – 2,4 (4 meses/ano * 2% incidência)
Outras Ausências - 1 falta/ano
Total de 38 dias (aproximadamente) de ausência ao ano.
</t>
        </r>
      </text>
    </comment>
    <comment ref="G107" authorId="1" shapeId="0" xr:uid="{2AD79451-5805-46A5-8510-E966657DAC4A}">
      <text>
        <r>
          <rPr>
            <sz val="9"/>
            <color indexed="81"/>
            <rFont val="Segoe UI"/>
            <family val="2"/>
          </rPr>
          <t xml:space="preserve">Quantidade </t>
        </r>
        <r>
          <rPr>
            <b/>
            <sz val="9"/>
            <color indexed="81"/>
            <rFont val="Segoe UI"/>
            <family val="2"/>
          </rPr>
          <t>fixa</t>
        </r>
        <r>
          <rPr>
            <sz val="9"/>
            <color indexed="81"/>
            <rFont val="Segoe UI"/>
            <family val="2"/>
          </rPr>
          <t xml:space="preserve"> de dias = 30</t>
        </r>
      </text>
    </comment>
    <comment ref="G108" authorId="0" shapeId="0" xr:uid="{9D9CAC8B-39DD-4E92-8817-B348A220C68E}">
      <text>
        <r>
          <rPr>
            <sz val="9"/>
            <color indexed="81"/>
            <rFont val="Segoe UI"/>
            <family val="2"/>
          </rPr>
          <t>Necessidade da empresa, de acordo com as probabilidades consignadas em sua proposta, de um repositor durante o ano (em dias).</t>
        </r>
      </text>
    </comment>
    <comment ref="C109" authorId="1" shapeId="0" xr:uid="{089C9499-C97C-40AD-8A6E-5B037A905D6C}">
      <text>
        <r>
          <rPr>
            <sz val="9"/>
            <color indexed="81"/>
            <rFont val="Segoe UI"/>
            <family val="2"/>
          </rPr>
          <t>(Módulo 1 + Módulo 2 + Módulo 3) ÷ 30 dias</t>
        </r>
      </text>
    </comment>
    <comment ref="G113" authorId="0" shapeId="0" xr:uid="{F3C9E0CF-2E71-4391-B0E0-A46B6FFD31B3}">
      <text>
        <r>
          <rPr>
            <sz val="9"/>
            <color indexed="81"/>
            <rFont val="Segoe UI"/>
            <family val="2"/>
          </rPr>
          <t xml:space="preserve">Dias necessários para substituição.
</t>
        </r>
      </text>
    </comment>
    <comment ref="B124" authorId="0" shapeId="0" xr:uid="{D7784EB5-7980-4A02-8FAC-933D7092A446}">
      <text>
        <r>
          <rPr>
            <sz val="9"/>
            <color indexed="81"/>
            <rFont val="Segoe UI"/>
            <family val="2"/>
          </rPr>
          <t>Nota: Valores mensais por posto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michelly</author>
    <author>Felipe Mazza Mascarenhas</author>
    <author>suporte</author>
  </authors>
  <commentList>
    <comment ref="B41" authorId="0" shapeId="0" xr:uid="{A180BD0D-1BB6-4376-BD79-5DC871D19D50}">
      <text>
        <r>
          <rPr>
            <sz val="9"/>
            <color indexed="81"/>
            <rFont val="Segoe UI"/>
            <family val="2"/>
          </rPr>
          <t xml:space="preserve">Nota 1: O Módulo 1 refere-se ao valor mensal devido ao empregado pela prestação do serviço no período de 12 meses.
</t>
        </r>
      </text>
    </comment>
    <comment ref="D45" authorId="0" shapeId="0" xr:uid="{430077F1-2F40-4502-A1D5-725795505E52}">
      <text>
        <r>
          <rPr>
            <sz val="9"/>
            <color indexed="81"/>
            <rFont val="Segoe UI"/>
            <family val="2"/>
          </rPr>
          <t>Grau mínimo 10%, grau médio 20% e grau máximo 40%.</t>
        </r>
      </text>
    </comment>
    <comment ref="D48" authorId="0" shapeId="0" xr:uid="{BC583DDE-2871-48D8-8104-ED06CE37D068}">
      <text>
        <r>
          <rPr>
            <sz val="9"/>
            <color indexed="81"/>
            <rFont val="Segoe UI"/>
            <family val="2"/>
          </rPr>
          <t>Considerando 220h mensais</t>
        </r>
        <r>
          <rPr>
            <b/>
            <sz val="9"/>
            <color indexed="81"/>
            <rFont val="Segoe UI"/>
            <family val="2"/>
          </rPr>
          <t>.</t>
        </r>
      </text>
    </comment>
    <comment ref="B56" authorId="0" shapeId="0" xr:uid="{78DFBDB9-2AFF-4AA6-B9EB-D0B7EABEE6FF}">
      <text>
        <r>
          <rPr>
            <sz val="9"/>
            <color indexed="81"/>
            <rFont val="Segoe UI"/>
            <family val="2"/>
          </rPr>
          <t>Nota 1: Como a planilha de custos e formação de preços é calculada mensalmente, provisiona-se proporcionalmente 1/12 (um doze avos) dos valores referentes a gratificação natalina e adicional de férias.
Nota 2: O adicional de férias contido no Submódulo 2.1 corresponde a 1/3 (um terço) da remuneração que por sua vez é divido por 12 (doze) conforme Nota 1 acima.</t>
        </r>
      </text>
    </comment>
    <comment ref="G58" authorId="1" shapeId="0" xr:uid="{5D52F27C-CDCF-4CF6-81E9-11AF4F0DB8FD}">
      <text>
        <r>
          <rPr>
            <sz val="9"/>
            <color indexed="81"/>
            <rFont val="Segoe UI"/>
            <family val="2"/>
          </rPr>
          <t>Tot.1 ÷ 12 meses</t>
        </r>
      </text>
    </comment>
    <comment ref="G59" authorId="1" shapeId="0" xr:uid="{A9B62AC0-3B50-4268-86F8-C6BD679E08C8}">
      <text>
        <r>
          <rPr>
            <sz val="9"/>
            <color indexed="81"/>
            <rFont val="Segoe UI"/>
            <family val="2"/>
          </rPr>
          <t>(Tot.1 ÷ 12 meses) + [(Tot.1 ÷ 3) ÷ 12 meses]</t>
        </r>
      </text>
    </comment>
    <comment ref="B62" authorId="0" shapeId="0" xr:uid="{41673F29-2E5B-4CF5-B880-B1EA617D899B}">
      <text>
        <r>
          <rPr>
            <sz val="9"/>
            <color indexed="81"/>
            <rFont val="Segoe UI"/>
            <family val="2"/>
          </rPr>
          <t xml:space="preserve">Nota 1: Os percentuais dos encargos previdenciários, do FGTS e demais contribuições são aqueles estabelecidos pela legislação vigente.
Nota 2: O SAT a depender do grau de risco do serviço irá variar entre 1%, para risco leve, de 2%, para risco médio, e de 3% de risco grave.
Nota 3: Esses percentuais incidem sobre o Módulo 1 e o Submódulo 2.1.
</t>
        </r>
      </text>
    </comment>
    <comment ref="G64" authorId="0" shapeId="0" xr:uid="{1ADEA229-165E-4822-8834-2E6ABF4A4144}">
      <text>
        <r>
          <rPr>
            <sz val="9"/>
            <color indexed="81"/>
            <rFont val="Segoe UI"/>
            <family val="2"/>
          </rPr>
          <t>Percentual fixo:
Lei 8.212/91, Art. 22, I</t>
        </r>
      </text>
    </comment>
    <comment ref="G65" authorId="0" shapeId="0" xr:uid="{E9A21EA0-C474-485E-8D71-203650A6CCAD}">
      <text>
        <r>
          <rPr>
            <sz val="9"/>
            <color indexed="81"/>
            <rFont val="Segoe UI"/>
            <family val="2"/>
          </rPr>
          <t>Percentual fixo:
- C.F./88, Art. 212, §5º
- Decreto 6.003/2006, Art. 1º, §1º</t>
        </r>
      </text>
    </comment>
    <comment ref="E66" authorId="0" shapeId="0" xr:uid="{B95FC6F7-05FD-4F74-9702-565AAEF960C7}">
      <text>
        <r>
          <rPr>
            <sz val="9"/>
            <color indexed="81"/>
            <rFont val="Segoe UI"/>
            <family val="2"/>
          </rPr>
          <t>Riscos Ambientais do Trabalho:
1%, 2% ou 3%
Lei 8.212/91, Art. 22, II</t>
        </r>
      </text>
    </comment>
    <comment ref="F66" authorId="0" shapeId="0" xr:uid="{D3168714-F44F-4C8E-A836-1D2C93889557}">
      <text>
        <r>
          <rPr>
            <sz val="9"/>
            <color indexed="81"/>
            <rFont val="Segoe UI"/>
            <family val="2"/>
          </rPr>
          <t>Fator Acidentário de Prevenção:
0,50 a 2
Decreto 6.957/09, Art. 1º, §1º</t>
        </r>
      </text>
    </comment>
    <comment ref="G68" authorId="0" shapeId="0" xr:uid="{D148E31D-B33C-432D-83AD-215DD0ED07D1}">
      <text>
        <r>
          <rPr>
            <sz val="9"/>
            <color indexed="81"/>
            <rFont val="Segoe UI"/>
            <family val="2"/>
          </rPr>
          <t>Percentual fixo:
- Lei 8.036/90, Art. 30</t>
        </r>
      </text>
    </comment>
    <comment ref="G69" authorId="0" shapeId="0" xr:uid="{E350103B-79AD-4CE8-87F5-51A28A7CFFD7}">
      <text>
        <r>
          <rPr>
            <sz val="9"/>
            <color indexed="81"/>
            <rFont val="Segoe UI"/>
            <family val="2"/>
          </rPr>
          <t>Percentual fixo:
- Decreto-Lei 6.246/44, Art. 1º
- Decreto-Lei 8.621/46, Art. 4º</t>
        </r>
      </text>
    </comment>
    <comment ref="G70" authorId="0" shapeId="0" xr:uid="{C28C6931-7AA3-496C-9DB4-3E44FC2DA739}">
      <text>
        <r>
          <rPr>
            <sz val="9"/>
            <color indexed="81"/>
            <rFont val="Segoe UI"/>
            <family val="2"/>
          </rPr>
          <t>Percentual fixo:
- Lei 8.029/90, alterada pela Lei 8.154/90</t>
        </r>
      </text>
    </comment>
    <comment ref="G71" authorId="0" shapeId="0" xr:uid="{67D15D70-12AE-4C67-A2AA-6C0C2F149902}">
      <text>
        <r>
          <rPr>
            <sz val="9"/>
            <color indexed="81"/>
            <rFont val="Segoe UI"/>
            <family val="2"/>
          </rPr>
          <t>Percentual fixo:
- Decreto-Lei 1.146/70, Art. 1º, inciso I</t>
        </r>
      </text>
    </comment>
    <comment ref="G72" authorId="0" shapeId="0" xr:uid="{6AF95C70-4D3D-4841-B64F-C5BDC31E76C0}">
      <text>
        <r>
          <rPr>
            <sz val="9"/>
            <color indexed="81"/>
            <rFont val="Segoe UI"/>
            <family val="2"/>
          </rPr>
          <t>Percentual fixo:
- Lei 8.036/90, Art. 15</t>
        </r>
      </text>
    </comment>
    <comment ref="B75" authorId="0" shapeId="0" xr:uid="{F00519CE-B21E-4AC8-B30C-9337E0D473D1}">
      <text>
        <r>
          <rPr>
            <sz val="9"/>
            <color indexed="81"/>
            <rFont val="Segoe UI"/>
            <family val="2"/>
          </rPr>
          <t>Nota 1: O valor informado deverá ser o custo real do benefício (descontado o valor eventualmente pago pelo empregado).
Nota 2: Observar a previsão dos benefícios contidos em Acordos, Convenções e Dissídios Coletivos de Trabalho e atentar-se ao disposto no art. 6º da IN 05, de 25/05/2017.</t>
        </r>
      </text>
    </comment>
    <comment ref="C76" authorId="1" shapeId="0" xr:uid="{CFD1C660-0028-4D01-A8C2-6529AE6151CC}">
      <text>
        <r>
          <rPr>
            <sz val="9"/>
            <color indexed="81"/>
            <rFont val="Segoe UI"/>
            <family val="2"/>
          </rPr>
          <t>*Considerada média de 22 dias úteis mensais</t>
        </r>
      </text>
    </comment>
    <comment ref="G77" authorId="2" shapeId="0" xr:uid="{52236B95-5647-4285-857B-D49046416607}">
      <text>
        <r>
          <rPr>
            <b/>
            <sz val="9"/>
            <color indexed="81"/>
            <rFont val="Segoe UI"/>
            <family val="2"/>
          </rPr>
          <t>https://www.semob.df.gov.br/precos-das-passagens/</t>
        </r>
        <r>
          <rPr>
            <sz val="9"/>
            <color indexed="81"/>
            <rFont val="Segoe UI"/>
            <family val="2"/>
          </rPr>
          <t xml:space="preserve">
</t>
        </r>
      </text>
    </comment>
    <comment ref="C98" authorId="1" shapeId="0" xr:uid="{11E280F0-E5D9-4D81-BEA8-4D8514E34F5D}">
      <text>
        <r>
          <rPr>
            <sz val="9"/>
            <color indexed="81"/>
            <rFont val="Segoe UI"/>
            <family val="2"/>
          </rPr>
          <t>O pagamento relativo à rubrica de benefícios dependerá de como a Convenção Coletiva de Trabalho aborda o assunto. Se pagamento por dia trabalhado, não deve constar esses valores na memória de cálculo.
(Remuneração +13º salário + Férias e Adicional de férias + FGTS + Benefícios - Vale Transporte) ÷ 12 meses</t>
        </r>
      </text>
    </comment>
    <comment ref="F99" authorId="1" shapeId="0" xr:uid="{BE57BDC2-40E6-4212-917D-F1E14DAD89B7}">
      <text>
        <r>
          <rPr>
            <sz val="9"/>
            <color indexed="81"/>
            <rFont val="Segoe UI"/>
            <family val="2"/>
          </rPr>
          <t>Percentual fixo</t>
        </r>
      </text>
    </comment>
    <comment ref="G100" authorId="1" shapeId="0" xr:uid="{6558AEA9-7EF6-429A-9DD1-EBF542FA7587}">
      <text>
        <r>
          <rPr>
            <sz val="9"/>
            <color indexed="81"/>
            <rFont val="Segoe UI"/>
            <family val="2"/>
          </rPr>
          <t>Percentual variável, desde que maior que 100%</t>
        </r>
      </text>
    </comment>
    <comment ref="F101" authorId="1" shapeId="0" xr:uid="{206D0EBF-EC6B-4121-94BB-6DF3AF2C3BE4}">
      <text>
        <r>
          <rPr>
            <sz val="9"/>
            <color indexed="81"/>
            <rFont val="Segoe UI"/>
            <family val="2"/>
          </rPr>
          <t>Percentual fixo</t>
        </r>
      </text>
    </comment>
    <comment ref="C102" authorId="1" shapeId="0" xr:uid="{5A3B5130-5F06-4ECF-B061-D6AB34FBB621}">
      <text>
        <r>
          <rPr>
            <sz val="9"/>
            <color indexed="81"/>
            <rFont val="Segoe UI"/>
            <family val="2"/>
          </rPr>
          <t>(Remuneração +13º salário + Férias e Adicional de férias + FGTS + Benefícios) ÷ 12 meses</t>
        </r>
      </text>
    </comment>
    <comment ref="F102" authorId="1" shapeId="0" xr:uid="{55DFF3D6-031D-4050-86CD-13F6AD50DCBC}">
      <text>
        <r>
          <rPr>
            <sz val="9"/>
            <color indexed="81"/>
            <rFont val="Segoe UI"/>
            <family val="2"/>
          </rPr>
          <t>Valor fixo</t>
        </r>
      </text>
    </comment>
    <comment ref="G102" authorId="1" shapeId="0" xr:uid="{8584FDDB-18C1-4820-9DB8-4C4BFC4C65C2}">
      <text>
        <r>
          <rPr>
            <sz val="9"/>
            <color indexed="81"/>
            <rFont val="Segoe UI"/>
            <family val="2"/>
          </rPr>
          <t>Lei nº 12.506, de 2011.
“Art. 1º O aviso prévio, de que trata o Capítulo VI do Título IV da Consolidação das Leis do Trabalho - CLT, aprovada pelo Decreto-Lei nº 5.452, de 1º de maio de 1943, será concedido na proporção de 30 (trinta) dias aos empregados que contem até 1 (um) ano de serviço na mesma empresa.
Parágrafo único. Ao aviso prévio previsto neste artigo serão acrescidos 3 (três) dias por ano de serviço prestado na mesma empresa, até o máximo de 60 (sessenta) dias, perfazendo um total de até 90 (noventa) dias.”</t>
        </r>
      </text>
    </comment>
    <comment ref="B106" authorId="0" shapeId="0" xr:uid="{CB704320-EC6C-4498-AB19-A6347E308A13}">
      <text>
        <r>
          <rPr>
            <sz val="9"/>
            <color indexed="81"/>
            <rFont val="Segoe UI"/>
            <family val="2"/>
          </rPr>
          <t>Nota 1: Os itens que contemplam o módulo 4 se referem ao custo dos dias trabalhados pelo repositor/substituto, quando o empregado alocado na prestação de serviço estiver ausente, conforme as previsões estabelecidas na legislação.</t>
        </r>
      </text>
    </comment>
    <comment ref="G108" authorId="0" shapeId="0" xr:uid="{4224D8A2-EE6F-46B4-8E19-0C6B91B764FB}">
      <text>
        <r>
          <rPr>
            <sz val="9"/>
            <color indexed="81"/>
            <rFont val="Segoe UI"/>
            <family val="2"/>
          </rPr>
          <t xml:space="preserve">Estimativa de dias:
Férias – 30 dias/ano
Ausências Legais – 2,96 faltas/ano
Licença Paternidade – 0,075 (5 dias/ano * 1,5% incidência)
Ausência por Acidente de Trabalho – 1,2 (15 dia/ano * 8% incidência)
Afastamento Maternidade – 2,4 (4 meses/ano * 2% incidência)
Outras Ausências - 1 falta/ano
Total de 38 dias (aproximadamente) de ausência ao ano.
</t>
        </r>
      </text>
    </comment>
    <comment ref="G109" authorId="1" shapeId="0" xr:uid="{C0A8E84D-B3A7-4BF8-A9D0-05116381842B}">
      <text>
        <r>
          <rPr>
            <sz val="9"/>
            <color indexed="81"/>
            <rFont val="Segoe UI"/>
            <family val="2"/>
          </rPr>
          <t xml:space="preserve">Quantidade </t>
        </r>
        <r>
          <rPr>
            <b/>
            <sz val="9"/>
            <color indexed="81"/>
            <rFont val="Segoe UI"/>
            <family val="2"/>
          </rPr>
          <t>fixa</t>
        </r>
        <r>
          <rPr>
            <sz val="9"/>
            <color indexed="81"/>
            <rFont val="Segoe UI"/>
            <family val="2"/>
          </rPr>
          <t xml:space="preserve"> de dias = 30</t>
        </r>
      </text>
    </comment>
    <comment ref="G110" authorId="0" shapeId="0" xr:uid="{F0EC2E41-F3AA-49C3-952D-D9CE1D80E8DD}">
      <text>
        <r>
          <rPr>
            <sz val="9"/>
            <color indexed="81"/>
            <rFont val="Segoe UI"/>
            <family val="2"/>
          </rPr>
          <t>Necessidade da empresa, de acordo com as probabilidades consignadas em sua proposta, de um repositor durante o ano (em dias).</t>
        </r>
      </text>
    </comment>
    <comment ref="C111" authorId="1" shapeId="0" xr:uid="{93A62942-6B9A-4339-A0AB-F09FE9E3C718}">
      <text>
        <r>
          <rPr>
            <sz val="9"/>
            <color indexed="81"/>
            <rFont val="Segoe UI"/>
            <family val="2"/>
          </rPr>
          <t>(Módulo 1 + Módulo 2 + Módulo 3) ÷ 30 dias</t>
        </r>
      </text>
    </comment>
    <comment ref="G115" authorId="0" shapeId="0" xr:uid="{BC3F9FEF-083B-473A-B069-43B54B5A8229}">
      <text>
        <r>
          <rPr>
            <sz val="9"/>
            <color indexed="81"/>
            <rFont val="Segoe UI"/>
            <family val="2"/>
          </rPr>
          <t xml:space="preserve">Dias necessários para substituição.
</t>
        </r>
      </text>
    </comment>
    <comment ref="B126" authorId="0" shapeId="0" xr:uid="{371632FD-C73B-4EE3-8051-BB954E2A4914}">
      <text>
        <r>
          <rPr>
            <sz val="9"/>
            <color indexed="81"/>
            <rFont val="Segoe UI"/>
            <family val="2"/>
          </rPr>
          <t>Nota: Valores mensais por posto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michelly</author>
    <author>Felipe Mazza Mascarenhas</author>
  </authors>
  <commentList>
    <comment ref="B41" authorId="0" shapeId="0" xr:uid="{D81AF544-FF18-483B-A088-CC6A6C619A07}">
      <text>
        <r>
          <rPr>
            <sz val="9"/>
            <color indexed="81"/>
            <rFont val="Segoe UI"/>
            <family val="2"/>
          </rPr>
          <t xml:space="preserve">Nota 1: O Módulo 1 refere-se ao valor mensal devido ao empregado pela prestação do serviço no período de 12 meses.
</t>
        </r>
      </text>
    </comment>
    <comment ref="D45" authorId="0" shapeId="0" xr:uid="{97A6CB77-2BB4-4797-89F3-CBE94DD83B26}">
      <text>
        <r>
          <rPr>
            <sz val="9"/>
            <color indexed="81"/>
            <rFont val="Segoe UI"/>
            <family val="2"/>
          </rPr>
          <t>Grau mínimo 10%, grau médio 20% e grau máximo 40%.</t>
        </r>
      </text>
    </comment>
    <comment ref="D48" authorId="0" shapeId="0" xr:uid="{B2C4DE05-656A-4D14-8A3E-4267A9F24AD1}">
      <text>
        <r>
          <rPr>
            <sz val="9"/>
            <color indexed="81"/>
            <rFont val="Segoe UI"/>
            <family val="2"/>
          </rPr>
          <t>Considerando 220h mensais</t>
        </r>
        <r>
          <rPr>
            <b/>
            <sz val="9"/>
            <color indexed="81"/>
            <rFont val="Segoe UI"/>
            <family val="2"/>
          </rPr>
          <t>.</t>
        </r>
      </text>
    </comment>
    <comment ref="B56" authorId="0" shapeId="0" xr:uid="{210C07B6-5908-4784-AFCB-762F36EAF01F}">
      <text>
        <r>
          <rPr>
            <sz val="9"/>
            <color indexed="81"/>
            <rFont val="Segoe UI"/>
            <family val="2"/>
          </rPr>
          <t>Nota 1: Como a planilha de custos e formação de preços é calculada mensalmente, provisiona-se proporcionalmente 1/12 (um doze avos) dos valores referentes a gratificação natalina e adicional de férias.
Nota 2: O adicional de férias contido no Submódulo 2.1 corresponde a 1/3 (um terço) da remuneração que por sua vez é divido por 12 (doze) conforme Nota 1 acima.</t>
        </r>
      </text>
    </comment>
    <comment ref="G58" authorId="1" shapeId="0" xr:uid="{5E7BD025-ECB5-4833-8A99-071388332961}">
      <text>
        <r>
          <rPr>
            <sz val="9"/>
            <color indexed="81"/>
            <rFont val="Segoe UI"/>
            <family val="2"/>
          </rPr>
          <t>Tot.1 ÷ 12 meses</t>
        </r>
      </text>
    </comment>
    <comment ref="G59" authorId="1" shapeId="0" xr:uid="{5F53C26C-FBBF-46BA-ABE8-5D0028A1254A}">
      <text>
        <r>
          <rPr>
            <sz val="9"/>
            <color indexed="81"/>
            <rFont val="Segoe UI"/>
            <family val="2"/>
          </rPr>
          <t>(Tot.1 ÷ 12 meses) + [(Tot.1 ÷ 3) ÷ 12 meses]</t>
        </r>
      </text>
    </comment>
    <comment ref="B62" authorId="0" shapeId="0" xr:uid="{FF730C23-BC30-47DB-8572-37F320AD6854}">
      <text>
        <r>
          <rPr>
            <sz val="9"/>
            <color indexed="81"/>
            <rFont val="Segoe UI"/>
            <family val="2"/>
          </rPr>
          <t xml:space="preserve">Nota 1: Os percentuais dos encargos previdenciários, do FGTS e demais contribuições são aqueles estabelecidos pela legislação vigente.
Nota 2: O SAT a depender do grau de risco do serviço irá variar entre 1%, para risco leve, de 2%, para risco médio, e de 3% de risco grave.
Nota 3: Esses percentuais incidem sobre o Módulo 1 e o Submódulo 2.1.
</t>
        </r>
      </text>
    </comment>
    <comment ref="G64" authorId="0" shapeId="0" xr:uid="{0CCC86E4-8374-43C4-AE44-F253B474829D}">
      <text>
        <r>
          <rPr>
            <sz val="9"/>
            <color indexed="81"/>
            <rFont val="Segoe UI"/>
            <family val="2"/>
          </rPr>
          <t>Percentual fixo:
Lei 8.212/91, Art. 22, I</t>
        </r>
      </text>
    </comment>
    <comment ref="G65" authorId="0" shapeId="0" xr:uid="{77CAF3B9-2334-4DF5-9085-E58623CB41C0}">
      <text>
        <r>
          <rPr>
            <sz val="9"/>
            <color indexed="81"/>
            <rFont val="Segoe UI"/>
            <family val="2"/>
          </rPr>
          <t>Percentual fixo:
- C.F./88, Art. 212, §5º
- Decreto 6.003/2006, Art. 1º, §1º</t>
        </r>
      </text>
    </comment>
    <comment ref="E66" authorId="0" shapeId="0" xr:uid="{E652D824-49FD-4E17-BD21-00C444A3246B}">
      <text>
        <r>
          <rPr>
            <sz val="9"/>
            <color indexed="81"/>
            <rFont val="Segoe UI"/>
            <family val="2"/>
          </rPr>
          <t>Riscos Ambientais do Trabalho:
1%, 2% ou 3%
Lei 8.212/91, Art. 22, II</t>
        </r>
      </text>
    </comment>
    <comment ref="F66" authorId="0" shapeId="0" xr:uid="{CA70031E-D9C3-4D6B-8756-18C6C23BC3D6}">
      <text>
        <r>
          <rPr>
            <sz val="9"/>
            <color indexed="81"/>
            <rFont val="Segoe UI"/>
            <family val="2"/>
          </rPr>
          <t>Fator Acidentário de Prevenção:
0,50 a 2
Decreto 6.957/09, Art. 1º, §1º</t>
        </r>
      </text>
    </comment>
    <comment ref="G68" authorId="0" shapeId="0" xr:uid="{9B2D97B2-E732-413D-B20E-41997941DC7B}">
      <text>
        <r>
          <rPr>
            <sz val="9"/>
            <color indexed="81"/>
            <rFont val="Segoe UI"/>
            <family val="2"/>
          </rPr>
          <t>Percentual fixo:
- Lei 8.036/90, Art. 30</t>
        </r>
      </text>
    </comment>
    <comment ref="G69" authorId="0" shapeId="0" xr:uid="{75A50874-E809-4B18-B715-0078B98EF339}">
      <text>
        <r>
          <rPr>
            <sz val="9"/>
            <color indexed="81"/>
            <rFont val="Segoe UI"/>
            <family val="2"/>
          </rPr>
          <t>Percentual fixo:
- Decreto-Lei 6.246/44, Art. 1º
- Decreto-Lei 8.621/46, Art. 4º</t>
        </r>
      </text>
    </comment>
    <comment ref="G70" authorId="0" shapeId="0" xr:uid="{3EB6C246-35FD-4095-83D0-B1EB438F144E}">
      <text>
        <r>
          <rPr>
            <sz val="9"/>
            <color indexed="81"/>
            <rFont val="Segoe UI"/>
            <family val="2"/>
          </rPr>
          <t>Percentual fixo:
- Lei 8.029/90, alterada pela Lei 8.154/90</t>
        </r>
      </text>
    </comment>
    <comment ref="G71" authorId="0" shapeId="0" xr:uid="{1F72A60A-2619-47FB-92A6-FCED074E1F7C}">
      <text>
        <r>
          <rPr>
            <sz val="9"/>
            <color indexed="81"/>
            <rFont val="Segoe UI"/>
            <family val="2"/>
          </rPr>
          <t>Percentual fixo:
- Decreto-Lei 1.146/70, Art. 1º, inciso I</t>
        </r>
      </text>
    </comment>
    <comment ref="G72" authorId="0" shapeId="0" xr:uid="{633B8BF9-D2C9-4F81-9A92-73105FDDC022}">
      <text>
        <r>
          <rPr>
            <sz val="9"/>
            <color indexed="81"/>
            <rFont val="Segoe UI"/>
            <family val="2"/>
          </rPr>
          <t>Percentual fixo:
- Lei 8.036/90, Art. 15</t>
        </r>
      </text>
    </comment>
    <comment ref="B75" authorId="0" shapeId="0" xr:uid="{8DA80561-D1DC-4BF8-BCA5-A470857AB870}">
      <text>
        <r>
          <rPr>
            <sz val="9"/>
            <color indexed="81"/>
            <rFont val="Segoe UI"/>
            <family val="2"/>
          </rPr>
          <t>Nota 1: O valor informado deverá ser o custo real do benefício (descontado o valor eventualmente pago pelo empregado).
Nota 2: Observar a previsão dos benefícios contidos em Acordos, Convenções e Dissídios Coletivos de Trabalho e atentar-se ao disposto no art. 6º da IN 05, de 25/05/2017.</t>
        </r>
      </text>
    </comment>
    <comment ref="C76" authorId="1" shapeId="0" xr:uid="{B457A2E9-8D64-4D8C-AE4F-1D56363AB8EA}">
      <text>
        <r>
          <rPr>
            <sz val="9"/>
            <color indexed="81"/>
            <rFont val="Segoe UI"/>
            <family val="2"/>
          </rPr>
          <t>*Considerada média de 22 dias úteis mensais</t>
        </r>
      </text>
    </comment>
    <comment ref="C98" authorId="1" shapeId="0" xr:uid="{0FAD2CF6-3940-442D-ADD2-56D1F04A67A8}">
      <text>
        <r>
          <rPr>
            <sz val="9"/>
            <color indexed="81"/>
            <rFont val="Segoe UI"/>
            <family val="2"/>
          </rPr>
          <t>O pagamento relativo à rubrica de benefícios dependerá de como a Convenção Coletiva de Trabalho aborda o assunto. Se pagamento por dia trabalhado, não deve constar esses valores na memória de cálculo.
(Remuneração +13º salário + Férias e Adicional de férias + FGTS + Benefícios - Vale Transporte) ÷ 12 meses</t>
        </r>
      </text>
    </comment>
    <comment ref="F99" authorId="1" shapeId="0" xr:uid="{B21615BA-D167-4DB9-B5F2-43705943A193}">
      <text>
        <r>
          <rPr>
            <sz val="9"/>
            <color indexed="81"/>
            <rFont val="Segoe UI"/>
            <family val="2"/>
          </rPr>
          <t>Percentual fixo</t>
        </r>
      </text>
    </comment>
    <comment ref="G100" authorId="1" shapeId="0" xr:uid="{05B996F0-9420-4EAA-8783-65891EAA530D}">
      <text>
        <r>
          <rPr>
            <sz val="9"/>
            <color indexed="81"/>
            <rFont val="Segoe UI"/>
            <family val="2"/>
          </rPr>
          <t>Percentual variável, desde que maior que 100%</t>
        </r>
      </text>
    </comment>
    <comment ref="F101" authorId="1" shapeId="0" xr:uid="{77CCA1C2-94FA-46C9-97F8-F90653D8D979}">
      <text>
        <r>
          <rPr>
            <sz val="9"/>
            <color indexed="81"/>
            <rFont val="Segoe UI"/>
            <family val="2"/>
          </rPr>
          <t>Percentual fixo</t>
        </r>
      </text>
    </comment>
    <comment ref="C102" authorId="1" shapeId="0" xr:uid="{29839997-AD75-4E95-B16C-34250A4231B6}">
      <text>
        <r>
          <rPr>
            <sz val="9"/>
            <color indexed="81"/>
            <rFont val="Segoe UI"/>
            <family val="2"/>
          </rPr>
          <t>(Remuneração +13º salário + Férias e Adicional de férias + FGTS + Benefícios) ÷ 12 meses</t>
        </r>
      </text>
    </comment>
    <comment ref="F102" authorId="1" shapeId="0" xr:uid="{073E5B1B-89F3-4197-BF09-0A2484F330DF}">
      <text>
        <r>
          <rPr>
            <sz val="9"/>
            <color indexed="81"/>
            <rFont val="Segoe UI"/>
            <family val="2"/>
          </rPr>
          <t>Valor fixo</t>
        </r>
      </text>
    </comment>
    <comment ref="G102" authorId="1" shapeId="0" xr:uid="{C75AD091-DD25-4928-B1E0-457A7F313BCF}">
      <text>
        <r>
          <rPr>
            <sz val="9"/>
            <color indexed="81"/>
            <rFont val="Segoe UI"/>
            <family val="2"/>
          </rPr>
          <t>Lei nº 12.506, de 2011.
“Art. 1º O aviso prévio, de que trata o Capítulo VI do Título IV da Consolidação das Leis do Trabalho - CLT, aprovada pelo Decreto-Lei nº 5.452, de 1º de maio de 1943, será concedido na proporção de 30 (trinta) dias aos empregados que contem até 1 (um) ano de serviço na mesma empresa.
Parágrafo único. Ao aviso prévio previsto neste artigo serão acrescidos 3 (três) dias por ano de serviço prestado na mesma empresa, até o máximo de 60 (sessenta) dias, perfazendo um total de até 90 (noventa) dias.”</t>
        </r>
      </text>
    </comment>
    <comment ref="B106" authorId="0" shapeId="0" xr:uid="{402DE641-5C04-41E3-AE35-C877E1D44CDC}">
      <text>
        <r>
          <rPr>
            <sz val="9"/>
            <color indexed="81"/>
            <rFont val="Segoe UI"/>
            <family val="2"/>
          </rPr>
          <t>Nota 1: Os itens que contemplam o módulo 4 se referem ao custo dos dias trabalhados pelo repositor/substituto, quando o empregado alocado na prestação de serviço estiver ausente, conforme as previsões estabelecidas na legislação.</t>
        </r>
      </text>
    </comment>
    <comment ref="G108" authorId="0" shapeId="0" xr:uid="{2C53D536-4A81-4776-882B-00C913B88354}">
      <text>
        <r>
          <rPr>
            <sz val="9"/>
            <color indexed="81"/>
            <rFont val="Segoe UI"/>
            <family val="2"/>
          </rPr>
          <t xml:space="preserve">Estimativa de dias:
Férias – 30 dias/ano
Ausências Legais – 2,96 faltas/ano
Licença Paternidade – 0,075 (5 dias/ano * 1,5% incidência)
Ausência por Acidente de Trabalho – 1,2 (15 dia/ano * 8% incidência)
Afastamento Maternidade – 2,4 (4 meses/ano * 2% incidência)
Outras Ausências - 1 falta/ano
Total de 38 dias (aproximadamente) de ausência ao ano.
</t>
        </r>
      </text>
    </comment>
    <comment ref="G109" authorId="1" shapeId="0" xr:uid="{60AFFC43-9710-466C-B87C-0516C940D447}">
      <text>
        <r>
          <rPr>
            <sz val="9"/>
            <color indexed="81"/>
            <rFont val="Segoe UI"/>
            <family val="2"/>
          </rPr>
          <t xml:space="preserve">Quantidade </t>
        </r>
        <r>
          <rPr>
            <b/>
            <sz val="9"/>
            <color indexed="81"/>
            <rFont val="Segoe UI"/>
            <family val="2"/>
          </rPr>
          <t>fixa</t>
        </r>
        <r>
          <rPr>
            <sz val="9"/>
            <color indexed="81"/>
            <rFont val="Segoe UI"/>
            <family val="2"/>
          </rPr>
          <t xml:space="preserve"> de dias = 30</t>
        </r>
      </text>
    </comment>
    <comment ref="G110" authorId="0" shapeId="0" xr:uid="{04AEB0FF-99A2-4D52-9156-0C3F44CB6C54}">
      <text>
        <r>
          <rPr>
            <sz val="9"/>
            <color indexed="81"/>
            <rFont val="Segoe UI"/>
            <family val="2"/>
          </rPr>
          <t>Necessidade da empresa, de acordo com as probabilidades consignadas em sua proposta, de um repositor durante o ano (em dias).</t>
        </r>
      </text>
    </comment>
    <comment ref="C111" authorId="1" shapeId="0" xr:uid="{9E02869C-6C04-4386-8089-F81900167D11}">
      <text>
        <r>
          <rPr>
            <sz val="9"/>
            <color indexed="81"/>
            <rFont val="Segoe UI"/>
            <family val="2"/>
          </rPr>
          <t>(Módulo 1 + Módulo 2 + Módulo 3) ÷ 30 dias</t>
        </r>
      </text>
    </comment>
    <comment ref="G115" authorId="0" shapeId="0" xr:uid="{3E89A2D2-F6A9-4E58-A355-187A2F9B4742}">
      <text>
        <r>
          <rPr>
            <sz val="9"/>
            <color indexed="81"/>
            <rFont val="Segoe UI"/>
            <family val="2"/>
          </rPr>
          <t xml:space="preserve">Dias necessários para substituição.
</t>
        </r>
      </text>
    </comment>
    <comment ref="B126" authorId="0" shapeId="0" xr:uid="{CF5EED74-16E1-4EF2-9DC5-7E0D21812583}">
      <text>
        <r>
          <rPr>
            <sz val="9"/>
            <color indexed="81"/>
            <rFont val="Segoe UI"/>
            <family val="2"/>
          </rPr>
          <t>Nota: Valores mensais por posto</t>
        </r>
      </text>
    </comment>
  </commentList>
</comments>
</file>

<file path=xl/sharedStrings.xml><?xml version="1.0" encoding="utf-8"?>
<sst xmlns="http://schemas.openxmlformats.org/spreadsheetml/2006/main" count="1545" uniqueCount="335">
  <si>
    <r>
      <t xml:space="preserve">Ref.: Pregão eletrônico nº </t>
    </r>
    <r>
      <rPr>
        <b/>
        <sz val="9"/>
        <color rgb="FFFF0000"/>
        <rFont val="Tahoma"/>
        <family val="2"/>
      </rPr>
      <t>XX</t>
    </r>
    <r>
      <rPr>
        <b/>
        <sz val="9"/>
        <rFont val="Tahoma"/>
        <family val="2"/>
      </rPr>
      <t>/202</t>
    </r>
    <r>
      <rPr>
        <b/>
        <sz val="9"/>
        <color rgb="FFFF0000"/>
        <rFont val="Tahoma"/>
        <family val="2"/>
      </rPr>
      <t>X</t>
    </r>
  </si>
  <si>
    <r>
      <t>OBJETO:</t>
    </r>
    <r>
      <rPr>
        <sz val="9"/>
        <rFont val="Tahoma"/>
        <family val="2"/>
      </rPr>
      <t xml:space="preserve"> Serviços técnicos especializados em Tecnologia da Informação e Comunicação (TIC), abrangendo atendimento e suporte a usuários, gestão de serviços de TI e apoio à governança e à melhoria contínua dos serviços da Finep através de Central de Serviços (Service Desk), sem dedicação exclusiva de mão de obra</t>
    </r>
  </si>
  <si>
    <t>Grupo</t>
  </si>
  <si>
    <t>Item</t>
  </si>
  <si>
    <t>Descrição do Item e Modalidade</t>
  </si>
  <si>
    <t>Localidade</t>
  </si>
  <si>
    <t>Quantidade e Perfil profissional</t>
  </si>
  <si>
    <t xml:space="preserve">Quant. de meses </t>
  </si>
  <si>
    <t>Valor Mensal (R$)</t>
  </si>
  <si>
    <t>Valor Total (R$)</t>
  </si>
  <si>
    <t>ITEM ST – ATENDIMENTO DE SUPORTE DE TI
REMOTO, para os escritórios regionais Norte, Nordeste e Sul e REMOTO E PRESENCIAL, na sede no Rio de Janeiro, escritório regional de São Paulo e escritório regional de Brasília</t>
  </si>
  <si>
    <t>Rio de Janeiro</t>
  </si>
  <si>
    <t>02 Técnicos de suporte ao usuário de tecnologia da informação Júnior</t>
  </si>
  <si>
    <t>03 Técnicos de suporte ao usuário de tecnologia da informação Pleno</t>
  </si>
  <si>
    <t>São Paulo</t>
  </si>
  <si>
    <t>01 Técnico de suporte ao usuário de tecnologia da informação Pleno</t>
  </si>
  <si>
    <t>Brasília</t>
  </si>
  <si>
    <t>ITEM GS -GERENCIAMENTO DE SERVIÇOS DE TI
REMOTO, para todos os escritórios da Finep
PRESENCIAL, exclusivamente na sede no Rio de Janeiro</t>
  </si>
  <si>
    <t>01 Gerente de suporte Técnico de TI</t>
  </si>
  <si>
    <t>Valor Global</t>
  </si>
  <si>
    <t>PLANILHA DE CUSTOS E FORMAÇÃO DE PREÇOS</t>
  </si>
  <si>
    <t>QUADRO RESUMO</t>
  </si>
  <si>
    <t>Cargo</t>
  </si>
  <si>
    <t>Quantidade</t>
  </si>
  <si>
    <t>Meses</t>
  </si>
  <si>
    <t>Valor Unitário</t>
  </si>
  <si>
    <t>Valor Mensal</t>
  </si>
  <si>
    <t>Valor Total</t>
  </si>
  <si>
    <t>TECSUP-01 (Rio de Janeiro)</t>
  </si>
  <si>
    <t>TECSUP-02 (Rio de Janeiro)</t>
  </si>
  <si>
    <t>TECSUP-02 (São Paulo)</t>
  </si>
  <si>
    <t>TECSUP-02 (Brasília)</t>
  </si>
  <si>
    <t>GERSUP (Rio de Janeiro)</t>
  </si>
  <si>
    <t>Total</t>
  </si>
  <si>
    <t>VALOR TOTAL</t>
  </si>
  <si>
    <t>O proponente declara:
a) que as informações prestadas são verídicas, assumindo a responsabilidade integral por eventuais erros no enquadramento sindical ou fraude pela utilização de instrumento coletivo incompatível com o enquadramento sindical declarado, e por qualquer ônus decorrente de reenquadramentos que ocorram durante a vigência contratual, sujeitando-se às sanções previstas na Lei 13.303/16.
b) que a proposta econômica compreende a integralidade dos custos para atendimento dos direitos trabalhistas assegurados na Constituição Federal, nas leis trabalhistas, nas normas infralegais, nas convenções coletivas de trabalho e nos termos de ajustamento de conduta vigentes na data de entrega da proposta e que foi elaborada de forma independente.</t>
  </si>
  <si>
    <t>Seguem em anexo:
a) cópia da carta ou do registro sindical do sindicato ao qual este Licitante declara ser enquadrado.
b) cópia do Acordo, Convenção Coletiva de Trabalho ou Dissídio Coletivo utilizado por este Licitante para a elaboração da planilha de custos e formação de preços que embasam o valor global ofertado. 
c) documento comprobatório do RAT.</t>
  </si>
  <si>
    <r>
      <t xml:space="preserve">Segue a indicação do enquadramento sindical do licitante, relacionando qual a atividade econômica preponderante e a justificativa para adoção do instrumento coletivo do trabalho em que se baseia a proposta: </t>
    </r>
    <r>
      <rPr>
        <sz val="9"/>
        <color rgb="FFFF0000"/>
        <rFont val="Tahoma"/>
        <family val="2"/>
      </rPr>
      <t>XXXX</t>
    </r>
  </si>
  <si>
    <r>
      <t>[Local]</t>
    </r>
    <r>
      <rPr>
        <sz val="9"/>
        <rFont val="Tahoma"/>
        <family val="2"/>
      </rPr>
      <t xml:space="preserve">, </t>
    </r>
    <r>
      <rPr>
        <sz val="9"/>
        <color rgb="FFFF0000"/>
        <rFont val="Tahoma"/>
        <family val="2"/>
      </rPr>
      <t>XX</t>
    </r>
    <r>
      <rPr>
        <sz val="9"/>
        <rFont val="Tahoma"/>
        <family val="2"/>
      </rPr>
      <t xml:space="preserve"> de </t>
    </r>
    <r>
      <rPr>
        <sz val="9"/>
        <color rgb="FFFF0000"/>
        <rFont val="Tahoma"/>
        <family val="2"/>
      </rPr>
      <t>XXXXXX</t>
    </r>
    <r>
      <rPr>
        <sz val="9"/>
        <rFont val="Tahoma"/>
        <family val="2"/>
      </rPr>
      <t xml:space="preserve"> de </t>
    </r>
    <r>
      <rPr>
        <sz val="9"/>
        <color rgb="FFFF0000"/>
        <rFont val="Tahoma"/>
        <family val="2"/>
      </rPr>
      <t>XXXX</t>
    </r>
    <r>
      <rPr>
        <sz val="9"/>
        <rFont val="Tahoma"/>
        <family val="2"/>
      </rPr>
      <t>.</t>
    </r>
  </si>
  <si>
    <t>________________________________________</t>
  </si>
  <si>
    <t>[Assinatura do Representante legal]</t>
  </si>
  <si>
    <t xml:space="preserve"> Nome: ___________________</t>
  </si>
  <si>
    <t xml:space="preserve"> Cargo: ___________________</t>
  </si>
  <si>
    <t>CPF: ____________________</t>
  </si>
  <si>
    <t>CNPJ</t>
  </si>
  <si>
    <t>GRUPO</t>
  </si>
  <si>
    <t>ITEM</t>
  </si>
  <si>
    <t>Descrição</t>
  </si>
  <si>
    <t>Memória de Cálculo / Justificativa</t>
  </si>
  <si>
    <t>Custos com software</t>
  </si>
  <si>
    <t>8 licenças Windows 11 Professional x R$ 1.619,81 cada, com renovação anual (vida útil 12 meses)</t>
  </si>
  <si>
    <t>Custos com recursos de computação</t>
  </si>
  <si>
    <t>Não se aplica pois se trata de virtualização, etc.</t>
  </si>
  <si>
    <t>Custos com equipamentos</t>
  </si>
  <si>
    <t>8 notebooks (R$ 694,64/mês), 8 headsets (R$ 56,92/mês), 4 Midia (HD) externa, de no mínimo, 1 TB (R$ 58,74/mês), 8 monitores de vídeo 24 polegadas (R$ 146,87  /mês), 1 switch de rede (R$ 83,14/mês), mobiliário padrão NR-17 8 posições (R$ 440,12/mês)</t>
  </si>
  <si>
    <t>Custos com serviços de informações</t>
  </si>
  <si>
    <t>Link de internet dedicado 300Mbps (R$ 1.683,00/mês) e Central telefônica cloud (R$ 332,83/mês)</t>
  </si>
  <si>
    <t>EPIs para 8 técnicos incluindo: óculos de proteção, máscaras, luvas antiestáticas, aventais descartáveis (substituição mensal), jogos de ferramentas (vida útil 12 meses) e produtos de higienização (álcool - reposição parcial a cada 1-2 meses)</t>
  </si>
  <si>
    <t>Subtotal Demais componentes de custo</t>
  </si>
  <si>
    <t>Componentes de Preço (não compreendidos na composição do Fator K)</t>
  </si>
  <si>
    <t>Elementos Comerciais (Fatores/Ajustes Comerciais)</t>
  </si>
  <si>
    <t>Cobertura Tributária</t>
  </si>
  <si>
    <t>Outros componentes (especificar)</t>
  </si>
  <si>
    <t>Subtotal componentes de preço</t>
  </si>
  <si>
    <t>Técnico de suporte ao usuário de tecnologia da informação Júnior (Rio de Janeiro)</t>
  </si>
  <si>
    <t>Técnico de suporte ao usuário de tecnologia da informação Pleno (Rio de Janeiro)</t>
  </si>
  <si>
    <t>Técnico de suporte ao usuário de tecnologia da informação Pleno (São Paulo)</t>
  </si>
  <si>
    <t>Técnico de suporte ao usuário de tecnologia da informação Pleno (Brasília)</t>
  </si>
  <si>
    <t>Preencher apenas as células em amarelo e substituir os caracteres em vermelho</t>
  </si>
  <si>
    <t>Nº PROCESSO</t>
  </si>
  <si>
    <t>FP-ADM-2025/01176</t>
  </si>
  <si>
    <t>LICITAÇÃO Nº</t>
  </si>
  <si>
    <r>
      <t xml:space="preserve">Pregão eletrônico nº </t>
    </r>
    <r>
      <rPr>
        <sz val="8"/>
        <color rgb="FFFF0000"/>
        <rFont val="Tahoma"/>
        <family val="2"/>
      </rPr>
      <t>XX</t>
    </r>
    <r>
      <rPr>
        <sz val="8"/>
        <rFont val="Tahoma"/>
        <family val="2"/>
      </rPr>
      <t>/202</t>
    </r>
    <r>
      <rPr>
        <sz val="8"/>
        <color rgb="FFFF0000"/>
        <rFont val="Tahoma"/>
        <family val="2"/>
      </rPr>
      <t>X</t>
    </r>
  </si>
  <si>
    <t>NOME DA EMPRESA</t>
  </si>
  <si>
    <t>Categoria Profissional (nome do cargo)</t>
  </si>
  <si>
    <t>Dados complementares para composição dos custos referentes ao profissional alocado</t>
  </si>
  <si>
    <t>Data da Apresentação da Proposta (dia/mês/ano)</t>
  </si>
  <si>
    <r>
      <rPr>
        <sz val="9"/>
        <color rgb="FFFF0000"/>
        <rFont val="Tahoma"/>
        <family val="2"/>
      </rPr>
      <t>DD</t>
    </r>
    <r>
      <rPr>
        <sz val="9"/>
        <color theme="1"/>
        <rFont val="Tahoma"/>
        <family val="2"/>
      </rPr>
      <t>/</t>
    </r>
    <r>
      <rPr>
        <sz val="9"/>
        <color rgb="FFFF0000"/>
        <rFont val="Tahoma"/>
        <family val="2"/>
      </rPr>
      <t>MM</t>
    </r>
    <r>
      <rPr>
        <sz val="9"/>
        <color theme="1"/>
        <rFont val="Tahoma"/>
        <family val="2"/>
      </rPr>
      <t>/</t>
    </r>
    <r>
      <rPr>
        <sz val="9"/>
        <color rgb="FFFF0000"/>
        <rFont val="Tahoma"/>
        <family val="2"/>
      </rPr>
      <t>AAAA</t>
    </r>
  </si>
  <si>
    <t>Município/UF</t>
  </si>
  <si>
    <t>Número de Meses de Execução do Contrato</t>
  </si>
  <si>
    <t>Regime Tributário da Empresa</t>
  </si>
  <si>
    <t>Tipo de Serviço</t>
  </si>
  <si>
    <t>Remuneração profissional (salário base)</t>
  </si>
  <si>
    <t xml:space="preserve">Classificação Brasileira de Ocupações (CBO) </t>
  </si>
  <si>
    <t>3172-10</t>
  </si>
  <si>
    <t xml:space="preserve">Salário Normativo da Categoria Profissional </t>
  </si>
  <si>
    <t>Data-Base da Categoria (dia/mês/ano)</t>
  </si>
  <si>
    <t xml:space="preserve">Ano do Acordo, Convenção ou Dissídio Coletivo: </t>
  </si>
  <si>
    <t>Indicação dos sindicatos, acordos coletivos ou convenções coletivas</t>
  </si>
  <si>
    <t>Número de registro no Ministério do Trabalho e Emprego (MTE)</t>
  </si>
  <si>
    <t>Contrato inicial</t>
  </si>
  <si>
    <t>Módulo 1 - COMPOSIÇÃO DA REMUNERAÇÃO</t>
  </si>
  <si>
    <t>Composição da Remuneração</t>
  </si>
  <si>
    <t>%</t>
  </si>
  <si>
    <t>Valor (R$)</t>
  </si>
  <si>
    <t>A</t>
  </si>
  <si>
    <t>Salário Base</t>
  </si>
  <si>
    <t>B</t>
  </si>
  <si>
    <t xml:space="preserve">Adicional Periculosidade </t>
  </si>
  <si>
    <t>1.A x 30%</t>
  </si>
  <si>
    <t>C</t>
  </si>
  <si>
    <t>Adicional Insalubridade</t>
  </si>
  <si>
    <r>
      <t xml:space="preserve">1.A x </t>
    </r>
    <r>
      <rPr>
        <sz val="8"/>
        <color rgb="FFFF0000"/>
        <rFont val="Tahoma"/>
        <family val="2"/>
      </rPr>
      <t>XX</t>
    </r>
    <r>
      <rPr>
        <sz val="8"/>
        <rFont val="Tahoma"/>
        <family val="2"/>
      </rPr>
      <t xml:space="preserve">% </t>
    </r>
    <r>
      <rPr>
        <sz val="8"/>
        <color rgb="FFFF0000"/>
        <rFont val="Tahoma"/>
        <family val="2"/>
      </rPr>
      <t>(10%, 20% ou 40%)</t>
    </r>
  </si>
  <si>
    <t>Sal. Mínimo</t>
  </si>
  <si>
    <t>D</t>
  </si>
  <si>
    <t>Adicional Noturno</t>
  </si>
  <si>
    <t>[(1.A + 1.B) x 20%]/220h x 8h x nº dias trabalhados mês</t>
  </si>
  <si>
    <t>E</t>
  </si>
  <si>
    <t>Adicional de Hora Noturna Reduzida</t>
  </si>
  <si>
    <t>excluir, se for o caso</t>
  </si>
  <si>
    <t>F</t>
  </si>
  <si>
    <t>Adicional de Hora Extra</t>
  </si>
  <si>
    <r>
      <t xml:space="preserve">{[(1.A + 1.B + 1.C) ÷ 220h] x </t>
    </r>
    <r>
      <rPr>
        <sz val="8"/>
        <color rgb="FFFF0000"/>
        <rFont val="Tahoma"/>
        <family val="2"/>
      </rPr>
      <t>XX</t>
    </r>
    <r>
      <rPr>
        <sz val="8"/>
        <rFont val="Tahoma"/>
        <family val="2"/>
      </rPr>
      <t xml:space="preserve"> h} x </t>
    </r>
    <r>
      <rPr>
        <sz val="8"/>
        <color rgb="FFFF0000"/>
        <rFont val="Tahoma"/>
        <family val="2"/>
      </rPr>
      <t>XX</t>
    </r>
    <r>
      <rPr>
        <sz val="8"/>
        <rFont val="Tahoma"/>
        <family val="2"/>
      </rPr>
      <t xml:space="preserve">% </t>
    </r>
    <r>
      <rPr>
        <sz val="8"/>
        <color rgb="FFFF0000"/>
        <rFont val="Tahoma"/>
        <family val="2"/>
      </rPr>
      <t>(50% ou 100%)</t>
    </r>
  </si>
  <si>
    <t>G</t>
  </si>
  <si>
    <t>Outros (especificar)</t>
  </si>
  <si>
    <t>Tot.1</t>
  </si>
  <si>
    <t>Memória de cálculo da hora extra</t>
  </si>
  <si>
    <t>Quant. h/mês</t>
  </si>
  <si>
    <t>Valor da hora extra</t>
  </si>
  <si>
    <t>Módulo 2 - ENCARGOS E BENEFÍCIOS ANUAIS, MENSAIS E DIÁRIOS</t>
  </si>
  <si>
    <t>Submódulo 2.1 - 13º Salário, Férias e Adicional de Férias</t>
  </si>
  <si>
    <t>2.1</t>
  </si>
  <si>
    <t>13º Salário, Férias e Adicional de Férias</t>
  </si>
  <si>
    <r>
      <t>13º (Décimo-terceiro) salário</t>
    </r>
    <r>
      <rPr>
        <sz val="9"/>
        <color indexed="10"/>
        <rFont val="Tahoma"/>
        <family val="2"/>
      </rPr>
      <t xml:space="preserve"> </t>
    </r>
  </si>
  <si>
    <t>Tot.1 x 8,33%</t>
  </si>
  <si>
    <t>Férias e Adicional de Férias</t>
  </si>
  <si>
    <t>Tot.1 x 11,11%</t>
  </si>
  <si>
    <t>Tot.2.1</t>
  </si>
  <si>
    <t>Submódulo 2.2 - Encargos Previdenciários (GPS), Fundo de Garantia por Tempo de Serviço (FGTS) e outras contribuições</t>
  </si>
  <si>
    <t>2.2</t>
  </si>
  <si>
    <t>GPS, FGTS e outras contribuições</t>
  </si>
  <si>
    <t xml:space="preserve">INSS </t>
  </si>
  <si>
    <t>(Tot.1 + Tot.2.1) x 20%</t>
  </si>
  <si>
    <t xml:space="preserve">Salário Educação </t>
  </si>
  <si>
    <t>(Tot.1 + Tot.2.1) x 2,5%</t>
  </si>
  <si>
    <t>SAT - GIIL/RAT</t>
  </si>
  <si>
    <t>(Tot.1 + Tot.2.1) x (RAT x FAP)</t>
  </si>
  <si>
    <t xml:space="preserve">RAT </t>
  </si>
  <si>
    <t xml:space="preserve">FAP </t>
  </si>
  <si>
    <t>SESC ou SESI</t>
  </si>
  <si>
    <t>(Tot.1 + Tot.2.1) x 1,5%</t>
  </si>
  <si>
    <t xml:space="preserve">SENAI - SENAC </t>
  </si>
  <si>
    <t>(Tot.1 + Tot.2.1) x 1%</t>
  </si>
  <si>
    <t xml:space="preserve">SEBRAE </t>
  </si>
  <si>
    <t>(Tot.1 + Tot.2.1) x 0,6%</t>
  </si>
  <si>
    <t xml:space="preserve">INCRA </t>
  </si>
  <si>
    <t>(Tot.1 + Tot.2.1) x 0,2%</t>
  </si>
  <si>
    <t>H</t>
  </si>
  <si>
    <t xml:space="preserve">FGTS </t>
  </si>
  <si>
    <t>(Tot.1 + Tot.2.1) x 8%</t>
  </si>
  <si>
    <t>Tot.2.2</t>
  </si>
  <si>
    <t>Submódulo 2.3 - Benefícios Mensais e Diários</t>
  </si>
  <si>
    <t>2.3</t>
  </si>
  <si>
    <t>Benefícios Mensais e Diários</t>
  </si>
  <si>
    <t xml:space="preserve">Transporte </t>
  </si>
  <si>
    <t>(VT diário x 22 d.u.) - (1.A x 6%)</t>
  </si>
  <si>
    <t>Valor unitário (passagem)</t>
  </si>
  <si>
    <t xml:space="preserve">Auxílio-Refeição/Alimentação  </t>
  </si>
  <si>
    <t>(VR/VA x 22 d.u.) - (Custo do empregado)</t>
  </si>
  <si>
    <t>Benefícios indiretos</t>
  </si>
  <si>
    <t>Auxílio Creche</t>
  </si>
  <si>
    <t>Auxílio Funeral</t>
  </si>
  <si>
    <t>Prêmio por assiduidade (provisão)</t>
  </si>
  <si>
    <t>Dia do trabalhador de informática (provisão)</t>
  </si>
  <si>
    <t>Tot.2.3</t>
  </si>
  <si>
    <t>Quadro-Resumo do Módulo 2 - Encargos e Benefícios anuais, mensais e diários</t>
  </si>
  <si>
    <t>Encargos e Benefícios Anuais, Mensais e Diários</t>
  </si>
  <si>
    <t>GPS, FGTS e Outras Contribuições</t>
  </si>
  <si>
    <t>Tot.2</t>
  </si>
  <si>
    <t>Módulo 3 - PROVISÃO PARA RESCISÃO</t>
  </si>
  <si>
    <t>Provisão para Rescisão</t>
  </si>
  <si>
    <t>API com Probabilidade</t>
  </si>
  <si>
    <r>
      <t xml:space="preserve">(3.B + 3.C) x </t>
    </r>
    <r>
      <rPr>
        <sz val="8"/>
        <color rgb="FFFF0000"/>
        <rFont val="Tahoma"/>
        <family val="2"/>
      </rPr>
      <t>XX</t>
    </r>
    <r>
      <rPr>
        <sz val="8"/>
        <rFont val="Tahoma"/>
        <family val="2"/>
      </rPr>
      <t>%</t>
    </r>
  </si>
  <si>
    <t>Aviso Prévio Indenizado - API</t>
  </si>
  <si>
    <t>(Tot.1 + Tot.2.1 + 2.2.H + Tot.2.3 - 2.3.A) ÷ 12 meses</t>
  </si>
  <si>
    <t>Multa do FGTS do API</t>
  </si>
  <si>
    <t>2.2.H x 40%</t>
  </si>
  <si>
    <t>APT com Probabilidade</t>
  </si>
  <si>
    <r>
      <t xml:space="preserve">3.E x </t>
    </r>
    <r>
      <rPr>
        <sz val="8"/>
        <color rgb="FFFF0000"/>
        <rFont val="Tahoma"/>
        <family val="2"/>
      </rPr>
      <t>XX</t>
    </r>
    <r>
      <rPr>
        <sz val="8"/>
        <rFont val="Tahoma"/>
        <family val="2"/>
      </rPr>
      <t>%</t>
    </r>
  </si>
  <si>
    <t>Multa do FGTS do APT</t>
  </si>
  <si>
    <t>Aviso Prévio - Lei nº 12.506/2011, Art. 1º</t>
  </si>
  <si>
    <t>{[(Tot.1+Tot.2.1+Tot.2.2)÷30 dias] x 3 dias} ÷ 12 meses</t>
  </si>
  <si>
    <t>Tot.3</t>
  </si>
  <si>
    <t>Módulo 4 - CUSTO DE REPOSIÇÃO DO PROFISSIONAL AUSENTE</t>
  </si>
  <si>
    <t>Submódulo 4.1 - Substituto nas Ausências Legais</t>
  </si>
  <si>
    <t>4.1</t>
  </si>
  <si>
    <t>Substituto nas Ausências Legais</t>
  </si>
  <si>
    <t>Dias</t>
  </si>
  <si>
    <t>Férias</t>
  </si>
  <si>
    <t>(4.1.C x 30 dias) ÷ 12 meses</t>
  </si>
  <si>
    <t>Outros (ausências legais, paternidade,  acidente de trabalho, maternidade, outros)</t>
  </si>
  <si>
    <r>
      <t xml:space="preserve">(4.1.C x </t>
    </r>
    <r>
      <rPr>
        <sz val="8"/>
        <color rgb="FFFF0000"/>
        <rFont val="Tahoma"/>
        <family val="2"/>
      </rPr>
      <t>XX</t>
    </r>
    <r>
      <rPr>
        <sz val="8"/>
        <rFont val="Tahoma"/>
        <family val="2"/>
      </rPr>
      <t xml:space="preserve"> dias) ÷ 12 meses</t>
    </r>
  </si>
  <si>
    <t>Custo diário do substituto</t>
  </si>
  <si>
    <t>(Tot.1 + Tot.2 + Tot.3) ÷ 30 dias</t>
  </si>
  <si>
    <t>Tot.4.1</t>
  </si>
  <si>
    <t>Submódulo 4.2 - Substituto na Intrajornada</t>
  </si>
  <si>
    <t>4.2</t>
  </si>
  <si>
    <t>Substituto na Intrajornada</t>
  </si>
  <si>
    <t>Substituto na cobertura de Intervalo para repouso ou alimentação</t>
  </si>
  <si>
    <r>
      <t xml:space="preserve">(Tot.1 + Tot.2 + Tot.3) ÷ 220h x (1+50%) x </t>
    </r>
    <r>
      <rPr>
        <sz val="8"/>
        <color rgb="FFFF0000"/>
        <rFont val="Tahoma"/>
        <family val="2"/>
      </rPr>
      <t>XX</t>
    </r>
    <r>
      <rPr>
        <sz val="8"/>
        <rFont val="Tahoma"/>
        <family val="2"/>
      </rPr>
      <t xml:space="preserve"> dias</t>
    </r>
  </si>
  <si>
    <t>Tot.4.2</t>
  </si>
  <si>
    <t>Quadro-Resumo do Módulo 4 - Custo De Reposição do Profissional Ausente</t>
  </si>
  <si>
    <t>Custo de Reposição do Profissional Ausente</t>
  </si>
  <si>
    <t>Ausências Legais</t>
  </si>
  <si>
    <t>Intrajornada</t>
  </si>
  <si>
    <t>Tot.4</t>
  </si>
  <si>
    <t>Módulo 5 - INSUMOS DIVERSOS</t>
  </si>
  <si>
    <t>Insumos Diversos</t>
  </si>
  <si>
    <t>Uniformes ((4 camisas e 1 crachá por ano)/12)</t>
  </si>
  <si>
    <t>Materiais</t>
  </si>
  <si>
    <t>Equipamentos</t>
  </si>
  <si>
    <t>Tot.5</t>
  </si>
  <si>
    <t>Módulo 6 - CUSTOS INDIRETOS, TRIBUTOS E LUCRO</t>
  </si>
  <si>
    <t>Custos Indiretos, Tributos e Lucro</t>
  </si>
  <si>
    <t>Custos Indiretos</t>
  </si>
  <si>
    <r>
      <t xml:space="preserve">7.F x </t>
    </r>
    <r>
      <rPr>
        <sz val="8"/>
        <color rgb="FFFF0000"/>
        <rFont val="Tahoma"/>
        <family val="2"/>
      </rPr>
      <t>XX</t>
    </r>
    <r>
      <rPr>
        <sz val="8"/>
        <rFont val="Tahoma"/>
        <family val="2"/>
      </rPr>
      <t>%</t>
    </r>
  </si>
  <si>
    <t>Lucro</t>
  </si>
  <si>
    <r>
      <t xml:space="preserve">(7.F + 6.A) x </t>
    </r>
    <r>
      <rPr>
        <sz val="8"/>
        <color rgb="FFFF0000"/>
        <rFont val="Tahoma"/>
        <family val="2"/>
      </rPr>
      <t>XX</t>
    </r>
    <r>
      <rPr>
        <sz val="8"/>
        <rFont val="Tahoma"/>
        <family val="2"/>
      </rPr>
      <t>%</t>
    </r>
  </si>
  <si>
    <t>BASE DE CÁLCULO DOS TRIBUTOS</t>
  </si>
  <si>
    <r>
      <t xml:space="preserve">(7.F + 6.A + 6.B) ÷ </t>
    </r>
    <r>
      <rPr>
        <sz val="8"/>
        <color rgb="FFFF0000"/>
        <rFont val="Tahoma"/>
        <family val="2"/>
      </rPr>
      <t>XX</t>
    </r>
  </si>
  <si>
    <t>C.1</t>
  </si>
  <si>
    <t>PIS</t>
  </si>
  <si>
    <r>
      <t xml:space="preserve">6.C x </t>
    </r>
    <r>
      <rPr>
        <sz val="8"/>
        <color rgb="FFFF0000"/>
        <rFont val="Tahoma"/>
        <family val="2"/>
      </rPr>
      <t>XX</t>
    </r>
    <r>
      <rPr>
        <sz val="8"/>
        <rFont val="Tahoma"/>
        <family val="2"/>
      </rPr>
      <t>%</t>
    </r>
  </si>
  <si>
    <t>C.2</t>
  </si>
  <si>
    <t>COFINS</t>
  </si>
  <si>
    <t>C.3</t>
  </si>
  <si>
    <t>ISS</t>
  </si>
  <si>
    <t>Tot.6</t>
  </si>
  <si>
    <t>6.A + 6.B + 6.C.1 + 6.C.2 + 6.C.3</t>
  </si>
  <si>
    <t>CUSTO POR EMPREGADO</t>
  </si>
  <si>
    <t>Módulo 7 - QUADRO-RESUMO DO CUSTO POR EMPREGADO</t>
  </si>
  <si>
    <t>Mão de Obra vinculada à execução contratual (valor por posto)</t>
  </si>
  <si>
    <t>Módulo 1 - Composição da Remuneração</t>
  </si>
  <si>
    <t>Módulo 2 - Encargos e Benefícios Anuais, Mensais e Diários</t>
  </si>
  <si>
    <t>Módulo 3 - Provisão para Rescisão</t>
  </si>
  <si>
    <t>Módulo 4 - Custo de Reposição do Profissional Ausente</t>
  </si>
  <si>
    <t>Módulo 5 - Insumos Diversos</t>
  </si>
  <si>
    <t>Subtotal (A + B + C + D + E)</t>
  </si>
  <si>
    <t>7.A + 7.B + 7.C + 7.D + 7.E</t>
  </si>
  <si>
    <t>Módulo 6 - Custos Indiretos, Tributos e Lucro</t>
  </si>
  <si>
    <t>Tot.7</t>
  </si>
  <si>
    <t>VALOR TOTAL POR EMPREGADO</t>
  </si>
  <si>
    <t>7.F + 7.G</t>
  </si>
  <si>
    <t>FATOR-K</t>
  </si>
  <si>
    <t>Assistência Médica</t>
  </si>
  <si>
    <t>Seguro de vida</t>
  </si>
  <si>
    <t>Auxílio-Refeição/Alimentação (férias - provisão)</t>
  </si>
  <si>
    <t>Triênio (provisão)</t>
  </si>
  <si>
    <t>Auxílio saúde</t>
  </si>
  <si>
    <t>Benefício Social Familiar</t>
  </si>
  <si>
    <t>Folga de aniversário</t>
  </si>
  <si>
    <t>Gerente de suporte técnico de tecnologia da informação (Rio de Janeiro)</t>
  </si>
  <si>
    <t>1425-30</t>
  </si>
  <si>
    <t>QUADRO C
PLANO DE SAUDE E VALE-REFEICAO</t>
  </si>
  <si>
    <t>Sindicato</t>
  </si>
  <si>
    <t>Perfil</t>
  </si>
  <si>
    <t>Salário</t>
  </si>
  <si>
    <t>Valor VR</t>
  </si>
  <si>
    <t>Desconto Empregado (VR)</t>
  </si>
  <si>
    <t>Custo Empresa (VR)</t>
  </si>
  <si>
    <t>Valor Saúde *</t>
  </si>
  <si>
    <t>Desconto Empregado (Saúde)</t>
  </si>
  <si>
    <t xml:space="preserve">Custo Empresa (Saúde)
</t>
  </si>
  <si>
    <t>SINDPD-DF</t>
  </si>
  <si>
    <t>Técnico Júnior</t>
  </si>
  <si>
    <t>Técnico Pleno</t>
  </si>
  <si>
    <t>Gerente de Suporte</t>
  </si>
  <si>
    <t>SINDPD-RJ</t>
  </si>
  <si>
    <t>SEPROSP-SP</t>
  </si>
  <si>
    <t>* Para o SINDPD-RJ o valor do plano de saúde é fixo de R$ 275,02</t>
  </si>
  <si>
    <t>Valor Média Mensal (VR)</t>
  </si>
  <si>
    <t>Valor Unitário (VR)</t>
  </si>
  <si>
    <t>Valor Média Mensal (Saúde)</t>
  </si>
  <si>
    <t>Valor Média Anual (Saúde)</t>
  </si>
  <si>
    <t xml:space="preserve"> Quantidade</t>
  </si>
  <si>
    <t xml:space="preserve"> Custo unitário</t>
  </si>
  <si>
    <t xml:space="preserve"> Custo total</t>
  </si>
  <si>
    <t xml:space="preserve"> Vida útil (meses)</t>
  </si>
  <si>
    <t xml:space="preserve"> Custo mensal</t>
  </si>
  <si>
    <t>Categoria</t>
  </si>
  <si>
    <t>Licenças Windows 11 Professional</t>
  </si>
  <si>
    <t>Notebooks</t>
  </si>
  <si>
    <t>Headsets</t>
  </si>
  <si>
    <t>HD externo, de no minimo 1TB</t>
  </si>
  <si>
    <t>Monitor de vídeo 24" polegadas</t>
  </si>
  <si>
    <t>Switch de rede</t>
  </si>
  <si>
    <t>Mobiliário padrão NR-17 - 8 posições</t>
  </si>
  <si>
    <t>Cadeira Ergonômica</t>
  </si>
  <si>
    <t>Link de internet dedicado 300Mbps</t>
  </si>
  <si>
    <t>Central telefônica cloud</t>
  </si>
  <si>
    <t>Óculos de Proteção Ampla Visão Sobrepor</t>
  </si>
  <si>
    <t>Outros custos</t>
  </si>
  <si>
    <t>Mascara Respirador sem Válvula</t>
  </si>
  <si>
    <t>Luva PU Cinza Antiestática Multitato</t>
  </si>
  <si>
    <t>Avental Descartável TNT Manga Longa 16g 10uni</t>
  </si>
  <si>
    <t>Jogo Ferramenta 9 Peças (3 Chaves de Fenda, 3 Philips e 3 Alicates)</t>
  </si>
  <si>
    <t>Álcool Isopropílico 99,8%, Frasco: 500ml com borrifador</t>
  </si>
  <si>
    <t>Álcool em Gel 70%, Frasco de 100ml para uso individual</t>
  </si>
  <si>
    <t>Álcool em Gel 70%, Frasco de 500ml para o posto de atendimento</t>
  </si>
  <si>
    <t>Total/Mês</t>
  </si>
  <si>
    <t>ANEXO II
PROPOSTA DE PREÇOS E ORÇAMENTO DA LICITAÇÃO</t>
  </si>
  <si>
    <r>
      <rPr>
        <b/>
        <sz val="9"/>
        <rFont val="Tahoma"/>
        <family val="2"/>
      </rPr>
      <t>VALIDADE DA PROPOSTA:</t>
    </r>
    <r>
      <rPr>
        <sz val="9"/>
        <rFont val="Tahoma"/>
        <family val="2"/>
      </rPr>
      <t xml:space="preserve"> </t>
    </r>
    <r>
      <rPr>
        <sz val="9"/>
        <color rgb="FFFF0000"/>
        <rFont val="Tahoma"/>
        <family val="2"/>
      </rPr>
      <t>XX</t>
    </r>
    <r>
      <rPr>
        <sz val="9"/>
        <rFont val="Tahoma"/>
        <family val="2"/>
      </rPr>
      <t xml:space="preserve"> (</t>
    </r>
    <r>
      <rPr>
        <sz val="9"/>
        <color rgb="FFFF0000"/>
        <rFont val="Tahoma"/>
        <family val="2"/>
      </rPr>
      <t>XXXX</t>
    </r>
    <r>
      <rPr>
        <sz val="9"/>
        <rFont val="Tahoma"/>
        <family val="2"/>
      </rPr>
      <t>) dias, a contar do dia da sessão de recebimento da mesma (observar o subitem 6.5 do Edital).</t>
    </r>
  </si>
  <si>
    <r>
      <t>Fonte:</t>
    </r>
    <r>
      <rPr>
        <sz val="9"/>
        <rFont val="Tahoma"/>
        <family val="2"/>
      </rPr>
      <t xml:space="preserve"> Portaria SGD/MGI 6.680/2024 de 04 de outubro de 2024.</t>
    </r>
  </si>
  <si>
    <r>
      <t>1.</t>
    </r>
    <r>
      <rPr>
        <sz val="7"/>
        <rFont val="Times New Roman"/>
        <family val="1"/>
      </rPr>
      <t xml:space="preserve">              </t>
    </r>
    <r>
      <rPr>
        <sz val="9"/>
        <rFont val="Tahoma"/>
        <family val="2"/>
      </rPr>
      <t>Orientações Gerais</t>
    </r>
  </si>
  <si>
    <t>Cód. Identificação do Perfil</t>
  </si>
  <si>
    <t>Valor Salarial (R$) (SGD)</t>
  </si>
  <si>
    <t>Fator-k (SGD)</t>
  </si>
  <si>
    <t>TECSUP-01</t>
  </si>
  <si>
    <t>Técnico de suporte ao usuário de tecnologia da informação Júnior</t>
  </si>
  <si>
    <t>TECSUP-02</t>
  </si>
  <si>
    <t>Técnico de suporte ao usuário de tecnologia da informação Pleno</t>
  </si>
  <si>
    <t>GERSUP</t>
  </si>
  <si>
    <t>Gerente de suporte técnico de tecnologia da informação</t>
  </si>
  <si>
    <r>
      <t>2.</t>
    </r>
    <r>
      <rPr>
        <sz val="7"/>
        <rFont val="Times New Roman"/>
        <family val="1"/>
      </rPr>
      <t xml:space="preserve">              </t>
    </r>
    <r>
      <rPr>
        <sz val="9"/>
        <rFont val="Tahoma"/>
        <family val="2"/>
      </rPr>
      <t>Planilha de custos e formação de preços</t>
    </r>
  </si>
  <si>
    <r>
      <t>a.</t>
    </r>
    <r>
      <rPr>
        <sz val="7"/>
        <rFont val="Times New Roman"/>
        <family val="1"/>
      </rPr>
      <t xml:space="preserve">              </t>
    </r>
    <r>
      <rPr>
        <sz val="9"/>
        <rFont val="Tahoma"/>
        <family val="2"/>
      </rPr>
      <t>Os componentes de custos que integram a planilha são:</t>
    </r>
  </si>
  <si>
    <r>
      <t>i.</t>
    </r>
    <r>
      <rPr>
        <b/>
        <sz val="7"/>
        <rFont val="Times New Roman"/>
        <family val="1"/>
      </rPr>
      <t xml:space="preserve">                  </t>
    </r>
    <r>
      <rPr>
        <b/>
        <sz val="9"/>
        <rFont val="Tahoma"/>
        <family val="2"/>
      </rPr>
      <t>Custo de Pessoal:</t>
    </r>
    <r>
      <rPr>
        <sz val="9"/>
        <rFont val="Tahoma"/>
        <family val="2"/>
      </rPr>
      <t xml:space="preserve"> Consolida todos os custos incorridos com a utilização de serviços de profissionais, que mantém vínculo celetista com a empresa contratada. Deverá ser computado o somatório de todos os custos acrescidos dos encargos aprovisionados que afetem a composição do preço final ofertado, a exemplo da remuneração, encargos sociais, auxílios e benefícios dos recursos humanos relacionados à prestação do serviço.</t>
    </r>
  </si>
  <si>
    <r>
      <t>ii.</t>
    </r>
    <r>
      <rPr>
        <b/>
        <sz val="7"/>
        <rFont val="Times New Roman"/>
        <family val="1"/>
      </rPr>
      <t xml:space="preserve">                  </t>
    </r>
    <r>
      <rPr>
        <b/>
        <sz val="9"/>
        <rFont val="Tahoma"/>
        <family val="2"/>
      </rPr>
      <t xml:space="preserve">Custos com software: </t>
    </r>
    <r>
      <rPr>
        <sz val="9"/>
        <rFont val="Tahoma"/>
        <family val="2"/>
      </rPr>
      <t>Equivale ao somatório de todos os custos de disponibilização e utilização de recursos de software que integrarão a prestação dos serviços e que afetem a composição do preço final ofertado, a exemplo de ferramentas de automação, ferramentas de monitoramento, ferramenta de desenvolvimento, softwares de analytics ou de inteligência artificial, dentre outras. Na coluna "Memória de Cálculo / Justificativa", os custos devem ser apresentados com as justificativas que demonstrem a memória de cálculo, evidenciando o tipo, identificação (nome do produto e código único de identificação), forma de licenciamento ou aquisição e o valor total do software adquirido, além do período previsto de amortização desses custos e outras informações que permitam descrever os critérios de rateio desses custos que resultam no valor declarado.</t>
    </r>
  </si>
  <si>
    <r>
      <t>iii.</t>
    </r>
    <r>
      <rPr>
        <b/>
        <sz val="7"/>
        <rFont val="Times New Roman"/>
        <family val="1"/>
      </rPr>
      <t xml:space="preserve">                  </t>
    </r>
    <r>
      <rPr>
        <b/>
        <sz val="9"/>
        <rFont val="Tahoma"/>
        <family val="2"/>
      </rPr>
      <t>Custos com recursos de computação</t>
    </r>
    <r>
      <rPr>
        <sz val="9"/>
        <rFont val="Tahoma"/>
        <family val="2"/>
      </rPr>
      <t>: Equivale ao somatório de todos os custos de disponibilização e utilização de recursos físicos ou virtuais de computação que integrarão a prestação dos serviços e que afetem a composição do preço final ofertado, a exemplo de instâncias de computação, plataformas, middlewares, centrais de processamento de dados, entre outros recursos de computação. Na coluna "Memória de Cálculo / Justificativa", os custos devem ser apresentados com as justificativas que demonstrem a memória de cálculo, evidenciando o tipo, identificação (nome do produto), forma de aquisição e o valor total dos recursos adquiridos, além do período previsto de amortização desses custos e outras informações que permitam descrever os critérios de rateio desses custos que resultam no valor declarado.</t>
    </r>
  </si>
  <si>
    <r>
      <t>iv.</t>
    </r>
    <r>
      <rPr>
        <b/>
        <sz val="7"/>
        <rFont val="Times New Roman"/>
        <family val="1"/>
      </rPr>
      <t xml:space="preserve">                  </t>
    </r>
    <r>
      <rPr>
        <b/>
        <sz val="9"/>
        <rFont val="Tahoma"/>
        <family val="2"/>
      </rPr>
      <t>Custos com equipamentos:</t>
    </r>
    <r>
      <rPr>
        <sz val="9"/>
        <rFont val="Tahoma"/>
        <family val="2"/>
      </rPr>
      <t xml:space="preserve"> Equivale ao somatório de todos os custos de disponibilização e utilização de equipamentos, utilitários e dispositivos diversos que serão utilizados diretamente na prestação dos serviços e que afetem a composição do preço final ofertado, a exemplo de equipamentos de comunicação, ferramentas de medição eletrônica, tokens, mídias, gerador de sinal, dentre outros. Na coluna "Memória de Cálculo / Justificativa", os custos devem ser apresentados com as justificativas que demonstrem a memória de cálculo, evidenciando o tipo, identificação (nome do produto), forma de aquisição e o valor total dos equipamentos adquiridos, além do período previsto de amortização desses custos e outras informações que permitam descrever os critérios de rateio desses custos que resultam no valor declarado.</t>
    </r>
  </si>
  <si>
    <r>
      <t>v.</t>
    </r>
    <r>
      <rPr>
        <b/>
        <sz val="7"/>
        <rFont val="Times New Roman"/>
        <family val="1"/>
      </rPr>
      <t xml:space="preserve">                  </t>
    </r>
    <r>
      <rPr>
        <b/>
        <sz val="9"/>
        <rFont val="Tahoma"/>
        <family val="2"/>
      </rPr>
      <t xml:space="preserve">Custos com serviços de informações: </t>
    </r>
    <r>
      <rPr>
        <sz val="9"/>
        <rFont val="Tahoma"/>
        <family val="2"/>
      </rPr>
      <t>Equivale ao somatório de todos os custos de fornecimento de informações técnicas especializadas às equipes que prestam os serviços e que afetem a composição do preço final ofertado, a exemplo de plataformas digitais de fornecimento de conteúdo técnico especializado, serviços de mentoring, plataformas de suporte especializado, entre outros soluções de fornecimento de informações técnicas especializadas. Na coluna "Memória de Cálculo / Justificativa", os custos devem ser apresentados com as justificativas que demonstrem a memória de cálculo, evidenciando o tipo, identificação (nome do serviço e código único de identificação), forma de licenciamento e o valor total do serviço adquirido, além do período previsto de amortização desses custos e outras informações que permitam descrever os critérios de rateio desses custos que resultam no valor declarado.</t>
    </r>
  </si>
  <si>
    <r>
      <t>i.</t>
    </r>
    <r>
      <rPr>
        <b/>
        <sz val="7"/>
        <rFont val="Times New Roman"/>
        <family val="1"/>
      </rPr>
      <t xml:space="preserve">                  </t>
    </r>
    <r>
      <rPr>
        <b/>
        <sz val="9"/>
        <rFont val="Tahoma"/>
        <family val="2"/>
      </rPr>
      <t xml:space="preserve">Elementos Comerciais (Fatores/Ajustes Comerciais): </t>
    </r>
    <r>
      <rPr>
        <sz val="9"/>
        <rFont val="Tahoma"/>
        <family val="2"/>
      </rPr>
      <t>Fator de preço que pode ser aplicado, tendo como base estratégias de negócio, elementos mercadológicos e estratégias de precificação da empresa, a exemplo de margem operacional, margem de risco, lucro, dentre outros fatores internos e externos considerados na precificação</t>
    </r>
  </si>
  <si>
    <r>
      <t>ii.</t>
    </r>
    <r>
      <rPr>
        <b/>
        <sz val="7"/>
        <rFont val="Times New Roman"/>
        <family val="1"/>
      </rPr>
      <t xml:space="preserve">                  </t>
    </r>
    <r>
      <rPr>
        <b/>
        <sz val="9"/>
        <rFont val="Tahoma"/>
        <family val="2"/>
      </rPr>
      <t xml:space="preserve">Cobertura Tributária: </t>
    </r>
    <r>
      <rPr>
        <sz val="9"/>
        <rFont val="Tahoma"/>
        <family val="2"/>
      </rPr>
      <t>Fator de preço que inclui os custos tributários associados à prestação dos serviços que variam de acordo com o planejamento tributário de cada empresa não compreendidos na composição do fator K.</t>
    </r>
  </si>
  <si>
    <r>
      <t>f.</t>
    </r>
    <r>
      <rPr>
        <sz val="7"/>
        <rFont val="Times New Roman"/>
        <family val="1"/>
      </rPr>
      <t xml:space="preserve">              </t>
    </r>
    <r>
      <rPr>
        <sz val="9"/>
        <rFont val="Tahoma"/>
        <family val="2"/>
      </rPr>
      <t>Por se tratar de contratação por pagamento fixo mensal sob demanda por meio de ordens de serviço, vinculada ao atendimento de níveis mínimos de serviços, não deve ser considerada contratação com dedicação exclusiva de mão de obra, contratação por homem/hora e tampouco por postos de trabalho;</t>
    </r>
  </si>
  <si>
    <r>
      <rPr>
        <sz val="9"/>
        <rFont val="Tahoma"/>
        <family val="2"/>
      </rPr>
      <t>e.</t>
    </r>
    <r>
      <rPr>
        <sz val="7"/>
        <rFont val="Times New Roman"/>
        <family val="1"/>
      </rPr>
      <t xml:space="preserve">              </t>
    </r>
    <r>
      <rPr>
        <sz val="9"/>
        <rFont val="Tahoma"/>
        <family val="2"/>
      </rPr>
      <t xml:space="preserve">A Finep, em nenhuma hipótese, estipulará salários ou valores de remuneração a serem praticados pela futura contratada. As estimativas apresentadas abaixo possuem caráter meramente referencial, com a exclusiva finalidade de subsidiar a formação do preço estimado da contratação, nos termos da legislação vigente. Ressalta-se, ainda, que tais valores não vinculam a execução contratual, tampouco implicam qualquer ingerência sobre a política remuneratória da empresa contratada, de modo a preservar sua autonomia administrativa e evitar interpretações indevidas. </t>
    </r>
  </si>
  <si>
    <r>
      <rPr>
        <sz val="9"/>
        <rFont val="Tahoma"/>
        <family val="2"/>
      </rPr>
      <t>d.</t>
    </r>
    <r>
      <rPr>
        <sz val="7"/>
        <rFont val="Times New Roman"/>
        <family val="1"/>
      </rPr>
      <t xml:space="preserve">              </t>
    </r>
    <r>
      <rPr>
        <sz val="9"/>
        <rFont val="Tahoma"/>
        <family val="2"/>
      </rPr>
      <t>A definição do Fator-K depende da estrutura de composição de preço definida em virtude de requisitos legais e requisitos estratégicos adotados pelas empresas prestadoras de serviço. Portanto, para se evitar oscilações nesse valor a ponto de comprometer o modelo proposto, a SGD apresenta o valor máximo do Fator-K que deverá ser adotado nas estimativas de composição do valor mensal de referência nesse modelo. Admite-se a adoção de outro valor, desde que seja justificado com a respectiva memória de cálculo e não seja superior a 3, sendo esse o valor utilizado pela Finep no orçamento da licitação.</t>
    </r>
  </si>
  <si>
    <r>
      <rPr>
        <sz val="9"/>
        <rFont val="Tahoma"/>
        <family val="2"/>
      </rPr>
      <t>c.</t>
    </r>
    <r>
      <rPr>
        <sz val="7"/>
        <rFont val="Times New Roman"/>
        <family val="1"/>
      </rPr>
      <t xml:space="preserve">               </t>
    </r>
    <r>
      <rPr>
        <sz val="9"/>
        <rFont val="Tahoma"/>
        <family val="2"/>
      </rPr>
      <t>O Fator-K é um parâmetro usual de mercado para se estimar o custo de um serviço com base na remuneração do profissional. Em outros termos, o Fator-K indica quantos reais são pagos à empresa contratada para cada real pago pela empresa ao trabalhador.</t>
    </r>
  </si>
  <si>
    <r>
      <rPr>
        <sz val="9"/>
        <rFont val="Tahoma"/>
        <family val="2"/>
      </rPr>
      <t>b.</t>
    </r>
    <r>
      <rPr>
        <sz val="7"/>
        <rFont val="Times New Roman"/>
        <family val="1"/>
      </rPr>
      <t xml:space="preserve">              </t>
    </r>
    <r>
      <rPr>
        <sz val="9"/>
        <rFont val="Tahoma"/>
        <family val="2"/>
      </rPr>
      <t>O licitante deverá considerar os profissionais mínimos exigidos para cada perfil, além respeitar o limite mínimo da base salarial dos profissionais e demais encargos e custos previstos na planilha de custos e formação de preços constante da proposta vencedora da licitação.</t>
    </r>
  </si>
  <si>
    <r>
      <rPr>
        <sz val="9"/>
        <rFont val="Tahoma"/>
        <family val="2"/>
      </rPr>
      <t>a.</t>
    </r>
    <r>
      <rPr>
        <sz val="7"/>
        <rFont val="Times New Roman"/>
        <family val="1"/>
      </rPr>
      <t xml:space="preserve">              </t>
    </r>
    <r>
      <rPr>
        <sz val="9"/>
        <rFont val="Tahoma"/>
        <family val="2"/>
      </rPr>
      <t>A Planilha de Custos e Formação de Preços deve ser entregue pelo licitante durante a fase de recebimento de propostas;</t>
    </r>
  </si>
  <si>
    <r>
      <t>b.</t>
    </r>
    <r>
      <rPr>
        <sz val="7"/>
        <rFont val="Times New Roman"/>
        <family val="1"/>
      </rPr>
      <t xml:space="preserve">              </t>
    </r>
    <r>
      <rPr>
        <sz val="9"/>
        <rFont val="Tahoma"/>
        <family val="2"/>
      </rPr>
      <t>Os componentes de formação do preço que integram a planilha são:</t>
    </r>
  </si>
  <si>
    <t>Demais Componentes de Custo</t>
  </si>
  <si>
    <t>Custos acessórios</t>
  </si>
  <si>
    <r>
      <t xml:space="preserve">Demais componentes de custo por empregado (÷ 8): </t>
    </r>
    <r>
      <rPr>
        <b/>
        <sz val="9"/>
        <color rgb="FFFF0000"/>
        <rFont val="Tahoma"/>
        <family val="2"/>
      </rPr>
      <t>Incluir no módulo 5 (item c) para cada planilha gerada por perfil</t>
    </r>
  </si>
  <si>
    <t>Total por Empregado (Somatório dos Subtotais ÷ 8)</t>
  </si>
  <si>
    <t>Orçamento - Demais Componentes de Custos</t>
  </si>
  <si>
    <t>1) INCLUIR O "VALOR MENSAL" E NÃO ALTERAR A FÓRMULA DO "VALOR TOTAL"
2) OS VALORES DESSA PLANILHA NÃO DEVEM SE COMUNICAR ("LINKAR") COM AS DEMAIS PLANILHAS
3) ESSES SÃO OS VALORES PARA REMUNERAR O SERVIÇO A SER EXECUTADO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</si>
</sst>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R$&quot;\ #,##0.00;[Red]\-&quot;R$&quot;\ #,##0.00"/>
    <numFmt numFmtId="44" formatCode="_-&quot;R$&quot;\ * #,##0.00_-;\-&quot;R$&quot;\ * #,##0.00_-;_-&quot;R$&quot;\ * &quot;-&quot;??_-;_-@_-"/>
    <numFmt numFmtId="43" formatCode="_-* #,##0.00_-;\-* #,##0.00_-;_-* &quot;-&quot;??_-;_-@_-"/>
    <numFmt numFmtId="164" formatCode="_(&quot;R$ &quot;* #,##0.00_);_(&quot;R$ &quot;* \(#,##0.00\);_(&quot;R$ &quot;* &quot;-&quot;??_);_(@_)"/>
    <numFmt numFmtId="165" formatCode="#,##0_ ;\-#,##0\ "/>
    <numFmt numFmtId="166" formatCode="&quot;R$&quot;\ #,##0.00"/>
    <numFmt numFmtId="167" formatCode="&quot; R$ &quot;* #,##0.00\ ;&quot; R$ &quot;* \(#,##0.00\);&quot; R$ &quot;* \-#\ ;@\ "/>
    <numFmt numFmtId="168" formatCode="[$R$-416]\ #,##0.00;[Red]\-[$R$-416]\ #,##0.00"/>
    <numFmt numFmtId="170" formatCode="0.00000"/>
  </numFmts>
  <fonts count="37" x14ac:knownFonts="1">
    <font>
      <sz val="10"/>
      <name val="Arial"/>
      <family val="2"/>
    </font>
    <font>
      <sz val="11"/>
      <color theme="1"/>
      <name val="Calibri"/>
      <family val="2"/>
      <scheme val="minor"/>
    </font>
    <font>
      <sz val="11"/>
      <color theme="1"/>
      <name val="Calibri"/>
      <family val="2"/>
      <scheme val="minor"/>
    </font>
    <font>
      <sz val="10"/>
      <name val="Arial"/>
      <family val="2"/>
    </font>
    <font>
      <sz val="10"/>
      <name val="Arial"/>
      <family val="2"/>
    </font>
    <font>
      <b/>
      <sz val="9"/>
      <name val="Tahoma"/>
      <family val="2"/>
    </font>
    <font>
      <sz val="9"/>
      <name val="Tahoma"/>
      <family val="2"/>
    </font>
    <font>
      <b/>
      <sz val="10"/>
      <name val="Tahoma"/>
      <family val="2"/>
    </font>
    <font>
      <b/>
      <sz val="9"/>
      <color rgb="FFFF0000"/>
      <name val="Tahoma"/>
      <family val="2"/>
    </font>
    <font>
      <sz val="9"/>
      <color indexed="10"/>
      <name val="Tahoma"/>
      <family val="2"/>
    </font>
    <font>
      <sz val="9"/>
      <color rgb="FFFF0000"/>
      <name val="Tahoma"/>
      <family val="2"/>
    </font>
    <font>
      <sz val="9"/>
      <color theme="1"/>
      <name val="Tahoma"/>
      <family val="2"/>
    </font>
    <font>
      <b/>
      <sz val="9"/>
      <color theme="1"/>
      <name val="Tahoma"/>
      <family val="2"/>
    </font>
    <font>
      <sz val="8"/>
      <name val="Tahoma"/>
      <family val="2"/>
    </font>
    <font>
      <sz val="8"/>
      <color rgb="FFFF0000"/>
      <name val="Tahoma"/>
      <family val="2"/>
    </font>
    <font>
      <b/>
      <sz val="8"/>
      <color rgb="FFFF0000"/>
      <name val="Tahoma"/>
      <family val="2"/>
    </font>
    <font>
      <b/>
      <sz val="9"/>
      <color theme="3"/>
      <name val="Tahoma"/>
      <family val="2"/>
    </font>
    <font>
      <sz val="9"/>
      <color indexed="8"/>
      <name val="Tahoma"/>
      <family val="2"/>
    </font>
    <font>
      <b/>
      <sz val="8"/>
      <name val="Tahoma"/>
      <family val="2"/>
    </font>
    <font>
      <sz val="9"/>
      <color indexed="81"/>
      <name val="Segoe UI"/>
      <family val="2"/>
    </font>
    <font>
      <b/>
      <sz val="9"/>
      <color indexed="81"/>
      <name val="Segoe UI"/>
      <family val="2"/>
    </font>
    <font>
      <b/>
      <sz val="11"/>
      <name val="Tahoma"/>
      <family val="2"/>
    </font>
    <font>
      <sz val="7.5"/>
      <name val="Tahoma"/>
      <family val="2"/>
    </font>
    <font>
      <b/>
      <sz val="9"/>
      <color rgb="FF000000"/>
      <name val="Tahoma"/>
      <family val="2"/>
    </font>
    <font>
      <sz val="9"/>
      <color rgb="FF000000"/>
      <name val="Tahoma"/>
      <family val="2"/>
    </font>
    <font>
      <sz val="10"/>
      <name val="Arial"/>
      <family val="2"/>
      <charset val="1"/>
    </font>
    <font>
      <b/>
      <u/>
      <sz val="11"/>
      <color theme="1"/>
      <name val="Arial"/>
      <family val="2"/>
    </font>
    <font>
      <sz val="11"/>
      <color theme="1"/>
      <name val="Arial"/>
      <family val="2"/>
    </font>
    <font>
      <b/>
      <sz val="11"/>
      <color theme="1"/>
      <name val="Arial"/>
      <family val="2"/>
    </font>
    <font>
      <sz val="11"/>
      <color theme="1"/>
      <name val="Arial"/>
      <family val="2"/>
      <charset val="1"/>
    </font>
    <font>
      <u/>
      <sz val="10"/>
      <color theme="10"/>
      <name val="Arial"/>
      <family val="2"/>
      <charset val="1"/>
    </font>
    <font>
      <sz val="11"/>
      <color rgb="FF000000"/>
      <name val="Calibri"/>
      <family val="2"/>
    </font>
    <font>
      <u/>
      <sz val="11"/>
      <color theme="10"/>
      <name val="Calibri"/>
      <family val="2"/>
    </font>
    <font>
      <sz val="7"/>
      <name val="Times New Roman"/>
      <family val="1"/>
    </font>
    <font>
      <b/>
      <sz val="7"/>
      <name val="Times New Roman"/>
      <family val="1"/>
    </font>
    <font>
      <sz val="9"/>
      <color rgb="FF673AB7"/>
      <name val="Tahoma"/>
      <family val="2"/>
    </font>
    <font>
      <b/>
      <u/>
      <sz val="9"/>
      <color theme="1"/>
      <name val="Tahoma"/>
      <family val="2"/>
    </font>
  </fonts>
  <fills count="21">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rgb="FFFFFF99"/>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2"/>
        <bgColor indexed="64"/>
      </patternFill>
    </fill>
    <fill>
      <patternFill patternType="solid">
        <fgColor rgb="FFFFFF00"/>
        <bgColor indexed="64"/>
      </patternFill>
    </fill>
    <fill>
      <patternFill patternType="solid">
        <fgColor rgb="FF92D050"/>
        <bgColor indexed="64"/>
      </patternFill>
    </fill>
    <fill>
      <patternFill patternType="solid">
        <fgColor rgb="FFE0E0E0"/>
        <bgColor rgb="FFD3D3D3"/>
      </patternFill>
    </fill>
    <fill>
      <patternFill patternType="solid">
        <fgColor rgb="FFEEEEEE"/>
        <bgColor rgb="FFE0E0E0"/>
      </patternFill>
    </fill>
    <fill>
      <patternFill patternType="solid">
        <fgColor theme="5" tint="0.59999389629810485"/>
        <bgColor indexed="64"/>
      </patternFill>
    </fill>
    <fill>
      <patternFill patternType="solid">
        <fgColor rgb="FFBCE292"/>
        <bgColor indexed="64"/>
      </patternFill>
    </fill>
    <fill>
      <patternFill patternType="solid">
        <fgColor theme="3" tint="0.749992370372631"/>
        <bgColor indexed="64"/>
      </patternFill>
    </fill>
    <fill>
      <patternFill patternType="solid">
        <fgColor theme="7" tint="0.59999389629810485"/>
        <bgColor indexed="64"/>
      </patternFill>
    </fill>
    <fill>
      <patternFill patternType="solid">
        <fgColor rgb="FFF2F2F2"/>
        <bgColor indexed="64"/>
      </patternFill>
    </fill>
    <fill>
      <patternFill patternType="solid">
        <fgColor rgb="FFFFFFFF"/>
        <bgColor indexed="64"/>
      </patternFill>
    </fill>
  </fills>
  <borders count="39">
    <border>
      <left/>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indexed="64"/>
      </top>
      <bottom style="medium">
        <color indexed="64"/>
      </bottom>
      <diagonal/>
    </border>
    <border>
      <left style="thin">
        <color auto="1"/>
      </left>
      <right style="medium">
        <color indexed="64"/>
      </right>
      <top style="thin">
        <color auto="1"/>
      </top>
      <bottom style="medium">
        <color indexed="64"/>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18">
    <xf numFmtId="0" fontId="0" fillId="0" borderId="0"/>
    <xf numFmtId="164" fontId="3" fillId="0" borderId="0" applyFill="0" applyBorder="0" applyAlignment="0" applyProtection="0"/>
    <xf numFmtId="9" fontId="3" fillId="0" borderId="0" applyFill="0" applyBorder="0" applyAlignment="0" applyProtection="0"/>
    <xf numFmtId="43" fontId="3" fillId="0" borderId="0" applyFont="0" applyFill="0" applyBorder="0" applyAlignment="0" applyProtection="0"/>
    <xf numFmtId="0" fontId="2" fillId="0" borderId="0"/>
    <xf numFmtId="0" fontId="3" fillId="0" borderId="0"/>
    <xf numFmtId="16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1" fillId="0" borderId="0"/>
    <xf numFmtId="43" fontId="1" fillId="0" borderId="0" applyFont="0" applyFill="0" applyBorder="0" applyAlignment="0" applyProtection="0"/>
    <xf numFmtId="0" fontId="25" fillId="0" borderId="0"/>
    <xf numFmtId="0" fontId="30" fillId="0" borderId="0" applyNumberFormat="0" applyFill="0" applyBorder="0" applyAlignment="0" applyProtection="0"/>
    <xf numFmtId="0" fontId="31" fillId="0" borderId="0"/>
    <xf numFmtId="0" fontId="32" fillId="0" borderId="0" applyNumberFormat="0" applyFill="0" applyBorder="0" applyAlignment="0" applyProtection="0"/>
  </cellStyleXfs>
  <cellXfs count="370">
    <xf numFmtId="0" fontId="0" fillId="0" borderId="0" xfId="0"/>
    <xf numFmtId="0" fontId="11" fillId="0" borderId="0" xfId="0" applyFont="1" applyAlignment="1">
      <alignment vertical="center"/>
    </xf>
    <xf numFmtId="0" fontId="5" fillId="0" borderId="6" xfId="0" applyFont="1" applyBorder="1" applyAlignment="1">
      <alignment horizontal="center" vertical="center"/>
    </xf>
    <xf numFmtId="9" fontId="6" fillId="7" borderId="1" xfId="0" applyNumberFormat="1" applyFont="1" applyFill="1" applyBorder="1" applyAlignment="1">
      <alignment horizontal="center" vertical="center"/>
    </xf>
    <xf numFmtId="0" fontId="6" fillId="7" borderId="1" xfId="0" applyFont="1" applyFill="1" applyBorder="1" applyAlignment="1">
      <alignment horizontal="center" vertical="center"/>
    </xf>
    <xf numFmtId="0" fontId="6" fillId="0" borderId="0" xfId="0" applyFont="1" applyAlignment="1">
      <alignment vertical="center"/>
    </xf>
    <xf numFmtId="8" fontId="6" fillId="0" borderId="0" xfId="0" applyNumberFormat="1" applyFont="1" applyAlignment="1">
      <alignment vertical="center"/>
    </xf>
    <xf numFmtId="0" fontId="5" fillId="0" borderId="0" xfId="0" applyFont="1" applyAlignment="1">
      <alignment vertical="center"/>
    </xf>
    <xf numFmtId="0" fontId="4" fillId="5" borderId="0" xfId="0" applyFont="1" applyFill="1" applyAlignment="1">
      <alignment vertical="center"/>
    </xf>
    <xf numFmtId="0" fontId="14" fillId="5" borderId="0" xfId="0" applyFont="1" applyFill="1" applyAlignment="1">
      <alignment vertical="center"/>
    </xf>
    <xf numFmtId="0" fontId="15" fillId="5" borderId="0" xfId="0" applyFont="1" applyFill="1" applyAlignment="1">
      <alignment horizontal="center" vertical="center"/>
    </xf>
    <xf numFmtId="0" fontId="6" fillId="5" borderId="0" xfId="0" applyFont="1" applyFill="1" applyAlignment="1">
      <alignment horizontal="center" vertical="center"/>
    </xf>
    <xf numFmtId="0" fontId="7" fillId="5" borderId="0" xfId="0" applyFont="1" applyFill="1" applyAlignment="1">
      <alignment horizontal="left" vertical="center"/>
    </xf>
    <xf numFmtId="43" fontId="5" fillId="5" borderId="0" xfId="3" applyFont="1" applyFill="1" applyBorder="1" applyAlignment="1">
      <alignment vertical="center"/>
    </xf>
    <xf numFmtId="0" fontId="3" fillId="5" borderId="0" xfId="0" applyFont="1" applyFill="1" applyAlignment="1">
      <alignment vertical="center"/>
    </xf>
    <xf numFmtId="0" fontId="13" fillId="5" borderId="8" xfId="0" applyFont="1" applyFill="1" applyBorder="1" applyAlignment="1">
      <alignment horizontal="left" vertical="center" wrapText="1"/>
    </xf>
    <xf numFmtId="0" fontId="13" fillId="5" borderId="0" xfId="0" applyFont="1" applyFill="1" applyAlignment="1">
      <alignment horizontal="left" vertical="center" wrapText="1"/>
    </xf>
    <xf numFmtId="0" fontId="13" fillId="5" borderId="10" xfId="0" applyFont="1" applyFill="1" applyBorder="1" applyAlignment="1">
      <alignment horizontal="left" vertical="center" wrapText="1"/>
    </xf>
    <xf numFmtId="10" fontId="5" fillId="5" borderId="0" xfId="0" applyNumberFormat="1" applyFont="1" applyFill="1" applyAlignment="1">
      <alignment horizontal="center" vertical="center"/>
    </xf>
    <xf numFmtId="2" fontId="5" fillId="5" borderId="0" xfId="0" applyNumberFormat="1" applyFont="1" applyFill="1" applyAlignment="1">
      <alignment vertical="center"/>
    </xf>
    <xf numFmtId="0" fontId="16" fillId="5" borderId="0" xfId="0" applyFont="1" applyFill="1" applyAlignment="1">
      <alignment horizontal="left" vertical="center"/>
    </xf>
    <xf numFmtId="0" fontId="18" fillId="5" borderId="0" xfId="0" applyFont="1" applyFill="1" applyAlignment="1">
      <alignment horizontal="left" vertical="center"/>
    </xf>
    <xf numFmtId="0" fontId="5" fillId="5" borderId="0" xfId="0" applyFont="1" applyFill="1" applyAlignment="1">
      <alignment horizontal="center" vertical="center"/>
    </xf>
    <xf numFmtId="0" fontId="8" fillId="5" borderId="0" xfId="0" applyFont="1" applyFill="1" applyAlignment="1">
      <alignment horizontal="center" vertical="center"/>
    </xf>
    <xf numFmtId="43" fontId="6" fillId="5" borderId="0" xfId="3" applyFont="1" applyFill="1" applyBorder="1" applyAlignment="1">
      <alignment vertical="center"/>
    </xf>
    <xf numFmtId="0" fontId="5" fillId="5" borderId="0" xfId="0" applyFont="1" applyFill="1" applyAlignment="1">
      <alignment horizontal="center" vertical="center" wrapText="1"/>
    </xf>
    <xf numFmtId="0" fontId="0" fillId="0" borderId="0" xfId="0" applyAlignment="1">
      <alignment vertical="center"/>
    </xf>
    <xf numFmtId="43" fontId="10" fillId="5" borderId="0" xfId="3" applyFont="1" applyFill="1" applyBorder="1" applyAlignment="1">
      <alignment vertical="center"/>
    </xf>
    <xf numFmtId="0" fontId="13" fillId="5" borderId="0" xfId="0" applyFont="1" applyFill="1" applyAlignment="1">
      <alignment vertical="center"/>
    </xf>
    <xf numFmtId="0" fontId="5" fillId="3" borderId="1" xfId="0" applyFont="1" applyFill="1" applyBorder="1" applyAlignment="1">
      <alignment horizontal="center" vertical="center"/>
    </xf>
    <xf numFmtId="0" fontId="5" fillId="5" borderId="6" xfId="0" applyFont="1" applyFill="1" applyBorder="1" applyAlignment="1">
      <alignment vertical="center" wrapText="1"/>
    </xf>
    <xf numFmtId="0" fontId="5" fillId="5" borderId="9" xfId="0" applyFont="1" applyFill="1" applyBorder="1" applyAlignment="1">
      <alignment vertical="center" wrapText="1"/>
    </xf>
    <xf numFmtId="10" fontId="6" fillId="0" borderId="1" xfId="0" applyNumberFormat="1" applyFont="1" applyBorder="1" applyAlignment="1">
      <alignment horizontal="center" vertical="center"/>
    </xf>
    <xf numFmtId="43" fontId="6" fillId="0" borderId="1" xfId="3" applyFont="1" applyFill="1" applyBorder="1" applyAlignment="1">
      <alignment vertical="center"/>
    </xf>
    <xf numFmtId="0" fontId="5" fillId="5" borderId="0" xfId="0" applyFont="1" applyFill="1" applyAlignment="1">
      <alignment vertical="center"/>
    </xf>
    <xf numFmtId="0" fontId="5" fillId="0" borderId="6" xfId="0" applyFont="1" applyBorder="1" applyAlignment="1">
      <alignment vertical="center"/>
    </xf>
    <xf numFmtId="0" fontId="5" fillId="0" borderId="9" xfId="0" applyFont="1" applyBorder="1" applyAlignment="1">
      <alignment vertical="center"/>
    </xf>
    <xf numFmtId="0" fontId="5" fillId="5" borderId="6" xfId="0" applyFont="1" applyFill="1" applyBorder="1" applyAlignment="1">
      <alignment vertical="center"/>
    </xf>
    <xf numFmtId="0" fontId="5" fillId="5" borderId="9" xfId="0" applyFont="1" applyFill="1" applyBorder="1" applyAlignment="1">
      <alignment vertical="center"/>
    </xf>
    <xf numFmtId="0" fontId="5" fillId="3" borderId="1" xfId="0" applyFont="1" applyFill="1" applyBorder="1" applyAlignment="1">
      <alignment vertical="center"/>
    </xf>
    <xf numFmtId="0" fontId="5" fillId="3" borderId="9" xfId="0" applyFont="1" applyFill="1" applyBorder="1" applyAlignment="1">
      <alignment vertical="center" wrapText="1"/>
    </xf>
    <xf numFmtId="0" fontId="5" fillId="5" borderId="10" xfId="0" applyFont="1" applyFill="1" applyBorder="1" applyAlignment="1">
      <alignment horizontal="center" vertical="center"/>
    </xf>
    <xf numFmtId="43" fontId="6" fillId="5" borderId="0" xfId="3" applyFont="1" applyFill="1" applyBorder="1" applyAlignment="1">
      <alignment horizontal="center" vertical="center"/>
    </xf>
    <xf numFmtId="0" fontId="6" fillId="5" borderId="0" xfId="0" applyFont="1" applyFill="1" applyAlignment="1">
      <alignment horizontal="center" vertical="center" wrapText="1"/>
    </xf>
    <xf numFmtId="43" fontId="6" fillId="5" borderId="0" xfId="0" applyNumberFormat="1" applyFont="1" applyFill="1" applyAlignment="1">
      <alignment vertical="center"/>
    </xf>
    <xf numFmtId="43" fontId="6" fillId="5" borderId="0" xfId="3" applyFont="1" applyFill="1" applyBorder="1" applyAlignment="1">
      <alignment horizontal="right" vertical="center"/>
    </xf>
    <xf numFmtId="43" fontId="5" fillId="5" borderId="0" xfId="3" applyFont="1" applyFill="1" applyBorder="1" applyAlignment="1">
      <alignment horizontal="center" vertical="center"/>
    </xf>
    <xf numFmtId="43" fontId="5" fillId="5" borderId="0" xfId="0" applyNumberFormat="1" applyFont="1" applyFill="1" applyAlignment="1">
      <alignment horizontal="center" vertical="center"/>
    </xf>
    <xf numFmtId="164" fontId="5" fillId="5" borderId="0" xfId="1" applyFont="1" applyFill="1" applyBorder="1" applyAlignment="1">
      <alignment vertical="center"/>
    </xf>
    <xf numFmtId="0" fontId="0" fillId="5" borderId="0" xfId="0" applyFill="1" applyAlignment="1">
      <alignment vertical="center"/>
    </xf>
    <xf numFmtId="8" fontId="23" fillId="2" borderId="12" xfId="0" applyNumberFormat="1" applyFont="1" applyFill="1" applyBorder="1" applyAlignment="1">
      <alignment horizontal="center" vertical="center"/>
    </xf>
    <xf numFmtId="0" fontId="6" fillId="5" borderId="0" xfId="0" applyFont="1" applyFill="1" applyAlignment="1">
      <alignment vertical="center"/>
    </xf>
    <xf numFmtId="0" fontId="25" fillId="0" borderId="0" xfId="14"/>
    <xf numFmtId="0" fontId="27" fillId="0" borderId="0" xfId="14" applyFont="1" applyAlignment="1">
      <alignment wrapText="1"/>
    </xf>
    <xf numFmtId="0" fontId="28" fillId="0" borderId="13" xfId="14" applyFont="1" applyBorder="1" applyAlignment="1">
      <alignment horizontal="center" vertical="center" wrapText="1"/>
    </xf>
    <xf numFmtId="0" fontId="28" fillId="11" borderId="13" xfId="14" applyFont="1" applyFill="1" applyBorder="1" applyAlignment="1">
      <alignment horizontal="center" vertical="center" wrapText="1"/>
    </xf>
    <xf numFmtId="0" fontId="28" fillId="12" borderId="13" xfId="14" applyFont="1" applyFill="1" applyBorder="1" applyAlignment="1">
      <alignment horizontal="center" vertical="center" wrapText="1"/>
    </xf>
    <xf numFmtId="0" fontId="28" fillId="12" borderId="14" xfId="14" applyFont="1" applyFill="1" applyBorder="1" applyAlignment="1">
      <alignment horizontal="center" vertical="center" wrapText="1"/>
    </xf>
    <xf numFmtId="0" fontId="27" fillId="2" borderId="15" xfId="14" applyFont="1" applyFill="1" applyBorder="1" applyAlignment="1">
      <alignment wrapText="1"/>
    </xf>
    <xf numFmtId="0" fontId="27" fillId="2" borderId="16" xfId="14" applyFont="1" applyFill="1" applyBorder="1" applyAlignment="1">
      <alignment wrapText="1"/>
    </xf>
    <xf numFmtId="2" fontId="27" fillId="2" borderId="16" xfId="14" applyNumberFormat="1" applyFont="1" applyFill="1" applyBorder="1" applyAlignment="1">
      <alignment wrapText="1"/>
    </xf>
    <xf numFmtId="0" fontId="27" fillId="2" borderId="17" xfId="14" applyFont="1" applyFill="1" applyBorder="1" applyAlignment="1">
      <alignment wrapText="1"/>
    </xf>
    <xf numFmtId="2" fontId="29" fillId="0" borderId="1" xfId="14" applyNumberFormat="1" applyFont="1" applyBorder="1" applyAlignment="1">
      <alignment wrapText="1"/>
    </xf>
    <xf numFmtId="2" fontId="29" fillId="2" borderId="16" xfId="14" applyNumberFormat="1" applyFont="1" applyFill="1" applyBorder="1" applyAlignment="1">
      <alignment wrapText="1"/>
    </xf>
    <xf numFmtId="0" fontId="27" fillId="2" borderId="13" xfId="14" applyFont="1" applyFill="1" applyBorder="1" applyAlignment="1">
      <alignment wrapText="1"/>
    </xf>
    <xf numFmtId="2" fontId="27" fillId="2" borderId="14" xfId="14" applyNumberFormat="1" applyFont="1" applyFill="1" applyBorder="1" applyAlignment="1">
      <alignment wrapText="1"/>
    </xf>
    <xf numFmtId="2" fontId="25" fillId="0" borderId="0" xfId="14" applyNumberFormat="1"/>
    <xf numFmtId="0" fontId="29" fillId="0" borderId="11" xfId="14" applyFont="1" applyBorder="1" applyAlignment="1">
      <alignment wrapText="1"/>
    </xf>
    <xf numFmtId="2" fontId="29" fillId="0" borderId="18" xfId="14" applyNumberFormat="1" applyFont="1" applyBorder="1" applyAlignment="1">
      <alignment wrapText="1"/>
    </xf>
    <xf numFmtId="0" fontId="27" fillId="0" borderId="0" xfId="14" applyFont="1" applyAlignment="1">
      <alignment vertical="center" wrapText="1"/>
    </xf>
    <xf numFmtId="0" fontId="25" fillId="0" borderId="0" xfId="14" applyAlignment="1">
      <alignment wrapText="1"/>
    </xf>
    <xf numFmtId="0" fontId="28" fillId="0" borderId="0" xfId="14" applyFont="1" applyAlignment="1">
      <alignment vertical="center" wrapText="1"/>
    </xf>
    <xf numFmtId="0" fontId="25" fillId="0" borderId="0" xfId="14" applyAlignment="1">
      <alignment vertical="center" wrapText="1"/>
    </xf>
    <xf numFmtId="166" fontId="29" fillId="5" borderId="0" xfId="14" applyNumberFormat="1" applyFont="1" applyFill="1" applyAlignment="1">
      <alignment wrapText="1"/>
    </xf>
    <xf numFmtId="166" fontId="25" fillId="0" borderId="0" xfId="14" applyNumberFormat="1" applyAlignment="1">
      <alignment wrapText="1"/>
    </xf>
    <xf numFmtId="10" fontId="25" fillId="0" borderId="0" xfId="14" applyNumberFormat="1" applyAlignment="1">
      <alignment wrapText="1"/>
    </xf>
    <xf numFmtId="2" fontId="25" fillId="0" borderId="0" xfId="14" applyNumberFormat="1" applyAlignment="1">
      <alignment wrapText="1"/>
    </xf>
    <xf numFmtId="43" fontId="27" fillId="2" borderId="16" xfId="14" applyNumberFormat="1" applyFont="1" applyFill="1" applyBorder="1" applyAlignment="1">
      <alignment vertical="center" wrapText="1"/>
    </xf>
    <xf numFmtId="0" fontId="3" fillId="0" borderId="0" xfId="0" applyFont="1" applyAlignment="1">
      <alignment vertical="center"/>
    </xf>
    <xf numFmtId="43" fontId="6" fillId="0" borderId="20" xfId="3" applyFont="1" applyFill="1" applyBorder="1" applyAlignment="1">
      <alignment horizontal="center" vertical="center"/>
    </xf>
    <xf numFmtId="10" fontId="5" fillId="3" borderId="21" xfId="0" applyNumberFormat="1" applyFont="1" applyFill="1" applyBorder="1" applyAlignment="1">
      <alignment horizontal="center" vertical="center"/>
    </xf>
    <xf numFmtId="0" fontId="5" fillId="3" borderId="23" xfId="0" applyFont="1" applyFill="1" applyBorder="1" applyAlignment="1">
      <alignment vertical="center"/>
    </xf>
    <xf numFmtId="166" fontId="13" fillId="8" borderId="20" xfId="0" applyNumberFormat="1" applyFont="1" applyFill="1" applyBorder="1" applyAlignment="1">
      <alignment horizontal="center" vertical="center"/>
    </xf>
    <xf numFmtId="43" fontId="6" fillId="7" borderId="20" xfId="3" applyFont="1" applyFill="1" applyBorder="1" applyAlignment="1">
      <alignment horizontal="right" vertical="center"/>
    </xf>
    <xf numFmtId="0" fontId="13" fillId="0" borderId="24" xfId="0" applyFont="1" applyBorder="1" applyAlignment="1">
      <alignment vertical="center"/>
    </xf>
    <xf numFmtId="0" fontId="13" fillId="0" borderId="23" xfId="0" applyFont="1" applyBorder="1" applyAlignment="1">
      <alignment vertical="center"/>
    </xf>
    <xf numFmtId="0" fontId="6" fillId="0" borderId="20" xfId="0" applyFont="1" applyBorder="1" applyAlignment="1">
      <alignment vertical="center"/>
    </xf>
    <xf numFmtId="0" fontId="5" fillId="0" borderId="25" xfId="0" applyFont="1" applyBorder="1" applyAlignment="1">
      <alignment vertical="center"/>
    </xf>
    <xf numFmtId="10" fontId="6" fillId="7" borderId="20" xfId="0" applyNumberFormat="1" applyFont="1" applyFill="1" applyBorder="1" applyAlignment="1">
      <alignment horizontal="center" vertical="center"/>
    </xf>
    <xf numFmtId="43" fontId="5" fillId="0" borderId="20" xfId="3" applyFont="1" applyFill="1" applyBorder="1" applyAlignment="1">
      <alignment vertical="center"/>
    </xf>
    <xf numFmtId="10" fontId="10" fillId="0" borderId="20" xfId="0" applyNumberFormat="1" applyFont="1" applyBorder="1" applyAlignment="1">
      <alignment horizontal="center" vertical="center"/>
    </xf>
    <xf numFmtId="9" fontId="6" fillId="3" borderId="20" xfId="0" applyNumberFormat="1" applyFont="1" applyFill="1" applyBorder="1" applyAlignment="1">
      <alignment horizontal="center" vertical="center"/>
    </xf>
    <xf numFmtId="43" fontId="5" fillId="0" borderId="20" xfId="3" applyFont="1" applyFill="1" applyBorder="1" applyAlignment="1">
      <alignment horizontal="center" vertical="center"/>
    </xf>
    <xf numFmtId="1" fontId="6" fillId="3" borderId="20" xfId="0" applyNumberFormat="1" applyFont="1" applyFill="1" applyBorder="1" applyAlignment="1">
      <alignment horizontal="center" vertical="center"/>
    </xf>
    <xf numFmtId="0" fontId="5" fillId="0" borderId="25" xfId="0" applyFont="1" applyBorder="1" applyAlignment="1">
      <alignment horizontal="center" vertical="center"/>
    </xf>
    <xf numFmtId="0" fontId="6" fillId="0" borderId="25" xfId="0" applyFont="1" applyBorder="1" applyAlignment="1">
      <alignment vertical="center" wrapText="1"/>
    </xf>
    <xf numFmtId="0" fontId="13" fillId="0" borderId="25" xfId="0" applyFont="1" applyBorder="1" applyAlignment="1">
      <alignment vertical="center" wrapText="1"/>
    </xf>
    <xf numFmtId="0" fontId="13" fillId="0" borderId="24" xfId="0" applyFont="1" applyBorder="1" applyAlignment="1">
      <alignment vertical="center" wrapText="1"/>
    </xf>
    <xf numFmtId="0" fontId="13" fillId="0" borderId="23" xfId="0" applyFont="1" applyBorder="1" applyAlignment="1">
      <alignment vertical="center" wrapText="1"/>
    </xf>
    <xf numFmtId="2" fontId="6" fillId="7" borderId="20" xfId="0" applyNumberFormat="1" applyFont="1" applyFill="1" applyBorder="1" applyAlignment="1">
      <alignment horizontal="center" vertical="center"/>
    </xf>
    <xf numFmtId="0" fontId="5" fillId="3" borderId="23" xfId="0" applyFont="1" applyFill="1" applyBorder="1" applyAlignment="1">
      <alignment horizontal="center" vertical="center"/>
    </xf>
    <xf numFmtId="0" fontId="5" fillId="5" borderId="22" xfId="0" applyFont="1" applyFill="1" applyBorder="1" applyAlignment="1">
      <alignment horizontal="center" vertical="center"/>
    </xf>
    <xf numFmtId="0" fontId="6" fillId="5" borderId="25" xfId="0" applyFont="1" applyFill="1" applyBorder="1" applyAlignment="1">
      <alignment vertical="center"/>
    </xf>
    <xf numFmtId="0" fontId="6" fillId="5" borderId="24" xfId="0" applyFont="1" applyFill="1" applyBorder="1" applyAlignment="1">
      <alignment vertical="center"/>
    </xf>
    <xf numFmtId="0" fontId="6" fillId="5" borderId="23" xfId="0" applyFont="1" applyFill="1" applyBorder="1" applyAlignment="1">
      <alignment vertical="center"/>
    </xf>
    <xf numFmtId="10" fontId="6" fillId="7" borderId="20" xfId="0" applyNumberFormat="1" applyFont="1" applyFill="1" applyBorder="1" applyAlignment="1">
      <alignment horizontal="right" vertical="center"/>
    </xf>
    <xf numFmtId="0" fontId="6" fillId="3" borderId="20" xfId="2" applyNumberFormat="1" applyFont="1" applyFill="1" applyBorder="1" applyAlignment="1">
      <alignment horizontal="right" vertical="center"/>
    </xf>
    <xf numFmtId="10" fontId="6" fillId="7" borderId="20" xfId="2" applyNumberFormat="1" applyFont="1" applyFill="1" applyBorder="1" applyAlignment="1">
      <alignment horizontal="right" vertical="center"/>
    </xf>
    <xf numFmtId="0" fontId="5" fillId="3" borderId="24" xfId="0" applyFont="1" applyFill="1" applyBorder="1" applyAlignment="1">
      <alignment horizontal="center" vertical="center"/>
    </xf>
    <xf numFmtId="0" fontId="18" fillId="3" borderId="23" xfId="0" applyFont="1" applyFill="1" applyBorder="1" applyAlignment="1">
      <alignment vertical="center"/>
    </xf>
    <xf numFmtId="0" fontId="5" fillId="2" borderId="24" xfId="0" applyFont="1" applyFill="1" applyBorder="1" applyAlignment="1">
      <alignment vertical="center"/>
    </xf>
    <xf numFmtId="0" fontId="18" fillId="0" borderId="25" xfId="0" applyFont="1" applyBorder="1" applyAlignment="1">
      <alignment vertical="center"/>
    </xf>
    <xf numFmtId="0" fontId="18" fillId="0" borderId="24" xfId="0" applyFont="1" applyBorder="1" applyAlignment="1">
      <alignment vertical="center"/>
    </xf>
    <xf numFmtId="0" fontId="18" fillId="0" borderId="23" xfId="0" applyFont="1" applyBorder="1" applyAlignment="1">
      <alignment vertical="center"/>
    </xf>
    <xf numFmtId="0" fontId="13" fillId="0" borderId="22" xfId="0" applyFont="1" applyBorder="1" applyAlignment="1">
      <alignment vertical="center"/>
    </xf>
    <xf numFmtId="0" fontId="13" fillId="0" borderId="19" xfId="0" applyFont="1" applyBorder="1" applyAlignment="1">
      <alignment vertical="center"/>
    </xf>
    <xf numFmtId="0" fontId="5" fillId="3" borderId="25" xfId="0" applyFont="1" applyFill="1" applyBorder="1" applyAlignment="1">
      <alignment horizontal="center" vertical="center"/>
    </xf>
    <xf numFmtId="0" fontId="18" fillId="3" borderId="25" xfId="0" applyFont="1" applyFill="1" applyBorder="1" applyAlignment="1">
      <alignment vertical="center"/>
    </xf>
    <xf numFmtId="0" fontId="18" fillId="3" borderId="24" xfId="0" applyFont="1" applyFill="1" applyBorder="1" applyAlignment="1">
      <alignment vertical="center"/>
    </xf>
    <xf numFmtId="164" fontId="5" fillId="3" borderId="23" xfId="1" applyFont="1" applyFill="1" applyBorder="1" applyAlignment="1">
      <alignment vertical="center"/>
    </xf>
    <xf numFmtId="2" fontId="3" fillId="0" borderId="0" xfId="0" applyNumberFormat="1" applyFont="1" applyAlignment="1">
      <alignment vertical="center"/>
    </xf>
    <xf numFmtId="2" fontId="3" fillId="5" borderId="0" xfId="0" applyNumberFormat="1" applyFont="1" applyFill="1" applyAlignment="1">
      <alignment vertical="center"/>
    </xf>
    <xf numFmtId="0" fontId="5" fillId="2" borderId="20" xfId="0" applyFont="1" applyFill="1" applyBorder="1" applyAlignment="1">
      <alignment horizontal="center" vertical="center"/>
    </xf>
    <xf numFmtId="0" fontId="18" fillId="5" borderId="20" xfId="0" applyFont="1" applyFill="1" applyBorder="1" applyAlignment="1">
      <alignment horizontal="center" vertical="center"/>
    </xf>
    <xf numFmtId="0" fontId="5" fillId="0" borderId="20" xfId="0" applyFont="1" applyBorder="1" applyAlignment="1">
      <alignment vertical="center"/>
    </xf>
    <xf numFmtId="0" fontId="7" fillId="9" borderId="20" xfId="0" applyFont="1" applyFill="1" applyBorder="1" applyAlignment="1">
      <alignment horizontal="center" vertical="center"/>
    </xf>
    <xf numFmtId="0" fontId="5" fillId="2" borderId="25" xfId="0" applyFont="1" applyFill="1" applyBorder="1" applyAlignment="1">
      <alignment vertical="center"/>
    </xf>
    <xf numFmtId="0" fontId="5" fillId="2" borderId="23" xfId="0" applyFont="1" applyFill="1" applyBorder="1" applyAlignment="1">
      <alignment vertical="center"/>
    </xf>
    <xf numFmtId="0" fontId="5" fillId="3" borderId="20" xfId="0" applyFont="1" applyFill="1" applyBorder="1" applyAlignment="1">
      <alignment horizontal="center" vertical="center"/>
    </xf>
    <xf numFmtId="0" fontId="5" fillId="0" borderId="20" xfId="0" applyFont="1" applyBorder="1" applyAlignment="1">
      <alignment horizontal="center" vertical="center"/>
    </xf>
    <xf numFmtId="0" fontId="6" fillId="0" borderId="25" xfId="0" applyFont="1" applyBorder="1" applyAlignment="1">
      <alignment vertical="center"/>
    </xf>
    <xf numFmtId="0" fontId="6" fillId="3" borderId="20" xfId="0" applyFont="1" applyFill="1" applyBorder="1" applyAlignment="1">
      <alignment vertical="center"/>
    </xf>
    <xf numFmtId="43" fontId="6" fillId="7" borderId="20" xfId="3" applyFont="1" applyFill="1" applyBorder="1" applyAlignment="1">
      <alignment vertical="center"/>
    </xf>
    <xf numFmtId="9" fontId="6" fillId="7" borderId="20" xfId="2" applyFont="1" applyFill="1" applyBorder="1" applyAlignment="1">
      <alignment horizontal="center" vertical="center"/>
    </xf>
    <xf numFmtId="43" fontId="6" fillId="0" borderId="20" xfId="3" applyFont="1" applyBorder="1" applyAlignment="1">
      <alignment vertical="center"/>
    </xf>
    <xf numFmtId="0" fontId="6" fillId="0" borderId="24" xfId="0" applyFont="1" applyBorder="1" applyAlignment="1">
      <alignment vertical="center"/>
    </xf>
    <xf numFmtId="0" fontId="13" fillId="0" borderId="25" xfId="0" applyFont="1" applyBorder="1" applyAlignment="1">
      <alignment vertical="center"/>
    </xf>
    <xf numFmtId="0" fontId="13" fillId="8" borderId="20" xfId="0" applyFont="1" applyFill="1" applyBorder="1" applyAlignment="1">
      <alignment vertical="center"/>
    </xf>
    <xf numFmtId="4" fontId="13" fillId="8" borderId="20" xfId="0" applyNumberFormat="1" applyFont="1" applyFill="1" applyBorder="1" applyAlignment="1">
      <alignment vertical="center"/>
    </xf>
    <xf numFmtId="10" fontId="6" fillId="7" borderId="20" xfId="2" applyNumberFormat="1" applyFont="1" applyFill="1" applyBorder="1" applyAlignment="1">
      <alignment horizontal="center" vertical="center"/>
    </xf>
    <xf numFmtId="43" fontId="6" fillId="5" borderId="20" xfId="3" applyFont="1" applyFill="1" applyBorder="1" applyAlignment="1">
      <alignment vertical="center"/>
    </xf>
    <xf numFmtId="0" fontId="5" fillId="8" borderId="20" xfId="0" applyFont="1" applyFill="1" applyBorder="1" applyAlignment="1">
      <alignment horizontal="center" vertical="center"/>
    </xf>
    <xf numFmtId="0" fontId="6" fillId="8" borderId="24" xfId="0" applyFont="1" applyFill="1" applyBorder="1" applyAlignment="1">
      <alignment vertical="center"/>
    </xf>
    <xf numFmtId="10" fontId="6" fillId="8" borderId="20" xfId="2" applyNumberFormat="1" applyFont="1" applyFill="1" applyBorder="1" applyAlignment="1">
      <alignment horizontal="center" vertical="center"/>
    </xf>
    <xf numFmtId="43" fontId="6" fillId="8" borderId="20" xfId="3" applyFont="1" applyFill="1" applyBorder="1" applyAlignment="1">
      <alignment vertical="center"/>
    </xf>
    <xf numFmtId="0" fontId="5" fillId="8" borderId="21" xfId="0" applyFont="1" applyFill="1" applyBorder="1" applyAlignment="1">
      <alignment horizontal="center" vertical="center"/>
    </xf>
    <xf numFmtId="10" fontId="6" fillId="8" borderId="20" xfId="2" applyNumberFormat="1" applyFont="1" applyFill="1" applyBorder="1" applyAlignment="1">
      <alignment vertical="center"/>
    </xf>
    <xf numFmtId="43" fontId="6" fillId="0" borderId="20" xfId="3" applyFont="1" applyBorder="1" applyAlignment="1">
      <alignment horizontal="center" vertical="center"/>
    </xf>
    <xf numFmtId="0" fontId="5" fillId="3" borderId="20" xfId="0" applyFont="1" applyFill="1" applyBorder="1" applyAlignment="1">
      <alignment vertical="center"/>
    </xf>
    <xf numFmtId="43" fontId="5" fillId="3" borderId="20" xfId="3" applyFont="1" applyFill="1" applyBorder="1" applyAlignment="1">
      <alignment vertical="center"/>
    </xf>
    <xf numFmtId="0" fontId="17" fillId="2" borderId="20"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5" borderId="20" xfId="0" applyFont="1" applyFill="1" applyBorder="1" applyAlignment="1">
      <alignment horizontal="center" vertical="center"/>
    </xf>
    <xf numFmtId="43" fontId="6" fillId="0" borderId="20" xfId="0" applyNumberFormat="1" applyFont="1" applyBorder="1" applyAlignment="1">
      <alignment vertical="center"/>
    </xf>
    <xf numFmtId="10" fontId="6" fillId="0" borderId="20" xfId="0" applyNumberFormat="1" applyFont="1" applyBorder="1" applyAlignment="1">
      <alignment horizontal="center" vertical="center"/>
    </xf>
    <xf numFmtId="43" fontId="6" fillId="0" borderId="20" xfId="3" applyFont="1" applyFill="1" applyBorder="1" applyAlignment="1">
      <alignment vertical="center"/>
    </xf>
    <xf numFmtId="10" fontId="5" fillId="3" borderId="20" xfId="0" applyNumberFormat="1" applyFont="1" applyFill="1" applyBorder="1" applyAlignment="1">
      <alignment horizontal="center" vertical="center"/>
    </xf>
    <xf numFmtId="0" fontId="6" fillId="0" borderId="22" xfId="0" applyFont="1" applyBorder="1" applyAlignment="1">
      <alignment vertical="center"/>
    </xf>
    <xf numFmtId="0" fontId="13" fillId="5" borderId="25" xfId="0" applyFont="1" applyFill="1" applyBorder="1" applyAlignment="1">
      <alignment vertical="center"/>
    </xf>
    <xf numFmtId="0" fontId="13" fillId="5" borderId="24" xfId="0" applyFont="1" applyFill="1" applyBorder="1" applyAlignment="1">
      <alignment vertical="center"/>
    </xf>
    <xf numFmtId="0" fontId="13" fillId="5" borderId="23" xfId="0" applyFont="1" applyFill="1" applyBorder="1" applyAlignment="1">
      <alignment vertical="center"/>
    </xf>
    <xf numFmtId="0" fontId="13" fillId="5" borderId="25" xfId="0" applyFont="1" applyFill="1" applyBorder="1" applyAlignment="1">
      <alignment vertical="center" wrapText="1"/>
    </xf>
    <xf numFmtId="0" fontId="13" fillId="5" borderId="24" xfId="0" applyFont="1" applyFill="1" applyBorder="1" applyAlignment="1">
      <alignment vertical="center" wrapText="1"/>
    </xf>
    <xf numFmtId="0" fontId="13" fillId="5" borderId="23" xfId="0" applyFont="1" applyFill="1" applyBorder="1" applyAlignment="1">
      <alignment vertical="center" wrapText="1"/>
    </xf>
    <xf numFmtId="0" fontId="18" fillId="5" borderId="25" xfId="0" applyFont="1" applyFill="1" applyBorder="1" applyAlignment="1">
      <alignment vertical="center"/>
    </xf>
    <xf numFmtId="0" fontId="18" fillId="5" borderId="24" xfId="0" applyFont="1" applyFill="1" applyBorder="1" applyAlignment="1">
      <alignment vertical="center"/>
    </xf>
    <xf numFmtId="0" fontId="18" fillId="5" borderId="23" xfId="0" applyFont="1" applyFill="1" applyBorder="1" applyAlignment="1">
      <alignment vertical="center"/>
    </xf>
    <xf numFmtId="164" fontId="5" fillId="3" borderId="20" xfId="1" applyFont="1" applyFill="1" applyBorder="1" applyAlignment="1">
      <alignment vertical="center"/>
    </xf>
    <xf numFmtId="0" fontId="13" fillId="5" borderId="22" xfId="0" applyFont="1" applyFill="1" applyBorder="1" applyAlignment="1">
      <alignment vertical="center"/>
    </xf>
    <xf numFmtId="0" fontId="13" fillId="5" borderId="19" xfId="0" applyFont="1" applyFill="1" applyBorder="1" applyAlignment="1">
      <alignment vertical="center"/>
    </xf>
    <xf numFmtId="0" fontId="27" fillId="0" borderId="26" xfId="14" applyFont="1" applyBorder="1" applyAlignment="1">
      <alignment wrapText="1"/>
    </xf>
    <xf numFmtId="0" fontId="27" fillId="0" borderId="20" xfId="14" applyFont="1" applyBorder="1" applyAlignment="1">
      <alignment wrapText="1"/>
    </xf>
    <xf numFmtId="43" fontId="27" fillId="0" borderId="20" xfId="14" applyNumberFormat="1" applyFont="1" applyBorder="1" applyAlignment="1">
      <alignment vertical="center" wrapText="1"/>
    </xf>
    <xf numFmtId="2" fontId="27" fillId="0" borderId="20" xfId="14" applyNumberFormat="1" applyFont="1" applyBorder="1" applyAlignment="1">
      <alignment wrapText="1"/>
    </xf>
    <xf numFmtId="0" fontId="29" fillId="0" borderId="27" xfId="14" applyFont="1" applyBorder="1" applyAlignment="1">
      <alignment wrapText="1"/>
    </xf>
    <xf numFmtId="0" fontId="27" fillId="0" borderId="28" xfId="14" applyFont="1" applyBorder="1" applyAlignment="1">
      <alignment wrapText="1"/>
    </xf>
    <xf numFmtId="0" fontId="27" fillId="0" borderId="29" xfId="14" applyFont="1" applyBorder="1" applyAlignment="1">
      <alignment wrapText="1"/>
    </xf>
    <xf numFmtId="43" fontId="27" fillId="0" borderId="29" xfId="14" applyNumberFormat="1" applyFont="1" applyBorder="1" applyAlignment="1">
      <alignment vertical="center" wrapText="1"/>
    </xf>
    <xf numFmtId="2" fontId="27" fillId="0" borderId="29" xfId="14" applyNumberFormat="1" applyFont="1" applyBorder="1" applyAlignment="1">
      <alignment wrapText="1"/>
    </xf>
    <xf numFmtId="0" fontId="29" fillId="0" borderId="30" xfId="14" applyFont="1" applyBorder="1" applyAlignment="1">
      <alignment wrapText="1"/>
    </xf>
    <xf numFmtId="0" fontId="29" fillId="0" borderId="20" xfId="14" applyFont="1" applyBorder="1" applyAlignment="1">
      <alignment wrapText="1"/>
    </xf>
    <xf numFmtId="2" fontId="29" fillId="0" borderId="27" xfId="14" applyNumberFormat="1" applyFont="1" applyBorder="1" applyAlignment="1">
      <alignment wrapText="1"/>
    </xf>
    <xf numFmtId="0" fontId="29" fillId="0" borderId="29" xfId="14" applyFont="1" applyBorder="1" applyAlignment="1">
      <alignment wrapText="1"/>
    </xf>
    <xf numFmtId="2" fontId="29" fillId="0" borderId="30" xfId="14" applyNumberFormat="1" applyFont="1" applyBorder="1" applyAlignment="1">
      <alignment wrapText="1"/>
    </xf>
    <xf numFmtId="166" fontId="6" fillId="0" borderId="0" xfId="0" applyNumberFormat="1" applyFont="1" applyAlignment="1">
      <alignment vertical="center"/>
    </xf>
    <xf numFmtId="43" fontId="0" fillId="5" borderId="0" xfId="0" applyNumberFormat="1" applyFill="1" applyAlignment="1">
      <alignment vertical="center"/>
    </xf>
    <xf numFmtId="0" fontId="5" fillId="5" borderId="7" xfId="0" applyFont="1" applyFill="1" applyBorder="1" applyAlignment="1">
      <alignment horizontal="center" vertical="center"/>
    </xf>
    <xf numFmtId="170" fontId="5" fillId="2" borderId="20" xfId="0" applyNumberFormat="1" applyFont="1" applyFill="1" applyBorder="1" applyAlignment="1">
      <alignment horizontal="center" vertical="center"/>
    </xf>
    <xf numFmtId="0" fontId="23" fillId="2" borderId="20" xfId="0" applyFont="1" applyFill="1" applyBorder="1" applyAlignment="1">
      <alignment horizontal="center" vertical="center" wrapText="1"/>
    </xf>
    <xf numFmtId="0" fontId="24" fillId="5" borderId="20" xfId="0" applyFont="1" applyFill="1" applyBorder="1" applyAlignment="1">
      <alignment horizontal="center" vertical="center" wrapText="1"/>
    </xf>
    <xf numFmtId="0" fontId="24" fillId="5" borderId="21" xfId="0" applyFont="1" applyFill="1" applyBorder="1" applyAlignment="1">
      <alignment horizontal="center" vertical="center" wrapText="1"/>
    </xf>
    <xf numFmtId="0" fontId="24" fillId="5" borderId="20" xfId="0" applyFont="1" applyFill="1" applyBorder="1" applyAlignment="1">
      <alignment vertical="center" wrapText="1"/>
    </xf>
    <xf numFmtId="8" fontId="24" fillId="5" borderId="20" xfId="0" applyNumberFormat="1" applyFont="1" applyFill="1" applyBorder="1" applyAlignment="1">
      <alignment horizontal="center" vertical="center" wrapText="1"/>
    </xf>
    <xf numFmtId="0" fontId="24" fillId="5" borderId="20" xfId="0" applyFont="1" applyFill="1" applyBorder="1" applyAlignment="1">
      <alignment horizontal="center" vertical="center"/>
    </xf>
    <xf numFmtId="8" fontId="24" fillId="5" borderId="21" xfId="0" applyNumberFormat="1" applyFont="1" applyFill="1" applyBorder="1" applyAlignment="1">
      <alignment horizontal="center" vertical="center" wrapText="1"/>
    </xf>
    <xf numFmtId="0" fontId="12" fillId="4" borderId="20" xfId="0" applyFont="1" applyFill="1" applyBorder="1" applyAlignment="1">
      <alignment horizontal="center" vertical="center" wrapText="1"/>
    </xf>
    <xf numFmtId="0" fontId="6" fillId="0" borderId="20" xfId="0" applyFont="1" applyBorder="1" applyAlignment="1">
      <alignment horizontal="left" vertical="center" wrapText="1"/>
    </xf>
    <xf numFmtId="165" fontId="11" fillId="0" borderId="20" xfId="3" applyNumberFormat="1" applyFont="1" applyFill="1" applyBorder="1" applyAlignment="1">
      <alignment horizontal="center" vertical="center" wrapText="1"/>
    </xf>
    <xf numFmtId="0" fontId="11" fillId="5" borderId="20" xfId="0" applyFont="1" applyFill="1" applyBorder="1" applyAlignment="1">
      <alignment horizontal="center" vertical="center" wrapText="1"/>
    </xf>
    <xf numFmtId="8" fontId="11" fillId="0" borderId="20" xfId="0" applyNumberFormat="1" applyFont="1" applyBorder="1" applyAlignment="1">
      <alignment horizontal="center" vertical="center" wrapText="1"/>
    </xf>
    <xf numFmtId="8" fontId="11" fillId="5" borderId="20" xfId="0" applyNumberFormat="1" applyFont="1" applyFill="1" applyBorder="1" applyAlignment="1">
      <alignment horizontal="center" vertical="center" wrapText="1"/>
    </xf>
    <xf numFmtId="8" fontId="11" fillId="0" borderId="23" xfId="0" applyNumberFormat="1" applyFont="1" applyBorder="1" applyAlignment="1">
      <alignment horizontal="center" vertical="center" wrapText="1"/>
    </xf>
    <xf numFmtId="8" fontId="12" fillId="0" borderId="20" xfId="0" applyNumberFormat="1" applyFont="1" applyBorder="1" applyAlignment="1">
      <alignment horizontal="center" vertical="center"/>
    </xf>
    <xf numFmtId="8" fontId="5" fillId="2" borderId="20" xfId="0" applyNumberFormat="1" applyFont="1" applyFill="1" applyBorder="1" applyAlignment="1">
      <alignment horizontal="center" vertical="center"/>
    </xf>
    <xf numFmtId="0" fontId="17" fillId="6" borderId="31" xfId="0" applyFont="1" applyFill="1" applyBorder="1" applyAlignment="1">
      <alignment horizontal="center" vertical="center"/>
    </xf>
    <xf numFmtId="0" fontId="13" fillId="0" borderId="7" xfId="0" applyFont="1" applyBorder="1" applyAlignment="1">
      <alignment vertical="center"/>
    </xf>
    <xf numFmtId="43" fontId="3" fillId="5" borderId="0" xfId="0" applyNumberFormat="1" applyFont="1" applyFill="1" applyAlignment="1">
      <alignment vertical="center"/>
    </xf>
    <xf numFmtId="0" fontId="13" fillId="5" borderId="7" xfId="0" applyFont="1" applyFill="1" applyBorder="1" applyAlignment="1">
      <alignment vertical="center"/>
    </xf>
    <xf numFmtId="0" fontId="27" fillId="0" borderId="32" xfId="14" applyFont="1" applyBorder="1" applyAlignment="1">
      <alignment wrapText="1"/>
    </xf>
    <xf numFmtId="2" fontId="29" fillId="0" borderId="33" xfId="14" applyNumberFormat="1" applyFont="1" applyBorder="1" applyAlignment="1">
      <alignment wrapText="1"/>
    </xf>
    <xf numFmtId="0" fontId="28" fillId="0" borderId="34" xfId="14" applyFont="1" applyBorder="1" applyAlignment="1">
      <alignment vertical="center" wrapText="1"/>
    </xf>
    <xf numFmtId="0" fontId="28" fillId="0" borderId="34" xfId="14" applyFont="1" applyBorder="1" applyAlignment="1">
      <alignment horizontal="center" vertical="center" wrapText="1"/>
    </xf>
    <xf numFmtId="0" fontId="27" fillId="0" borderId="34" xfId="14" applyFont="1" applyBorder="1" applyAlignment="1">
      <alignment vertical="center" wrapText="1"/>
    </xf>
    <xf numFmtId="166" fontId="27" fillId="0" borderId="34" xfId="14" applyNumberFormat="1" applyFont="1" applyBorder="1" applyAlignment="1">
      <alignment vertical="center" wrapText="1"/>
    </xf>
    <xf numFmtId="0" fontId="25" fillId="0" borderId="34" xfId="14" applyBorder="1" applyAlignment="1">
      <alignment vertical="center" wrapText="1"/>
    </xf>
    <xf numFmtId="0" fontId="27" fillId="5" borderId="34" xfId="14" applyFont="1" applyFill="1" applyBorder="1" applyAlignment="1">
      <alignment wrapText="1"/>
    </xf>
    <xf numFmtId="166" fontId="27" fillId="5" borderId="34" xfId="14" applyNumberFormat="1" applyFont="1" applyFill="1" applyBorder="1" applyAlignment="1">
      <alignment wrapText="1"/>
    </xf>
    <xf numFmtId="166" fontId="27" fillId="5" borderId="34" xfId="14" applyNumberFormat="1" applyFont="1" applyFill="1" applyBorder="1" applyAlignment="1">
      <alignment vertical="center" wrapText="1"/>
    </xf>
    <xf numFmtId="0" fontId="23" fillId="2" borderId="4"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5" fillId="5" borderId="0" xfId="0" applyFont="1" applyFill="1" applyAlignment="1">
      <alignment horizontal="center" vertical="center"/>
    </xf>
    <xf numFmtId="0" fontId="5" fillId="5" borderId="0" xfId="0" applyFont="1" applyFill="1" applyAlignment="1">
      <alignment horizontal="left" vertical="center" wrapText="1"/>
    </xf>
    <xf numFmtId="0" fontId="24" fillId="5" borderId="20" xfId="0" applyFont="1" applyFill="1" applyBorder="1" applyAlignment="1">
      <alignment horizontal="center" vertical="center" wrapText="1"/>
    </xf>
    <xf numFmtId="0" fontId="24" fillId="5" borderId="21" xfId="0" applyFont="1" applyFill="1" applyBorder="1" applyAlignment="1">
      <alignment horizontal="center" vertical="center" wrapText="1"/>
    </xf>
    <xf numFmtId="0" fontId="24" fillId="5" borderId="1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6" fillId="0" borderId="0" xfId="0" applyFont="1" applyAlignment="1">
      <alignment horizontal="left" vertical="center" wrapText="1"/>
    </xf>
    <xf numFmtId="0" fontId="21" fillId="3" borderId="4"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2" xfId="0" applyFont="1" applyFill="1" applyBorder="1" applyAlignment="1">
      <alignment horizontal="center" vertical="center"/>
    </xf>
    <xf numFmtId="0" fontId="5" fillId="2" borderId="20" xfId="0" applyFont="1" applyFill="1" applyBorder="1" applyAlignment="1">
      <alignment horizontal="center" vertical="center" wrapText="1"/>
    </xf>
    <xf numFmtId="0" fontId="5" fillId="3" borderId="25" xfId="0" applyFont="1" applyFill="1" applyBorder="1" applyAlignment="1">
      <alignment horizontal="center" vertical="center"/>
    </xf>
    <xf numFmtId="0" fontId="5" fillId="3" borderId="23" xfId="0"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wrapText="1"/>
    </xf>
    <xf numFmtId="0" fontId="13" fillId="8" borderId="20"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0" xfId="0" applyFont="1" applyFill="1" applyBorder="1" applyAlignment="1">
      <alignment horizontal="left" vertical="center"/>
    </xf>
    <xf numFmtId="0" fontId="11" fillId="7" borderId="20" xfId="0" applyFont="1" applyFill="1" applyBorder="1" applyAlignment="1">
      <alignment horizontal="left" vertical="center"/>
    </xf>
    <xf numFmtId="0" fontId="8" fillId="5" borderId="0" xfId="0" applyFont="1" applyFill="1" applyAlignment="1">
      <alignment horizontal="center" vertical="center"/>
    </xf>
    <xf numFmtId="0" fontId="5" fillId="3" borderId="24" xfId="0" applyFont="1" applyFill="1" applyBorder="1" applyAlignment="1">
      <alignment horizontal="center" vertical="center"/>
    </xf>
    <xf numFmtId="0" fontId="5" fillId="4" borderId="25"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13" fillId="0" borderId="25" xfId="0" applyFont="1" applyBorder="1" applyAlignment="1">
      <alignment horizontal="left" vertical="center"/>
    </xf>
    <xf numFmtId="0" fontId="13" fillId="0" borderId="24" xfId="0" applyFont="1" applyBorder="1" applyAlignment="1">
      <alignment horizontal="left" vertical="center"/>
    </xf>
    <xf numFmtId="0" fontId="13" fillId="0" borderId="23" xfId="0" applyFont="1" applyBorder="1" applyAlignment="1">
      <alignment horizontal="left" vertical="center"/>
    </xf>
    <xf numFmtId="0" fontId="12" fillId="2" borderId="20" xfId="0" applyFont="1" applyFill="1" applyBorder="1" applyAlignment="1">
      <alignment horizontal="center" vertical="center"/>
    </xf>
    <xf numFmtId="0" fontId="11" fillId="5" borderId="20" xfId="0" applyFont="1" applyFill="1" applyBorder="1" applyAlignment="1">
      <alignment horizontal="left" vertical="center"/>
    </xf>
    <xf numFmtId="166" fontId="11" fillId="7" borderId="20" xfId="0" applyNumberFormat="1" applyFont="1" applyFill="1" applyBorder="1" applyAlignment="1">
      <alignment horizontal="left" vertical="center"/>
    </xf>
    <xf numFmtId="0" fontId="5" fillId="2" borderId="20" xfId="0" applyFont="1" applyFill="1" applyBorder="1" applyAlignment="1">
      <alignment horizontal="center" vertical="center"/>
    </xf>
    <xf numFmtId="0" fontId="13" fillId="8" borderId="25" xfId="0" applyFont="1" applyFill="1" applyBorder="1" applyAlignment="1">
      <alignment horizontal="left" vertical="center"/>
    </xf>
    <xf numFmtId="0" fontId="13" fillId="8" borderId="24" xfId="0" applyFont="1" applyFill="1" applyBorder="1" applyAlignment="1">
      <alignment horizontal="left" vertical="center"/>
    </xf>
    <xf numFmtId="0" fontId="13" fillId="8" borderId="23" xfId="0" applyFont="1" applyFill="1" applyBorder="1" applyAlignment="1">
      <alignment horizontal="left" vertical="center"/>
    </xf>
    <xf numFmtId="0" fontId="5" fillId="2" borderId="25" xfId="0" applyFont="1" applyFill="1" applyBorder="1" applyAlignment="1">
      <alignment horizontal="center" vertical="center"/>
    </xf>
    <xf numFmtId="0" fontId="5" fillId="2" borderId="24" xfId="0" applyFont="1" applyFill="1" applyBorder="1" applyAlignment="1">
      <alignment horizontal="center" vertical="center"/>
    </xf>
    <xf numFmtId="0" fontId="5" fillId="0" borderId="20" xfId="0" applyFont="1" applyBorder="1" applyAlignment="1">
      <alignment horizontal="center" vertical="center"/>
    </xf>
    <xf numFmtId="0" fontId="5" fillId="0" borderId="22" xfId="0" applyFont="1" applyBorder="1" applyAlignment="1">
      <alignment horizontal="center" vertical="center"/>
    </xf>
    <xf numFmtId="0" fontId="5" fillId="0" borderId="7" xfId="0" applyFont="1" applyBorder="1" applyAlignment="1">
      <alignment horizontal="center" vertical="center"/>
    </xf>
    <xf numFmtId="0" fontId="5" fillId="0" borderId="21" xfId="0" applyFont="1" applyBorder="1" applyAlignment="1">
      <alignment horizontal="center" vertical="center"/>
    </xf>
    <xf numFmtId="0" fontId="5" fillId="0" borderId="1" xfId="0" applyFont="1" applyBorder="1" applyAlignment="1">
      <alignment horizontal="center" vertical="center"/>
    </xf>
    <xf numFmtId="0" fontId="6" fillId="0" borderId="22" xfId="0" applyFont="1" applyBorder="1" applyAlignment="1">
      <alignment horizontal="left" vertical="center"/>
    </xf>
    <xf numFmtId="0" fontId="6" fillId="0" borderId="5" xfId="0" applyFont="1" applyBorder="1" applyAlignment="1">
      <alignment horizontal="left" vertical="center"/>
    </xf>
    <xf numFmtId="0" fontId="13" fillId="0" borderId="20" xfId="0" applyFont="1" applyBorder="1" applyAlignment="1">
      <alignment horizontal="left" vertical="center" wrapText="1"/>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9" xfId="0" applyFont="1" applyFill="1" applyBorder="1" applyAlignment="1">
      <alignment horizontal="center" vertical="center"/>
    </xf>
    <xf numFmtId="0" fontId="5" fillId="5" borderId="22"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19" xfId="0" applyFont="1" applyFill="1" applyBorder="1" applyAlignment="1">
      <alignment horizontal="center" vertical="center"/>
    </xf>
    <xf numFmtId="10" fontId="6" fillId="0" borderId="19" xfId="0" applyNumberFormat="1" applyFont="1" applyBorder="1" applyAlignment="1">
      <alignment horizontal="center" vertical="center"/>
    </xf>
    <xf numFmtId="10" fontId="6" fillId="0" borderId="9" xfId="0" applyNumberFormat="1" applyFont="1" applyBorder="1" applyAlignment="1">
      <alignment horizontal="center" vertical="center"/>
    </xf>
    <xf numFmtId="43" fontId="6" fillId="0" borderId="20" xfId="3" applyFont="1" applyFill="1" applyBorder="1" applyAlignment="1">
      <alignment horizontal="center" vertical="center"/>
    </xf>
    <xf numFmtId="0" fontId="5" fillId="5" borderId="25"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5" fillId="5" borderId="23" xfId="0" applyFont="1" applyFill="1" applyBorder="1" applyAlignment="1">
      <alignment horizontal="center" vertical="center" wrapText="1"/>
    </xf>
    <xf numFmtId="0" fontId="5" fillId="5" borderId="22"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5" fillId="2" borderId="23"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6" xfId="0" applyFont="1" applyFill="1" applyBorder="1" applyAlignment="1">
      <alignment horizontal="center" vertical="center"/>
    </xf>
    <xf numFmtId="0" fontId="22" fillId="0" borderId="25" xfId="0" applyFont="1" applyBorder="1" applyAlignment="1">
      <alignment horizontal="left" vertical="center"/>
    </xf>
    <xf numFmtId="0" fontId="22" fillId="0" borderId="23" xfId="0" applyFont="1" applyBorder="1" applyAlignment="1">
      <alignment horizontal="left" vertical="center"/>
    </xf>
    <xf numFmtId="0" fontId="5" fillId="0" borderId="25" xfId="0" applyFont="1" applyBorder="1" applyAlignment="1">
      <alignment horizontal="center" vertical="center"/>
    </xf>
    <xf numFmtId="0" fontId="5" fillId="0" borderId="24" xfId="0" applyFont="1" applyBorder="1" applyAlignment="1">
      <alignment horizontal="center" vertical="center"/>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8" fillId="3" borderId="24" xfId="0" applyFont="1" applyFill="1" applyBorder="1" applyAlignment="1">
      <alignment horizontal="left" vertical="center"/>
    </xf>
    <xf numFmtId="0" fontId="13" fillId="5" borderId="20" xfId="0" applyFont="1" applyFill="1" applyBorder="1" applyAlignment="1">
      <alignment horizontal="center" vertical="center"/>
    </xf>
    <xf numFmtId="0" fontId="13" fillId="7" borderId="20" xfId="0" applyFont="1" applyFill="1" applyBorder="1" applyAlignment="1">
      <alignment horizontal="center" vertical="center"/>
    </xf>
    <xf numFmtId="0" fontId="16" fillId="5" borderId="0" xfId="0" applyFont="1" applyFill="1" applyAlignment="1">
      <alignment horizontal="left" vertical="center"/>
    </xf>
    <xf numFmtId="0" fontId="5" fillId="3" borderId="25" xfId="0" applyFont="1" applyFill="1" applyBorder="1" applyAlignment="1">
      <alignment horizontal="left" vertical="center"/>
    </xf>
    <xf numFmtId="0" fontId="5" fillId="3" borderId="24" xfId="0" applyFont="1" applyFill="1" applyBorder="1" applyAlignment="1">
      <alignment horizontal="left" vertical="center"/>
    </xf>
    <xf numFmtId="0" fontId="5" fillId="3" borderId="23" xfId="0" applyFont="1" applyFill="1" applyBorder="1" applyAlignment="1">
      <alignment horizontal="left" vertical="center"/>
    </xf>
    <xf numFmtId="0" fontId="5" fillId="5" borderId="20" xfId="0" applyFont="1" applyFill="1" applyBorder="1" applyAlignment="1">
      <alignment horizontal="center" vertical="center"/>
    </xf>
    <xf numFmtId="0" fontId="26" fillId="0" borderId="0" xfId="14" applyFont="1" applyAlignment="1">
      <alignment horizontal="center" vertical="top" wrapText="1"/>
    </xf>
    <xf numFmtId="0" fontId="27" fillId="0" borderId="0" xfId="14" applyFont="1" applyAlignment="1">
      <alignment wrapText="1"/>
    </xf>
    <xf numFmtId="0" fontId="25" fillId="0" borderId="0" xfId="14" applyAlignment="1">
      <alignment wrapText="1"/>
    </xf>
    <xf numFmtId="0" fontId="5" fillId="5" borderId="0" xfId="0" applyFont="1" applyFill="1" applyAlignment="1">
      <alignment horizontal="center" vertical="center" wrapText="1"/>
    </xf>
    <xf numFmtId="0" fontId="11" fillId="5" borderId="0" xfId="0" applyFont="1" applyFill="1" applyAlignment="1">
      <alignment vertical="center" wrapText="1"/>
    </xf>
    <xf numFmtId="0" fontId="11" fillId="5" borderId="0" xfId="0" applyFont="1" applyFill="1" applyAlignment="1">
      <alignment vertical="center"/>
    </xf>
    <xf numFmtId="0" fontId="6" fillId="5" borderId="0" xfId="0" applyFont="1" applyFill="1" applyAlignment="1">
      <alignment horizontal="left" vertical="center" wrapText="1"/>
    </xf>
    <xf numFmtId="0" fontId="6" fillId="5" borderId="0" xfId="0" applyFont="1" applyFill="1" applyBorder="1" applyAlignment="1">
      <alignment vertical="center"/>
    </xf>
    <xf numFmtId="0" fontId="10" fillId="5" borderId="0" xfId="0" applyFont="1" applyFill="1" applyAlignment="1">
      <alignment horizontal="center" vertical="center"/>
    </xf>
    <xf numFmtId="0" fontId="0" fillId="5" borderId="0" xfId="0" applyFill="1"/>
    <xf numFmtId="0" fontId="23" fillId="19" borderId="12" xfId="0" applyFont="1" applyFill="1" applyBorder="1" applyAlignment="1">
      <alignment horizontal="center" vertical="center" wrapText="1"/>
    </xf>
    <xf numFmtId="0" fontId="23" fillId="19" borderId="2" xfId="0" applyFont="1" applyFill="1" applyBorder="1" applyAlignment="1">
      <alignment horizontal="center" vertical="center" wrapText="1"/>
    </xf>
    <xf numFmtId="0" fontId="24" fillId="20" borderId="37" xfId="0" applyFont="1" applyFill="1" applyBorder="1" applyAlignment="1">
      <alignment vertical="center" wrapText="1"/>
    </xf>
    <xf numFmtId="0" fontId="24" fillId="20" borderId="36" xfId="0" applyFont="1" applyFill="1" applyBorder="1" applyAlignment="1">
      <alignment vertical="center" wrapText="1"/>
    </xf>
    <xf numFmtId="8" fontId="24" fillId="20" borderId="36" xfId="0" applyNumberFormat="1" applyFont="1" applyFill="1" applyBorder="1" applyAlignment="1">
      <alignment horizontal="center" vertical="center" wrapText="1"/>
    </xf>
    <xf numFmtId="0" fontId="24" fillId="20" borderId="36" xfId="0" applyFont="1" applyFill="1" applyBorder="1" applyAlignment="1">
      <alignment horizontal="center" vertical="center" wrapText="1"/>
    </xf>
    <xf numFmtId="0" fontId="0" fillId="5" borderId="0" xfId="0" applyFill="1" applyAlignment="1">
      <alignment wrapText="1"/>
    </xf>
    <xf numFmtId="0" fontId="0" fillId="5" borderId="0" xfId="0" applyFill="1" applyAlignment="1">
      <alignment horizontal="left" wrapText="1"/>
    </xf>
    <xf numFmtId="0" fontId="5" fillId="5" borderId="0" xfId="0" applyFont="1" applyFill="1" applyAlignment="1">
      <alignment horizontal="left" vertical="center"/>
    </xf>
    <xf numFmtId="0" fontId="5" fillId="13" borderId="20" xfId="14" applyFont="1" applyFill="1" applyBorder="1" applyAlignment="1">
      <alignment horizontal="center" vertical="center" wrapText="1"/>
    </xf>
    <xf numFmtId="0" fontId="5" fillId="0" borderId="0" xfId="14" applyFont="1" applyAlignment="1">
      <alignment horizontal="left" vertical="center"/>
    </xf>
    <xf numFmtId="0" fontId="6" fillId="0" borderId="0" xfId="14" applyFont="1"/>
    <xf numFmtId="0" fontId="6" fillId="0" borderId="0" xfId="14" applyFont="1" applyAlignment="1">
      <alignment wrapText="1"/>
    </xf>
    <xf numFmtId="0" fontId="5" fillId="14" borderId="20" xfId="14" applyFont="1" applyFill="1" applyBorder="1" applyAlignment="1">
      <alignment vertical="center" wrapText="1"/>
    </xf>
    <xf numFmtId="167" fontId="5" fillId="14" borderId="20" xfId="14" applyNumberFormat="1" applyFont="1" applyFill="1" applyBorder="1" applyAlignment="1">
      <alignment horizontal="left" vertical="center"/>
    </xf>
    <xf numFmtId="168" fontId="5" fillId="14" borderId="20" xfId="14" applyNumberFormat="1" applyFont="1" applyFill="1" applyBorder="1" applyAlignment="1">
      <alignment horizontal="center" vertical="center"/>
    </xf>
    <xf numFmtId="0" fontId="6" fillId="0" borderId="20" xfId="14" applyFont="1" applyBorder="1" applyAlignment="1">
      <alignment vertical="center" wrapText="1"/>
    </xf>
    <xf numFmtId="167" fontId="35" fillId="0" borderId="20" xfId="14" applyNumberFormat="1" applyFont="1" applyBorder="1" applyAlignment="1">
      <alignment horizontal="left" vertical="center" wrapText="1"/>
    </xf>
    <xf numFmtId="168" fontId="35" fillId="0" borderId="20" xfId="14" applyNumberFormat="1" applyFont="1" applyBorder="1" applyAlignment="1">
      <alignment vertical="center"/>
    </xf>
    <xf numFmtId="0" fontId="5" fillId="13" borderId="20" xfId="14" applyFont="1" applyFill="1" applyBorder="1" applyAlignment="1">
      <alignment horizontal="left" vertical="center" wrapText="1"/>
    </xf>
    <xf numFmtId="168" fontId="5" fillId="0" borderId="20" xfId="14" applyNumberFormat="1" applyFont="1" applyBorder="1" applyAlignment="1">
      <alignment vertical="center"/>
    </xf>
    <xf numFmtId="168" fontId="6" fillId="0" borderId="35" xfId="14" applyNumberFormat="1" applyFont="1" applyBorder="1" applyAlignment="1">
      <alignment vertical="center"/>
    </xf>
    <xf numFmtId="0" fontId="5" fillId="13" borderId="20" xfId="14" applyFont="1" applyFill="1" applyBorder="1" applyAlignment="1">
      <alignment horizontal="center" vertical="center"/>
    </xf>
    <xf numFmtId="168" fontId="6" fillId="0" borderId="0" xfId="14" applyNumberFormat="1" applyFont="1"/>
    <xf numFmtId="167" fontId="35" fillId="0" borderId="20" xfId="14" applyNumberFormat="1" applyFont="1" applyBorder="1" applyAlignment="1">
      <alignment horizontal="left" vertical="center"/>
    </xf>
    <xf numFmtId="168" fontId="5" fillId="0" borderId="38" xfId="14" applyNumberFormat="1" applyFont="1" applyBorder="1"/>
    <xf numFmtId="0" fontId="12" fillId="0" borderId="34" xfId="16" applyFont="1" applyBorder="1" applyAlignment="1">
      <alignment horizontal="center" vertical="center"/>
    </xf>
    <xf numFmtId="0" fontId="24" fillId="15" borderId="34" xfId="16" applyFont="1" applyFill="1" applyBorder="1" applyAlignment="1">
      <alignment horizontal="center" vertical="center"/>
    </xf>
    <xf numFmtId="0" fontId="24" fillId="16" borderId="34" xfId="16" applyFont="1" applyFill="1" applyBorder="1" applyAlignment="1">
      <alignment horizontal="center" vertical="center"/>
    </xf>
    <xf numFmtId="166" fontId="24" fillId="16" borderId="32" xfId="16" applyNumberFormat="1" applyFont="1" applyFill="1" applyBorder="1" applyAlignment="1">
      <alignment horizontal="center" vertical="center" wrapText="1"/>
    </xf>
    <xf numFmtId="0" fontId="24" fillId="0" borderId="11" xfId="16" applyFont="1" applyBorder="1" applyAlignment="1">
      <alignment horizontal="center" vertical="center" wrapText="1"/>
    </xf>
    <xf numFmtId="0" fontId="24" fillId="0" borderId="1" xfId="16" applyFont="1" applyBorder="1" applyAlignment="1">
      <alignment horizontal="center" vertical="center" wrapText="1"/>
    </xf>
    <xf numFmtId="0" fontId="24" fillId="17" borderId="34" xfId="16" applyFont="1" applyFill="1" applyBorder="1" applyAlignment="1">
      <alignment horizontal="center" vertical="center"/>
    </xf>
    <xf numFmtId="0" fontId="24" fillId="17" borderId="32" xfId="16" applyFont="1" applyFill="1" applyBorder="1" applyAlignment="1">
      <alignment horizontal="center" vertical="center" wrapText="1"/>
    </xf>
    <xf numFmtId="0" fontId="24" fillId="18" borderId="34" xfId="16" applyFont="1" applyFill="1" applyBorder="1" applyAlignment="1">
      <alignment horizontal="center" vertical="center"/>
    </xf>
    <xf numFmtId="0" fontId="24" fillId="18" borderId="32" xfId="16" applyFont="1" applyFill="1" applyBorder="1" applyAlignment="1">
      <alignment horizontal="center" vertical="center" wrapText="1"/>
    </xf>
    <xf numFmtId="0" fontId="24" fillId="18" borderId="11" xfId="16" applyFont="1" applyFill="1" applyBorder="1" applyAlignment="1">
      <alignment horizontal="center" vertical="center" wrapText="1"/>
    </xf>
    <xf numFmtId="0" fontId="24" fillId="18" borderId="1" xfId="16" applyFont="1" applyFill="1" applyBorder="1" applyAlignment="1">
      <alignment horizontal="center" vertical="center" wrapText="1"/>
    </xf>
    <xf numFmtId="0" fontId="6" fillId="0" borderId="0" xfId="16" applyFont="1" applyAlignment="1">
      <alignment vertical="center"/>
    </xf>
    <xf numFmtId="0" fontId="24" fillId="0" borderId="0" xfId="16" applyFont="1" applyAlignment="1">
      <alignment horizontal="center" vertical="center"/>
    </xf>
    <xf numFmtId="0" fontId="24" fillId="0" borderId="0" xfId="16" applyFont="1" applyAlignment="1">
      <alignment horizontal="center" vertical="center" wrapText="1"/>
    </xf>
    <xf numFmtId="0" fontId="36" fillId="0" borderId="0" xfId="16" applyFont="1" applyAlignment="1">
      <alignment horizontal="center" vertical="center" wrapText="1"/>
    </xf>
    <xf numFmtId="0" fontId="6" fillId="0" borderId="0" xfId="0" applyFont="1" applyAlignment="1">
      <alignment vertical="center"/>
    </xf>
    <xf numFmtId="0" fontId="24" fillId="0" borderId="0" xfId="16" applyFont="1" applyAlignment="1">
      <alignment vertical="center"/>
    </xf>
    <xf numFmtId="0" fontId="12" fillId="0" borderId="34" xfId="16" applyFont="1" applyBorder="1" applyAlignment="1">
      <alignment horizontal="center" vertical="center" wrapText="1"/>
    </xf>
    <xf numFmtId="0" fontId="24" fillId="15" borderId="34" xfId="16" applyFont="1" applyFill="1" applyBorder="1" applyAlignment="1">
      <alignment vertical="center" wrapText="1"/>
    </xf>
    <xf numFmtId="166" fontId="24" fillId="15" borderId="34" xfId="16" applyNumberFormat="1" applyFont="1" applyFill="1" applyBorder="1" applyAlignment="1">
      <alignment vertical="center"/>
    </xf>
    <xf numFmtId="166" fontId="24" fillId="15" borderId="34" xfId="16" applyNumberFormat="1" applyFont="1" applyFill="1" applyBorder="1" applyAlignment="1">
      <alignment horizontal="center" vertical="center" wrapText="1"/>
    </xf>
    <xf numFmtId="0" fontId="24" fillId="16" borderId="34" xfId="16" applyFont="1" applyFill="1" applyBorder="1" applyAlignment="1">
      <alignment vertical="center" wrapText="1"/>
    </xf>
    <xf numFmtId="166" fontId="24" fillId="16" borderId="34" xfId="16" applyNumberFormat="1" applyFont="1" applyFill="1" applyBorder="1" applyAlignment="1">
      <alignment vertical="center"/>
    </xf>
    <xf numFmtId="0" fontId="24" fillId="17" borderId="34" xfId="16" applyFont="1" applyFill="1" applyBorder="1" applyAlignment="1">
      <alignment vertical="center" wrapText="1"/>
    </xf>
    <xf numFmtId="166" fontId="24" fillId="17" borderId="34" xfId="16" applyNumberFormat="1" applyFont="1" applyFill="1" applyBorder="1" applyAlignment="1">
      <alignment vertical="center"/>
    </xf>
    <xf numFmtId="166" fontId="24" fillId="0" borderId="0" xfId="16" applyNumberFormat="1" applyFont="1" applyAlignment="1">
      <alignment vertical="center"/>
    </xf>
    <xf numFmtId="0" fontId="24" fillId="18" borderId="34" xfId="16" applyFont="1" applyFill="1" applyBorder="1" applyAlignment="1">
      <alignment vertical="center" wrapText="1"/>
    </xf>
    <xf numFmtId="166" fontId="24" fillId="18" borderId="34" xfId="16" applyNumberFormat="1" applyFont="1" applyFill="1" applyBorder="1" applyAlignment="1">
      <alignment vertical="center"/>
    </xf>
    <xf numFmtId="166" fontId="24" fillId="18" borderId="32" xfId="16" applyNumberFormat="1" applyFont="1" applyFill="1" applyBorder="1" applyAlignment="1">
      <alignment vertical="center"/>
    </xf>
    <xf numFmtId="166" fontId="6" fillId="0" borderId="0" xfId="16" applyNumberFormat="1" applyFont="1" applyAlignment="1">
      <alignment vertical="center"/>
    </xf>
    <xf numFmtId="0" fontId="24" fillId="0" borderId="0" xfId="16" applyFont="1" applyAlignment="1">
      <alignment vertical="center" wrapText="1"/>
    </xf>
    <xf numFmtId="166" fontId="23" fillId="10" borderId="2" xfId="16" applyNumberFormat="1" applyFont="1" applyFill="1" applyBorder="1" applyAlignment="1">
      <alignment vertical="center"/>
    </xf>
    <xf numFmtId="0" fontId="24" fillId="18" borderId="32" xfId="16" applyFont="1" applyFill="1" applyBorder="1" applyAlignment="1">
      <alignment horizontal="center" vertical="center"/>
    </xf>
    <xf numFmtId="0" fontId="23" fillId="10" borderId="4" xfId="16" applyFont="1" applyFill="1" applyBorder="1" applyAlignment="1">
      <alignment horizontal="center" vertical="center"/>
    </xf>
    <xf numFmtId="166" fontId="24" fillId="0" borderId="0" xfId="16" applyNumberFormat="1" applyFont="1" applyAlignment="1">
      <alignment horizontal="center" vertical="center"/>
    </xf>
    <xf numFmtId="0" fontId="10" fillId="11" borderId="0" xfId="0" applyFont="1" applyFill="1" applyAlignment="1">
      <alignment horizontal="left" vertical="center" wrapText="1"/>
    </xf>
    <xf numFmtId="0" fontId="10" fillId="11" borderId="0" xfId="0" applyFont="1" applyFill="1" applyAlignment="1">
      <alignment horizontal="left" vertical="center"/>
    </xf>
  </cellXfs>
  <cellStyles count="18">
    <cellStyle name="Hiperlink 2" xfId="15" xr:uid="{47A05280-288A-44A0-BB24-DA75FBEE88A5}"/>
    <cellStyle name="Hiperlink 3" xfId="17" xr:uid="{06CFB003-177B-4D43-B330-F8A33E962B1F}"/>
    <cellStyle name="Moeda" xfId="1" builtinId="4"/>
    <cellStyle name="Moeda 2" xfId="6" xr:uid="{00000000-0005-0000-0000-000001000000}"/>
    <cellStyle name="Moeda 3" xfId="11" xr:uid="{00000000-0005-0000-0000-000002000000}"/>
    <cellStyle name="Normal" xfId="0" builtinId="0"/>
    <cellStyle name="Normal 2" xfId="5" xr:uid="{00000000-0005-0000-0000-000004000000}"/>
    <cellStyle name="Normal 3" xfId="4" xr:uid="{00000000-0005-0000-0000-000005000000}"/>
    <cellStyle name="Normal 4" xfId="12" xr:uid="{00000000-0005-0000-0000-000006000000}"/>
    <cellStyle name="Normal 5" xfId="14" xr:uid="{7CFA1816-3374-41DF-9914-D4363A0F66C1}"/>
    <cellStyle name="Normal 6" xfId="16" xr:uid="{7EE13125-29AF-4495-BCFD-EF88B21B4A37}"/>
    <cellStyle name="Porcentagem" xfId="2" builtinId="5"/>
    <cellStyle name="Porcentagem 2" xfId="7" xr:uid="{00000000-0005-0000-0000-000008000000}"/>
    <cellStyle name="Porcentagem 3" xfId="10" xr:uid="{00000000-0005-0000-0000-000009000000}"/>
    <cellStyle name="Vírgula" xfId="3" builtinId="3"/>
    <cellStyle name="Vírgula 2" xfId="8" xr:uid="{00000000-0005-0000-0000-00000B000000}"/>
    <cellStyle name="Vírgula 3" xfId="9" xr:uid="{00000000-0005-0000-0000-00000C000000}"/>
    <cellStyle name="Vírgula 4" xfId="13" xr:uid="{00000000-0005-0000-0000-00000D000000}"/>
  </cellStyles>
  <dxfs count="0"/>
  <tableStyles count="0" defaultTableStyle="TableStyleMedium9" defaultPivotStyle="PivotStyleLight16"/>
  <colors>
    <mruColors>
      <color rgb="FF0000FF"/>
      <color rgb="FFFFFF99"/>
      <color rgb="FF00CC00"/>
      <color rgb="FF33C3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I:\DADM\ALOG\DCAD\Processos%20Licitat&#243;rios\Editais\2025\Preg&#227;o\1%20-%20Processamento\Central%20de%20Servi&#231;os%20-%20RC%206730\Mapa%20de%20Pre&#231;os%20e%20Planilha\Mapa%20de%20Pre&#231;os.xlsx" TargetMode="External"/><Relationship Id="rId1" Type="http://schemas.openxmlformats.org/officeDocument/2006/relationships/externalLinkPath" Target="Mapa%20de%20Pre&#231;o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finep2022.sharepoint.com/sites/CCTI-EpL_Central/Documentos%20Compartilhados/01.%20Planejamento/Pesquisa%20de%20Pre&#231;os/Memoria_Calculo_Consolidada_CCT_PL_SAUDE_VR_e_VT_V2.xlsx" TargetMode="External"/><Relationship Id="rId1" Type="http://schemas.openxmlformats.org/officeDocument/2006/relationships/externalLinkPath" Target="https://finep2022.sharepoint.com/sites/CCTI-EpL_Central/Documentos%20Compartilhados/01.%20Planejamento/Pesquisa%20de%20Pre&#231;os/Memoria_Calculo_Consolidada_CCT_PL_SAUDE_VR_e_VT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anilha1"/>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ção"/>
      <sheetName val="Fontes Normativas"/>
      <sheetName val="ValOPSaude"/>
      <sheetName val="Simulação Etária"/>
      <sheetName val="Refeição_Saúde"/>
      <sheetName val="Transporte"/>
      <sheetName val="Uniforme e Cracha"/>
      <sheetName val="Justificativas"/>
    </sheetNames>
    <sheetDataSet>
      <sheetData sheetId="0"/>
      <sheetData sheetId="1"/>
      <sheetData sheetId="2"/>
      <sheetData sheetId="3">
        <row r="24">
          <cell r="G24">
            <v>620.58895833333327</v>
          </cell>
        </row>
      </sheetData>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9CD07-79CA-48BC-8672-C9F2B7E495A8}">
  <sheetPr>
    <pageSetUpPr fitToPage="1"/>
  </sheetPr>
  <dimension ref="A1:H29"/>
  <sheetViews>
    <sheetView tabSelected="1" zoomScaleNormal="100" zoomScaleSheetLayoutView="85" workbookViewId="0">
      <selection activeCell="J1" sqref="J1"/>
    </sheetView>
  </sheetViews>
  <sheetFormatPr defaultColWidth="8.7265625" defaultRowHeight="11.5" x14ac:dyDescent="0.25"/>
  <cols>
    <col min="1" max="2" width="6" style="51" customWidth="1"/>
    <col min="3" max="3" width="16.81640625" style="51" customWidth="1"/>
    <col min="4" max="4" width="11.54296875" style="51" customWidth="1"/>
    <col min="5" max="5" width="14.81640625" style="51" customWidth="1"/>
    <col min="6" max="6" width="9.1796875" style="51" customWidth="1"/>
    <col min="7" max="7" width="13.54296875" style="51" customWidth="1"/>
    <col min="8" max="8" width="16.1796875" style="51" bestFit="1" customWidth="1"/>
    <col min="9" max="16384" width="8.7265625" style="51"/>
  </cols>
  <sheetData>
    <row r="1" spans="1:8" ht="39.5" customHeight="1" x14ac:dyDescent="0.25">
      <c r="A1" s="368" t="s">
        <v>334</v>
      </c>
      <c r="B1" s="369"/>
      <c r="C1" s="369"/>
      <c r="D1" s="369"/>
      <c r="E1" s="369"/>
      <c r="F1" s="369"/>
      <c r="G1" s="369"/>
      <c r="H1" s="369"/>
    </row>
    <row r="3" spans="1:8" ht="28.5" customHeight="1" x14ac:dyDescent="0.25">
      <c r="A3" s="299" t="s">
        <v>300</v>
      </c>
      <c r="B3" s="220"/>
      <c r="C3" s="220"/>
      <c r="D3" s="220"/>
      <c r="E3" s="220"/>
      <c r="F3" s="220"/>
      <c r="G3" s="220"/>
      <c r="H3" s="220"/>
    </row>
    <row r="4" spans="1:8" x14ac:dyDescent="0.25">
      <c r="A4" s="22"/>
      <c r="B4" s="22"/>
      <c r="C4" s="22"/>
      <c r="D4" s="22"/>
      <c r="E4" s="22"/>
      <c r="F4" s="22"/>
    </row>
    <row r="5" spans="1:8" x14ac:dyDescent="0.25">
      <c r="A5" s="34" t="s">
        <v>0</v>
      </c>
    </row>
    <row r="6" spans="1:8" x14ac:dyDescent="0.25">
      <c r="A6" s="34"/>
    </row>
    <row r="7" spans="1:8" ht="43.5" customHeight="1" x14ac:dyDescent="0.25">
      <c r="A7" s="221" t="s">
        <v>1</v>
      </c>
      <c r="B7" s="221"/>
      <c r="C7" s="221"/>
      <c r="D7" s="221"/>
      <c r="E7" s="221"/>
      <c r="F7" s="221"/>
      <c r="G7" s="221"/>
      <c r="H7" s="221"/>
    </row>
    <row r="8" spans="1:8" ht="12.65" customHeight="1" x14ac:dyDescent="0.25">
      <c r="A8" s="22"/>
      <c r="B8" s="22"/>
      <c r="C8" s="22"/>
      <c r="D8" s="22"/>
      <c r="E8" s="22"/>
      <c r="F8" s="22"/>
    </row>
    <row r="9" spans="1:8" ht="12.65" customHeight="1" x14ac:dyDescent="0.25">
      <c r="A9" s="22"/>
      <c r="B9" s="22"/>
      <c r="C9" s="22"/>
      <c r="D9" s="22"/>
      <c r="E9" s="22"/>
      <c r="F9" s="22"/>
    </row>
    <row r="10" spans="1:8" ht="12.65" customHeight="1" x14ac:dyDescent="0.25">
      <c r="A10" s="22"/>
      <c r="B10" s="22"/>
      <c r="C10" s="22"/>
      <c r="D10" s="22"/>
      <c r="E10" s="22"/>
      <c r="F10" s="22"/>
    </row>
    <row r="11" spans="1:8" s="11" customFormat="1" ht="34.5" x14ac:dyDescent="0.25">
      <c r="A11" s="188" t="s">
        <v>2</v>
      </c>
      <c r="B11" s="188" t="s">
        <v>3</v>
      </c>
      <c r="C11" s="188" t="s">
        <v>4</v>
      </c>
      <c r="D11" s="188" t="s">
        <v>5</v>
      </c>
      <c r="E11" s="188" t="s">
        <v>6</v>
      </c>
      <c r="F11" s="188" t="s">
        <v>7</v>
      </c>
      <c r="G11" s="188" t="s">
        <v>8</v>
      </c>
      <c r="H11" s="188" t="s">
        <v>9</v>
      </c>
    </row>
    <row r="12" spans="1:8" ht="46" x14ac:dyDescent="0.25">
      <c r="A12" s="222">
        <v>1</v>
      </c>
      <c r="B12" s="223">
        <v>1</v>
      </c>
      <c r="C12" s="222" t="s">
        <v>10</v>
      </c>
      <c r="D12" s="222" t="s">
        <v>11</v>
      </c>
      <c r="E12" s="191" t="s">
        <v>12</v>
      </c>
      <c r="F12" s="189">
        <v>60</v>
      </c>
      <c r="G12" s="192">
        <v>10285.619999999999</v>
      </c>
      <c r="H12" s="192">
        <f>F12*G12</f>
        <v>617137.19999999995</v>
      </c>
    </row>
    <row r="13" spans="1:8" ht="46" x14ac:dyDescent="0.25">
      <c r="A13" s="222"/>
      <c r="B13" s="224"/>
      <c r="C13" s="222"/>
      <c r="D13" s="222"/>
      <c r="E13" s="191" t="s">
        <v>13</v>
      </c>
      <c r="F13" s="193">
        <v>60</v>
      </c>
      <c r="G13" s="192">
        <v>20809.71</v>
      </c>
      <c r="H13" s="192">
        <f>F13*G13</f>
        <v>1248582.5999999999</v>
      </c>
    </row>
    <row r="14" spans="1:8" ht="46" x14ac:dyDescent="0.25">
      <c r="A14" s="222"/>
      <c r="B14" s="224"/>
      <c r="C14" s="222"/>
      <c r="D14" s="189" t="s">
        <v>14</v>
      </c>
      <c r="E14" s="191" t="s">
        <v>15</v>
      </c>
      <c r="F14" s="189">
        <v>60</v>
      </c>
      <c r="G14" s="192">
        <v>6936.57</v>
      </c>
      <c r="H14" s="192">
        <f>F14*G14</f>
        <v>416194.19999999995</v>
      </c>
    </row>
    <row r="15" spans="1:8" ht="46" x14ac:dyDescent="0.25">
      <c r="A15" s="222"/>
      <c r="B15" s="225"/>
      <c r="C15" s="222"/>
      <c r="D15" s="189" t="s">
        <v>16</v>
      </c>
      <c r="E15" s="191" t="s">
        <v>15</v>
      </c>
      <c r="F15" s="189">
        <v>60</v>
      </c>
      <c r="G15" s="192">
        <v>6936.57</v>
      </c>
      <c r="H15" s="192">
        <f t="shared" ref="H15:H16" si="0">F15*G15</f>
        <v>416194.19999999995</v>
      </c>
    </row>
    <row r="16" spans="1:8" ht="127" thickBot="1" x14ac:dyDescent="0.3">
      <c r="A16" s="222"/>
      <c r="B16" s="189">
        <v>2</v>
      </c>
      <c r="C16" s="189" t="s">
        <v>17</v>
      </c>
      <c r="D16" s="191" t="s">
        <v>11</v>
      </c>
      <c r="E16" s="191" t="s">
        <v>18</v>
      </c>
      <c r="F16" s="190">
        <v>60</v>
      </c>
      <c r="G16" s="194">
        <v>26631.600000000002</v>
      </c>
      <c r="H16" s="194">
        <f t="shared" si="0"/>
        <v>1597896.0000000002</v>
      </c>
    </row>
    <row r="17" spans="1:8" ht="12" thickBot="1" x14ac:dyDescent="0.3">
      <c r="A17" s="300"/>
      <c r="B17" s="300"/>
      <c r="C17" s="301"/>
      <c r="D17" s="301"/>
      <c r="E17" s="301"/>
      <c r="F17" s="218" t="s">
        <v>19</v>
      </c>
      <c r="G17" s="219"/>
      <c r="H17" s="50">
        <f>SUM(H12:H16)</f>
        <v>4296004.2</v>
      </c>
    </row>
    <row r="20" spans="1:8" ht="30" customHeight="1" x14ac:dyDescent="0.25">
      <c r="A20" s="302" t="s">
        <v>301</v>
      </c>
      <c r="B20" s="302"/>
      <c r="C20" s="302"/>
      <c r="D20" s="302"/>
      <c r="E20" s="302"/>
      <c r="F20" s="302"/>
      <c r="G20" s="302"/>
      <c r="H20" s="302"/>
    </row>
    <row r="22" spans="1:8" x14ac:dyDescent="0.25">
      <c r="C22" s="303"/>
      <c r="D22" s="303"/>
      <c r="E22" s="303"/>
      <c r="F22" s="303"/>
      <c r="G22" s="303"/>
      <c r="H22" s="303"/>
    </row>
    <row r="23" spans="1:8" x14ac:dyDescent="0.25">
      <c r="E23" s="304" t="s">
        <v>38</v>
      </c>
      <c r="G23" s="301"/>
      <c r="H23" s="303"/>
    </row>
    <row r="24" spans="1:8" x14ac:dyDescent="0.25">
      <c r="F24" s="11"/>
    </row>
    <row r="25" spans="1:8" ht="18.5" customHeight="1" x14ac:dyDescent="0.25">
      <c r="E25" s="11" t="s">
        <v>39</v>
      </c>
    </row>
    <row r="26" spans="1:8" ht="18.5" customHeight="1" x14ac:dyDescent="0.25">
      <c r="E26" s="11" t="s">
        <v>40</v>
      </c>
    </row>
    <row r="27" spans="1:8" ht="18.5" customHeight="1" x14ac:dyDescent="0.25">
      <c r="E27" s="11" t="s">
        <v>41</v>
      </c>
    </row>
    <row r="28" spans="1:8" ht="18.5" customHeight="1" x14ac:dyDescent="0.25">
      <c r="E28" s="11" t="s">
        <v>42</v>
      </c>
    </row>
    <row r="29" spans="1:8" ht="18.5" customHeight="1" x14ac:dyDescent="0.25">
      <c r="E29" s="11" t="s">
        <v>43</v>
      </c>
    </row>
  </sheetData>
  <mergeCells count="9">
    <mergeCell ref="A1:H1"/>
    <mergeCell ref="A20:H20"/>
    <mergeCell ref="F17:G17"/>
    <mergeCell ref="A3:H3"/>
    <mergeCell ref="A7:H7"/>
    <mergeCell ref="A12:A16"/>
    <mergeCell ref="B12:B15"/>
    <mergeCell ref="C12:C15"/>
    <mergeCell ref="D12:D13"/>
  </mergeCells>
  <pageMargins left="0.511811024" right="0.511811024" top="0.78740157499999996" bottom="0.78740157499999996" header="0.31496062000000002" footer="0.31496062000000002"/>
  <pageSetup paperSize="9" scale="98" orientation="portrait" horizontalDpi="4294967293" vertic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53525-9DD5-4104-BCC7-5F117DD6BF8E}">
  <dimension ref="A1:J23"/>
  <sheetViews>
    <sheetView workbookViewId="0">
      <selection activeCell="J12" sqref="J12"/>
    </sheetView>
  </sheetViews>
  <sheetFormatPr defaultColWidth="9.1796875" defaultRowHeight="12.5" x14ac:dyDescent="0.25"/>
  <cols>
    <col min="1" max="1" width="21.81640625" style="70" customWidth="1"/>
    <col min="2" max="2" width="27.81640625" style="70" customWidth="1"/>
    <col min="3" max="3" width="14.81640625" style="72" customWidth="1"/>
    <col min="4" max="4" width="6.81640625" style="70" customWidth="1"/>
    <col min="5" max="5" width="14.26953125" style="70" customWidth="1"/>
    <col min="6" max="6" width="8.26953125" style="70" bestFit="1" customWidth="1"/>
    <col min="7" max="7" width="9.1796875" style="70" customWidth="1"/>
    <col min="8" max="8" width="12.54296875" style="70" customWidth="1"/>
    <col min="9" max="9" width="9.81640625" style="70" customWidth="1"/>
    <col min="10" max="16384" width="9.1796875" style="52"/>
  </cols>
  <sheetData>
    <row r="1" spans="1:10" ht="51.65" customHeight="1" thickBot="1" x14ac:dyDescent="0.3">
      <c r="A1" s="296" t="s">
        <v>253</v>
      </c>
      <c r="B1" s="296"/>
      <c r="C1" s="296"/>
      <c r="D1" s="296"/>
      <c r="E1" s="296"/>
      <c r="F1" s="296"/>
      <c r="G1" s="296"/>
      <c r="H1" s="296"/>
      <c r="I1" s="296"/>
    </row>
    <row r="2" spans="1:10" ht="56.5" thickBot="1" x14ac:dyDescent="0.3">
      <c r="A2" s="54" t="s">
        <v>254</v>
      </c>
      <c r="B2" s="54" t="s">
        <v>255</v>
      </c>
      <c r="C2" s="54" t="s">
        <v>256</v>
      </c>
      <c r="D2" s="55" t="s">
        <v>257</v>
      </c>
      <c r="E2" s="55" t="s">
        <v>258</v>
      </c>
      <c r="F2" s="55" t="s">
        <v>259</v>
      </c>
      <c r="G2" s="56" t="s">
        <v>260</v>
      </c>
      <c r="H2" s="56" t="s">
        <v>261</v>
      </c>
      <c r="I2" s="57" t="s">
        <v>262</v>
      </c>
    </row>
    <row r="3" spans="1:10" ht="14" x14ac:dyDescent="0.3">
      <c r="A3" s="58" t="s">
        <v>263</v>
      </c>
      <c r="B3" s="59" t="s">
        <v>264</v>
      </c>
      <c r="C3" s="77"/>
      <c r="D3" s="59"/>
      <c r="E3" s="60"/>
      <c r="F3" s="60"/>
      <c r="G3" s="60"/>
      <c r="H3" s="60"/>
      <c r="I3" s="61"/>
    </row>
    <row r="4" spans="1:10" ht="14" x14ac:dyDescent="0.3">
      <c r="A4" s="170" t="s">
        <v>263</v>
      </c>
      <c r="B4" s="171" t="s">
        <v>265</v>
      </c>
      <c r="C4" s="172">
        <f>'TECSUP-02 - DF'!H43</f>
        <v>2312.19</v>
      </c>
      <c r="D4" s="171"/>
      <c r="E4" s="173">
        <f>C4*0</f>
        <v>0</v>
      </c>
      <c r="F4" s="173">
        <f>D4-E4</f>
        <v>0</v>
      </c>
      <c r="G4" s="62" t="e">
        <f>#REF!</f>
        <v>#REF!</v>
      </c>
      <c r="H4" s="173" t="e">
        <f>G4-I4</f>
        <v>#REF!</v>
      </c>
      <c r="I4" s="174" t="e">
        <f>G4*70%</f>
        <v>#REF!</v>
      </c>
    </row>
    <row r="5" spans="1:10" ht="14.5" thickBot="1" x14ac:dyDescent="0.35">
      <c r="A5" s="175" t="s">
        <v>263</v>
      </c>
      <c r="B5" s="176" t="s">
        <v>266</v>
      </c>
      <c r="C5" s="177">
        <f>GERSUP!H43</f>
        <v>8877.2000000000007</v>
      </c>
      <c r="D5" s="176"/>
      <c r="E5" s="178">
        <f>C5*0.1125</f>
        <v>998.68500000000006</v>
      </c>
      <c r="F5" s="178">
        <v>0</v>
      </c>
      <c r="G5" s="62" t="e">
        <f>#REF!</f>
        <v>#REF!</v>
      </c>
      <c r="H5" s="178" t="e">
        <f>G5-I5</f>
        <v>#REF!</v>
      </c>
      <c r="I5" s="179" t="e">
        <f>G5*50%</f>
        <v>#REF!</v>
      </c>
    </row>
    <row r="6" spans="1:10" ht="14" x14ac:dyDescent="0.3">
      <c r="A6" s="58" t="s">
        <v>267</v>
      </c>
      <c r="B6" s="59" t="s">
        <v>264</v>
      </c>
      <c r="C6" s="77">
        <f>'TECSUP-01 - RJ'!H43</f>
        <v>1858.68</v>
      </c>
      <c r="D6" s="59"/>
      <c r="E6" s="59">
        <v>17.14</v>
      </c>
      <c r="F6" s="59">
        <v>715.9</v>
      </c>
      <c r="G6" s="63">
        <v>275.02</v>
      </c>
      <c r="H6" s="64">
        <f t="shared" ref="H6:H11" si="0">C6*1%</f>
        <v>18.5868</v>
      </c>
      <c r="I6" s="65">
        <f t="shared" ref="I6:I11" si="1">G6-H6</f>
        <v>256.4332</v>
      </c>
      <c r="J6" s="66"/>
    </row>
    <row r="7" spans="1:10" ht="14" x14ac:dyDescent="0.3">
      <c r="A7" s="170" t="s">
        <v>267</v>
      </c>
      <c r="B7" s="171" t="s">
        <v>265</v>
      </c>
      <c r="C7" s="172">
        <f>'TECSUP-02 - RJ'!H43</f>
        <v>1858.68</v>
      </c>
      <c r="D7" s="171"/>
      <c r="E7" s="171">
        <v>23.12</v>
      </c>
      <c r="F7" s="171">
        <v>709.92</v>
      </c>
      <c r="G7" s="62">
        <v>275.02</v>
      </c>
      <c r="H7" s="180">
        <f t="shared" si="0"/>
        <v>18.5868</v>
      </c>
      <c r="I7" s="181">
        <f t="shared" si="1"/>
        <v>256.4332</v>
      </c>
      <c r="J7" s="66"/>
    </row>
    <row r="8" spans="1:10" ht="14.5" thickBot="1" x14ac:dyDescent="0.35">
      <c r="A8" s="175" t="s">
        <v>267</v>
      </c>
      <c r="B8" s="176" t="s">
        <v>266</v>
      </c>
      <c r="C8" s="177">
        <f>GERSUP!H43</f>
        <v>8877.2000000000007</v>
      </c>
      <c r="D8" s="176"/>
      <c r="E8" s="176">
        <v>88.77</v>
      </c>
      <c r="F8" s="176">
        <v>644.27</v>
      </c>
      <c r="G8" s="62">
        <v>275.02</v>
      </c>
      <c r="H8" s="67">
        <f t="shared" si="0"/>
        <v>88.772000000000006</v>
      </c>
      <c r="I8" s="68">
        <f t="shared" si="1"/>
        <v>186.24799999999999</v>
      </c>
      <c r="J8" s="66"/>
    </row>
    <row r="9" spans="1:10" ht="14" x14ac:dyDescent="0.3">
      <c r="A9" s="58" t="s">
        <v>268</v>
      </c>
      <c r="B9" s="59" t="s">
        <v>264</v>
      </c>
      <c r="C9" s="77"/>
      <c r="D9" s="59"/>
      <c r="E9" s="59"/>
      <c r="F9" s="59"/>
      <c r="G9" s="60"/>
      <c r="H9" s="59"/>
      <c r="I9" s="65"/>
    </row>
    <row r="10" spans="1:10" ht="14" x14ac:dyDescent="0.3">
      <c r="A10" s="170" t="s">
        <v>268</v>
      </c>
      <c r="B10" s="171" t="s">
        <v>265</v>
      </c>
      <c r="C10" s="172">
        <f>'TECSUP-02 - SP'!H43</f>
        <v>2352.04</v>
      </c>
      <c r="D10" s="171"/>
      <c r="E10" s="171">
        <v>23.12</v>
      </c>
      <c r="F10" s="171">
        <v>628.66</v>
      </c>
      <c r="G10" s="173">
        <f>'[2]Simulação Etária'!G24</f>
        <v>620.58895833333327</v>
      </c>
      <c r="H10" s="208">
        <f t="shared" si="0"/>
        <v>23.520399999999999</v>
      </c>
      <c r="I10" s="209">
        <f t="shared" si="1"/>
        <v>597.06855833333327</v>
      </c>
    </row>
    <row r="11" spans="1:10" ht="14.5" thickBot="1" x14ac:dyDescent="0.35">
      <c r="A11" s="175" t="s">
        <v>268</v>
      </c>
      <c r="B11" s="176" t="s">
        <v>266</v>
      </c>
      <c r="C11" s="177">
        <f>GERSUP!H43</f>
        <v>8877.2000000000007</v>
      </c>
      <c r="D11" s="176"/>
      <c r="E11" s="176">
        <v>88.77</v>
      </c>
      <c r="F11" s="176">
        <v>563.01</v>
      </c>
      <c r="G11" s="178">
        <f>'[2]Simulação Etária'!G24</f>
        <v>620.58895833333327</v>
      </c>
      <c r="H11" s="182">
        <f t="shared" si="0"/>
        <v>88.772000000000006</v>
      </c>
      <c r="I11" s="183">
        <f t="shared" si="1"/>
        <v>531.81695833333322</v>
      </c>
    </row>
    <row r="12" spans="1:10" ht="14" x14ac:dyDescent="0.3">
      <c r="A12" s="53"/>
      <c r="B12" s="53"/>
      <c r="C12" s="69"/>
      <c r="D12" s="53"/>
      <c r="E12" s="53"/>
      <c r="F12" s="53"/>
      <c r="G12" s="53"/>
      <c r="H12" s="53"/>
      <c r="I12" s="53"/>
    </row>
    <row r="13" spans="1:10" ht="13" x14ac:dyDescent="0.3">
      <c r="A13" s="297" t="s">
        <v>269</v>
      </c>
      <c r="B13" s="298"/>
      <c r="C13" s="298"/>
      <c r="D13" s="298"/>
      <c r="E13" s="298"/>
      <c r="F13" s="298"/>
      <c r="G13" s="298"/>
      <c r="H13" s="298"/>
      <c r="I13" s="298"/>
    </row>
    <row r="14" spans="1:10" ht="14" x14ac:dyDescent="0.3">
      <c r="A14" s="53"/>
      <c r="B14" s="53"/>
      <c r="C14" s="69"/>
      <c r="D14" s="53"/>
      <c r="E14" s="53"/>
      <c r="F14" s="53"/>
      <c r="G14" s="53"/>
      <c r="H14" s="53"/>
      <c r="I14" s="53"/>
    </row>
    <row r="15" spans="1:10" ht="27" customHeight="1" x14ac:dyDescent="0.3">
      <c r="A15" s="210" t="s">
        <v>255</v>
      </c>
      <c r="B15" s="210" t="s">
        <v>270</v>
      </c>
      <c r="C15" s="211" t="s">
        <v>271</v>
      </c>
      <c r="D15" s="71" t="s">
        <v>187</v>
      </c>
      <c r="F15" s="53"/>
      <c r="G15" s="53"/>
      <c r="H15" s="53"/>
      <c r="I15" s="53"/>
    </row>
    <row r="16" spans="1:10" ht="14" x14ac:dyDescent="0.3">
      <c r="A16" s="212" t="s">
        <v>264</v>
      </c>
      <c r="B16" s="213">
        <f>AVERAGE(F3,F6,F9)</f>
        <v>715.9</v>
      </c>
      <c r="C16" s="213">
        <f>B16/D$16</f>
        <v>32.951302586762402</v>
      </c>
      <c r="D16" s="69">
        <v>21.725999999999999</v>
      </c>
      <c r="F16" s="53"/>
      <c r="G16" s="53"/>
      <c r="H16" s="53"/>
      <c r="I16" s="53"/>
    </row>
    <row r="17" spans="1:6" ht="14" x14ac:dyDescent="0.3">
      <c r="A17" s="212" t="s">
        <v>265</v>
      </c>
      <c r="B17" s="213">
        <f>AVERAGE(F4,F7,F10)</f>
        <v>446.19333333333333</v>
      </c>
      <c r="C17" s="213">
        <f>B17/D$16</f>
        <v>20.537297861241523</v>
      </c>
      <c r="D17" s="72"/>
      <c r="E17" s="53"/>
    </row>
    <row r="18" spans="1:6" ht="14" x14ac:dyDescent="0.3">
      <c r="A18" s="212" t="s">
        <v>266</v>
      </c>
      <c r="B18" s="213">
        <f>AVERAGE(F5,F8,F11)</f>
        <v>402.42666666666668</v>
      </c>
      <c r="C18" s="213">
        <f>B18/D$16</f>
        <v>18.52281444659241</v>
      </c>
      <c r="D18" s="72"/>
      <c r="E18" s="53"/>
    </row>
    <row r="19" spans="1:6" ht="14" x14ac:dyDescent="0.3">
      <c r="A19" s="72"/>
      <c r="B19" s="72"/>
      <c r="D19" s="72"/>
      <c r="E19" s="53"/>
    </row>
    <row r="20" spans="1:6" ht="32.15" customHeight="1" x14ac:dyDescent="0.3">
      <c r="A20" s="214"/>
      <c r="B20" s="210" t="s">
        <v>272</v>
      </c>
      <c r="C20" s="211" t="s">
        <v>273</v>
      </c>
      <c r="D20" s="72"/>
      <c r="E20" s="53"/>
    </row>
    <row r="21" spans="1:6" ht="14" x14ac:dyDescent="0.3">
      <c r="A21" s="215" t="s">
        <v>264</v>
      </c>
      <c r="B21" s="216">
        <f>AVERAGE(I3,I6,I9)</f>
        <v>256.4332</v>
      </c>
      <c r="C21" s="217">
        <f>B21*12</f>
        <v>3077.1984000000002</v>
      </c>
      <c r="E21" s="73"/>
      <c r="F21" s="74"/>
    </row>
    <row r="22" spans="1:6" ht="14" x14ac:dyDescent="0.3">
      <c r="A22" s="215" t="s">
        <v>265</v>
      </c>
      <c r="B22" s="216" t="e">
        <f>AVERAGE(I4,I7,I10)</f>
        <v>#REF!</v>
      </c>
      <c r="C22" s="217" t="e">
        <f t="shared" ref="C22:C23" si="2">B22*12</f>
        <v>#REF!</v>
      </c>
      <c r="E22" s="75"/>
    </row>
    <row r="23" spans="1:6" ht="14" x14ac:dyDescent="0.3">
      <c r="A23" s="215" t="s">
        <v>266</v>
      </c>
      <c r="B23" s="216" t="e">
        <f>AVERAGE(I5,I8,I11)</f>
        <v>#REF!</v>
      </c>
      <c r="C23" s="217" t="e">
        <f t="shared" si="2"/>
        <v>#REF!</v>
      </c>
      <c r="E23" s="76"/>
    </row>
  </sheetData>
  <mergeCells count="2">
    <mergeCell ref="A1:I1"/>
    <mergeCell ref="A13:I13"/>
  </mergeCells>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1E361-3D6B-42F9-B9C9-500967F5AE48}">
  <sheetPr>
    <pageSetUpPr fitToPage="1"/>
  </sheetPr>
  <dimension ref="A1:M24"/>
  <sheetViews>
    <sheetView zoomScale="115" zoomScaleNormal="115" workbookViewId="0">
      <selection activeCell="H1" sqref="H1"/>
    </sheetView>
  </sheetViews>
  <sheetFormatPr defaultColWidth="9.1796875" defaultRowHeight="11.5" x14ac:dyDescent="0.25"/>
  <cols>
    <col min="1" max="1" width="29.453125" style="363" customWidth="1"/>
    <col min="2" max="2" width="11.36328125" style="345" customWidth="1"/>
    <col min="3" max="4" width="12.1796875" style="349" customWidth="1"/>
    <col min="5" max="5" width="9.453125" style="345" bestFit="1" customWidth="1"/>
    <col min="6" max="6" width="13.26953125" style="349" bestFit="1" customWidth="1"/>
    <col min="7" max="7" width="16.08984375" style="346" customWidth="1"/>
    <col min="8" max="8" width="9.453125" style="349" bestFit="1" customWidth="1"/>
    <col min="9" max="9" width="9.26953125" style="349" bestFit="1" customWidth="1"/>
    <col min="10" max="10" width="13.26953125" style="349" customWidth="1"/>
    <col min="11" max="16384" width="9.1796875" style="349"/>
  </cols>
  <sheetData>
    <row r="1" spans="1:10" ht="26" customHeight="1" x14ac:dyDescent="0.25">
      <c r="A1" s="347" t="s">
        <v>333</v>
      </c>
      <c r="B1" s="348"/>
      <c r="C1" s="348"/>
      <c r="D1" s="348"/>
      <c r="E1" s="348"/>
      <c r="F1" s="348"/>
      <c r="G1" s="348"/>
    </row>
    <row r="3" spans="1:10" ht="23" x14ac:dyDescent="0.25">
      <c r="A3" s="350" t="s">
        <v>3</v>
      </c>
      <c r="B3" s="332" t="s">
        <v>274</v>
      </c>
      <c r="C3" s="332" t="s">
        <v>275</v>
      </c>
      <c r="D3" s="332" t="s">
        <v>276</v>
      </c>
      <c r="E3" s="350" t="s">
        <v>277</v>
      </c>
      <c r="F3" s="332" t="s">
        <v>278</v>
      </c>
      <c r="G3" s="350" t="s">
        <v>279</v>
      </c>
    </row>
    <row r="4" spans="1:10" x14ac:dyDescent="0.25">
      <c r="A4" s="351" t="s">
        <v>280</v>
      </c>
      <c r="B4" s="333">
        <v>8</v>
      </c>
      <c r="C4" s="352">
        <v>1619.81</v>
      </c>
      <c r="D4" s="352">
        <f>B4*C4</f>
        <v>12958.48</v>
      </c>
      <c r="E4" s="333">
        <v>12</v>
      </c>
      <c r="F4" s="352">
        <f>D4/E4</f>
        <v>1079.8733333333332</v>
      </c>
      <c r="G4" s="353" t="s">
        <v>49</v>
      </c>
    </row>
    <row r="5" spans="1:10" x14ac:dyDescent="0.25">
      <c r="A5" s="354" t="s">
        <v>281</v>
      </c>
      <c r="B5" s="334">
        <v>8</v>
      </c>
      <c r="C5" s="355">
        <v>3125.89</v>
      </c>
      <c r="D5" s="355">
        <f t="shared" ref="D5:D21" si="0">B5*C5</f>
        <v>25007.119999999999</v>
      </c>
      <c r="E5" s="334">
        <v>36</v>
      </c>
      <c r="F5" s="355">
        <f>D5/E5</f>
        <v>694.64222222222224</v>
      </c>
      <c r="G5" s="335" t="s">
        <v>53</v>
      </c>
    </row>
    <row r="6" spans="1:10" x14ac:dyDescent="0.25">
      <c r="A6" s="354" t="s">
        <v>282</v>
      </c>
      <c r="B6" s="334">
        <v>8</v>
      </c>
      <c r="C6" s="355">
        <v>256.14000000000004</v>
      </c>
      <c r="D6" s="355">
        <f t="shared" si="0"/>
        <v>2049.1200000000003</v>
      </c>
      <c r="E6" s="334">
        <v>36</v>
      </c>
      <c r="F6" s="355">
        <f t="shared" ref="F6:F13" si="1">D6/E6</f>
        <v>56.920000000000009</v>
      </c>
      <c r="G6" s="336"/>
    </row>
    <row r="7" spans="1:10" x14ac:dyDescent="0.25">
      <c r="A7" s="354" t="s">
        <v>283</v>
      </c>
      <c r="B7" s="334">
        <v>4</v>
      </c>
      <c r="C7" s="355">
        <v>528.65</v>
      </c>
      <c r="D7" s="355">
        <f t="shared" si="0"/>
        <v>2114.6</v>
      </c>
      <c r="E7" s="334">
        <v>36</v>
      </c>
      <c r="F7" s="355">
        <f t="shared" si="1"/>
        <v>58.738888888888887</v>
      </c>
      <c r="G7" s="336"/>
    </row>
    <row r="8" spans="1:10" x14ac:dyDescent="0.25">
      <c r="A8" s="354" t="s">
        <v>284</v>
      </c>
      <c r="B8" s="334">
        <v>8</v>
      </c>
      <c r="C8" s="355">
        <v>660.93333333333328</v>
      </c>
      <c r="D8" s="355">
        <f t="shared" si="0"/>
        <v>5287.4666666666662</v>
      </c>
      <c r="E8" s="334">
        <v>36</v>
      </c>
      <c r="F8" s="355">
        <f t="shared" si="1"/>
        <v>146.87407407407406</v>
      </c>
      <c r="G8" s="336"/>
    </row>
    <row r="9" spans="1:10" x14ac:dyDescent="0.25">
      <c r="A9" s="354" t="s">
        <v>285</v>
      </c>
      <c r="B9" s="334">
        <v>1</v>
      </c>
      <c r="C9" s="355">
        <v>2993</v>
      </c>
      <c r="D9" s="355">
        <f t="shared" si="0"/>
        <v>2993</v>
      </c>
      <c r="E9" s="334">
        <v>36</v>
      </c>
      <c r="F9" s="355">
        <f t="shared" si="1"/>
        <v>83.138888888888886</v>
      </c>
      <c r="G9" s="336"/>
    </row>
    <row r="10" spans="1:10" x14ac:dyDescent="0.25">
      <c r="A10" s="354" t="s">
        <v>286</v>
      </c>
      <c r="B10" s="334">
        <v>1</v>
      </c>
      <c r="C10" s="355">
        <v>3771.48</v>
      </c>
      <c r="D10" s="355">
        <f t="shared" si="0"/>
        <v>3771.48</v>
      </c>
      <c r="E10" s="334">
        <v>60</v>
      </c>
      <c r="F10" s="355">
        <f t="shared" si="1"/>
        <v>62.857999999999997</v>
      </c>
      <c r="G10" s="336"/>
    </row>
    <row r="11" spans="1:10" x14ac:dyDescent="0.25">
      <c r="A11" s="354" t="s">
        <v>287</v>
      </c>
      <c r="B11" s="334">
        <v>8</v>
      </c>
      <c r="C11" s="355">
        <v>1697.67</v>
      </c>
      <c r="D11" s="355">
        <f t="shared" si="0"/>
        <v>13581.36</v>
      </c>
      <c r="E11" s="334">
        <v>36</v>
      </c>
      <c r="F11" s="355">
        <f t="shared" si="1"/>
        <v>377.26</v>
      </c>
      <c r="G11" s="337"/>
    </row>
    <row r="12" spans="1:10" ht="14.5" customHeight="1" x14ac:dyDescent="0.25">
      <c r="A12" s="356" t="s">
        <v>288</v>
      </c>
      <c r="B12" s="338">
        <v>1</v>
      </c>
      <c r="C12" s="357">
        <v>1683</v>
      </c>
      <c r="D12" s="357">
        <f t="shared" si="0"/>
        <v>1683</v>
      </c>
      <c r="E12" s="338">
        <v>1</v>
      </c>
      <c r="F12" s="357">
        <f t="shared" si="1"/>
        <v>1683</v>
      </c>
      <c r="G12" s="339" t="s">
        <v>55</v>
      </c>
      <c r="J12" s="358"/>
    </row>
    <row r="13" spans="1:10" x14ac:dyDescent="0.25">
      <c r="A13" s="356" t="s">
        <v>289</v>
      </c>
      <c r="B13" s="338">
        <v>1</v>
      </c>
      <c r="C13" s="357">
        <v>332.83</v>
      </c>
      <c r="D13" s="357">
        <f t="shared" si="0"/>
        <v>332.83</v>
      </c>
      <c r="E13" s="338">
        <v>1</v>
      </c>
      <c r="F13" s="357">
        <f t="shared" si="1"/>
        <v>332.83</v>
      </c>
      <c r="G13" s="337"/>
    </row>
    <row r="14" spans="1:10" ht="23" x14ac:dyDescent="0.25">
      <c r="A14" s="359" t="s">
        <v>290</v>
      </c>
      <c r="B14" s="340">
        <v>16</v>
      </c>
      <c r="C14" s="360">
        <v>6.97</v>
      </c>
      <c r="D14" s="360">
        <f t="shared" si="0"/>
        <v>111.52</v>
      </c>
      <c r="E14" s="340">
        <v>1</v>
      </c>
      <c r="F14" s="360">
        <f t="shared" ref="F14:F21" si="2">(D14/E14)</f>
        <v>111.52</v>
      </c>
      <c r="G14" s="341" t="s">
        <v>291</v>
      </c>
    </row>
    <row r="15" spans="1:10" x14ac:dyDescent="0.25">
      <c r="A15" s="359" t="s">
        <v>292</v>
      </c>
      <c r="B15" s="340">
        <v>16</v>
      </c>
      <c r="C15" s="360">
        <v>1.21</v>
      </c>
      <c r="D15" s="360">
        <f t="shared" si="0"/>
        <v>19.36</v>
      </c>
      <c r="E15" s="340">
        <v>1</v>
      </c>
      <c r="F15" s="360">
        <f t="shared" si="2"/>
        <v>19.36</v>
      </c>
      <c r="G15" s="342"/>
    </row>
    <row r="16" spans="1:10" x14ac:dyDescent="0.25">
      <c r="A16" s="359" t="s">
        <v>293</v>
      </c>
      <c r="B16" s="340">
        <v>8</v>
      </c>
      <c r="C16" s="360">
        <v>3.75</v>
      </c>
      <c r="D16" s="360">
        <f t="shared" si="0"/>
        <v>30</v>
      </c>
      <c r="E16" s="340">
        <v>1</v>
      </c>
      <c r="F16" s="360">
        <f t="shared" si="2"/>
        <v>30</v>
      </c>
      <c r="G16" s="342"/>
    </row>
    <row r="17" spans="1:13" ht="23" x14ac:dyDescent="0.25">
      <c r="A17" s="359" t="s">
        <v>294</v>
      </c>
      <c r="B17" s="340">
        <v>8</v>
      </c>
      <c r="C17" s="360">
        <v>24.86</v>
      </c>
      <c r="D17" s="360">
        <f>B17*C17</f>
        <v>198.88</v>
      </c>
      <c r="E17" s="340">
        <v>1</v>
      </c>
      <c r="F17" s="360">
        <f t="shared" si="2"/>
        <v>198.88</v>
      </c>
      <c r="G17" s="342"/>
    </row>
    <row r="18" spans="1:13" ht="23" x14ac:dyDescent="0.25">
      <c r="A18" s="359" t="s">
        <v>295</v>
      </c>
      <c r="B18" s="340">
        <v>8</v>
      </c>
      <c r="C18" s="360">
        <v>147.88</v>
      </c>
      <c r="D18" s="360">
        <f t="shared" si="0"/>
        <v>1183.04</v>
      </c>
      <c r="E18" s="340">
        <v>12</v>
      </c>
      <c r="F18" s="360">
        <f t="shared" si="2"/>
        <v>98.586666666666659</v>
      </c>
      <c r="G18" s="342"/>
    </row>
    <row r="19" spans="1:13" ht="23" x14ac:dyDescent="0.25">
      <c r="A19" s="359" t="s">
        <v>296</v>
      </c>
      <c r="B19" s="340">
        <v>8</v>
      </c>
      <c r="C19" s="360">
        <v>32.57</v>
      </c>
      <c r="D19" s="360">
        <f t="shared" si="0"/>
        <v>260.56</v>
      </c>
      <c r="E19" s="340">
        <v>2</v>
      </c>
      <c r="F19" s="360">
        <f t="shared" si="2"/>
        <v>130.28</v>
      </c>
      <c r="G19" s="342"/>
      <c r="J19" s="344"/>
      <c r="K19" s="344"/>
      <c r="L19" s="344"/>
      <c r="M19" s="344"/>
    </row>
    <row r="20" spans="1:13" ht="23" x14ac:dyDescent="0.25">
      <c r="A20" s="359" t="s">
        <v>297</v>
      </c>
      <c r="B20" s="340">
        <v>8</v>
      </c>
      <c r="C20" s="360">
        <v>11.76</v>
      </c>
      <c r="D20" s="360">
        <f t="shared" si="0"/>
        <v>94.08</v>
      </c>
      <c r="E20" s="340">
        <v>1</v>
      </c>
      <c r="F20" s="360">
        <f t="shared" si="2"/>
        <v>94.08</v>
      </c>
      <c r="G20" s="342"/>
      <c r="J20" s="344"/>
      <c r="K20" s="344"/>
      <c r="L20" s="344"/>
      <c r="M20" s="344"/>
    </row>
    <row r="21" spans="1:13" ht="23.5" thickBot="1" x14ac:dyDescent="0.3">
      <c r="A21" s="359" t="s">
        <v>298</v>
      </c>
      <c r="B21" s="340">
        <v>8</v>
      </c>
      <c r="C21" s="360">
        <v>27.29</v>
      </c>
      <c r="D21" s="360">
        <f t="shared" si="0"/>
        <v>218.32</v>
      </c>
      <c r="E21" s="365">
        <v>2</v>
      </c>
      <c r="F21" s="361">
        <f t="shared" si="2"/>
        <v>109.16</v>
      </c>
      <c r="G21" s="343"/>
      <c r="J21" s="362"/>
      <c r="K21" s="344"/>
      <c r="L21" s="344"/>
      <c r="M21" s="344"/>
    </row>
    <row r="22" spans="1:13" ht="12" thickBot="1" x14ac:dyDescent="0.3">
      <c r="C22" s="358"/>
      <c r="D22" s="358"/>
      <c r="E22" s="366" t="s">
        <v>299</v>
      </c>
      <c r="F22" s="364">
        <f>ROUND(SUM(F4:F21),2)</f>
        <v>5368</v>
      </c>
      <c r="J22" s="362"/>
      <c r="K22" s="344"/>
      <c r="L22" s="362"/>
      <c r="M22" s="344"/>
    </row>
    <row r="23" spans="1:13" x14ac:dyDescent="0.25">
      <c r="C23" s="358"/>
      <c r="D23" s="358"/>
      <c r="E23" s="367"/>
      <c r="F23" s="358"/>
      <c r="J23" s="362"/>
      <c r="K23" s="344"/>
      <c r="L23" s="362"/>
      <c r="M23" s="344"/>
    </row>
    <row r="24" spans="1:13" x14ac:dyDescent="0.25">
      <c r="C24" s="358"/>
      <c r="D24" s="358"/>
      <c r="E24" s="367"/>
      <c r="F24" s="358"/>
      <c r="J24" s="362"/>
      <c r="K24" s="344"/>
      <c r="L24" s="362"/>
      <c r="M24" s="344"/>
    </row>
  </sheetData>
  <mergeCells count="4">
    <mergeCell ref="G5:G11"/>
    <mergeCell ref="G12:G13"/>
    <mergeCell ref="G14:G21"/>
    <mergeCell ref="A1:G1"/>
  </mergeCells>
  <pageMargins left="0.511811024" right="0.511811024" top="0.78740157499999996" bottom="0.78740157499999996" header="0.31496062000000002" footer="0.31496062000000002"/>
  <pageSetup paperSize="9" scale="9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Q20"/>
  <sheetViews>
    <sheetView showGridLines="0" zoomScaleNormal="100" workbookViewId="0">
      <selection activeCell="H1" sqref="H1"/>
    </sheetView>
  </sheetViews>
  <sheetFormatPr defaultColWidth="9.1796875" defaultRowHeight="22.5" customHeight="1" x14ac:dyDescent="0.25"/>
  <cols>
    <col min="1" max="1" width="3.26953125" style="5" customWidth="1"/>
    <col min="2" max="2" width="22.26953125" style="5" customWidth="1"/>
    <col min="3" max="4" width="13.26953125" style="5" customWidth="1"/>
    <col min="5" max="5" width="14.26953125" style="5" customWidth="1"/>
    <col min="6" max="6" width="14.453125" style="5" bestFit="1" customWidth="1"/>
    <col min="7" max="7" width="16.1796875" style="5" bestFit="1" customWidth="1"/>
    <col min="8" max="8" width="14.7265625" style="5" bestFit="1" customWidth="1"/>
    <col min="9" max="9" width="14.453125" style="5" bestFit="1" customWidth="1"/>
    <col min="10" max="11" width="14.453125" style="5" customWidth="1"/>
    <col min="12" max="12" width="10.7265625" style="5" bestFit="1" customWidth="1"/>
    <col min="13" max="13" width="11.7265625" style="5" bestFit="1" customWidth="1"/>
    <col min="14" max="14" width="14.453125" style="5" bestFit="1" customWidth="1"/>
    <col min="15" max="16" width="9.1796875" style="5"/>
    <col min="17" max="17" width="10.7265625" style="5" bestFit="1" customWidth="1"/>
    <col min="18" max="16384" width="9.1796875" style="5"/>
  </cols>
  <sheetData>
    <row r="1" spans="2:17" ht="22.5" customHeight="1" x14ac:dyDescent="0.25">
      <c r="B1" s="233" t="s">
        <v>20</v>
      </c>
      <c r="C1" s="233"/>
      <c r="D1" s="233"/>
      <c r="E1" s="233"/>
      <c r="F1" s="233"/>
      <c r="G1" s="233"/>
    </row>
    <row r="2" spans="2:17" ht="22.5" customHeight="1" thickBot="1" x14ac:dyDescent="0.3"/>
    <row r="3" spans="2:17" ht="22.5" customHeight="1" thickBot="1" x14ac:dyDescent="0.3">
      <c r="B3" s="227" t="s">
        <v>21</v>
      </c>
      <c r="C3" s="228"/>
      <c r="D3" s="228"/>
      <c r="E3" s="228"/>
      <c r="F3" s="228"/>
      <c r="G3" s="229"/>
    </row>
    <row r="4" spans="2:17" ht="22.5" customHeight="1" x14ac:dyDescent="0.25">
      <c r="B4" s="2"/>
      <c r="C4" s="2"/>
      <c r="D4" s="2"/>
      <c r="E4" s="2"/>
      <c r="F4" s="2"/>
      <c r="G4" s="2"/>
    </row>
    <row r="5" spans="2:17" ht="22.5" customHeight="1" x14ac:dyDescent="0.25">
      <c r="B5" s="195" t="s">
        <v>22</v>
      </c>
      <c r="C5" s="195" t="s">
        <v>23</v>
      </c>
      <c r="D5" s="195" t="s">
        <v>24</v>
      </c>
      <c r="E5" s="195" t="s">
        <v>25</v>
      </c>
      <c r="F5" s="195" t="s">
        <v>26</v>
      </c>
      <c r="G5" s="195" t="s">
        <v>27</v>
      </c>
    </row>
    <row r="6" spans="2:17" ht="22.5" customHeight="1" x14ac:dyDescent="0.25">
      <c r="B6" s="196" t="s">
        <v>28</v>
      </c>
      <c r="C6" s="197">
        <v>2</v>
      </c>
      <c r="D6" s="198">
        <v>60</v>
      </c>
      <c r="E6" s="199">
        <f>'TECSUP-01 - RJ'!H156</f>
        <v>8527.4680592592613</v>
      </c>
      <c r="F6" s="200">
        <f>E6*C6</f>
        <v>17054.936118518523</v>
      </c>
      <c r="G6" s="200">
        <f>ROUND(F6*D6,2)</f>
        <v>1023296.17</v>
      </c>
      <c r="H6" s="6"/>
      <c r="I6" s="184"/>
      <c r="J6" s="184"/>
      <c r="K6" s="184"/>
      <c r="M6" s="184"/>
      <c r="N6" s="184"/>
      <c r="P6" s="6"/>
      <c r="Q6" s="184"/>
    </row>
    <row r="7" spans="2:17" ht="22.5" customHeight="1" x14ac:dyDescent="0.25">
      <c r="B7" s="196" t="s">
        <v>29</v>
      </c>
      <c r="C7" s="197">
        <v>3</v>
      </c>
      <c r="D7" s="198">
        <v>60</v>
      </c>
      <c r="E7" s="201">
        <f>'TECSUP-02 - RJ'!H156</f>
        <v>8527.4680592592613</v>
      </c>
      <c r="F7" s="200">
        <f>E7*C7</f>
        <v>25582.404177777782</v>
      </c>
      <c r="G7" s="200">
        <f t="shared" ref="G7" si="0">F7*D7</f>
        <v>1534944.250666667</v>
      </c>
      <c r="H7" s="6"/>
      <c r="I7" s="184"/>
      <c r="J7" s="184"/>
      <c r="K7" s="184"/>
      <c r="M7" s="184"/>
      <c r="N7" s="184"/>
      <c r="P7" s="6"/>
      <c r="Q7" s="184"/>
    </row>
    <row r="8" spans="2:17" ht="22.5" customHeight="1" x14ac:dyDescent="0.25">
      <c r="B8" s="196" t="s">
        <v>30</v>
      </c>
      <c r="C8" s="197">
        <v>1</v>
      </c>
      <c r="D8" s="198">
        <v>60</v>
      </c>
      <c r="E8" s="201">
        <f>'TECSUP-02 - SP'!H154</f>
        <v>10542.83380164966</v>
      </c>
      <c r="F8" s="200">
        <f>E8*C8</f>
        <v>10542.83380164966</v>
      </c>
      <c r="G8" s="200">
        <f t="shared" ref="G8" si="1">F8*D8</f>
        <v>632570.02809897962</v>
      </c>
      <c r="H8" s="6"/>
      <c r="I8" s="184"/>
      <c r="J8" s="184"/>
      <c r="K8" s="184"/>
      <c r="M8" s="184"/>
      <c r="N8" s="184"/>
      <c r="P8" s="6"/>
      <c r="Q8" s="184"/>
    </row>
    <row r="9" spans="2:17" ht="22.5" customHeight="1" x14ac:dyDescent="0.25">
      <c r="B9" s="196" t="s">
        <v>31</v>
      </c>
      <c r="C9" s="197">
        <v>1</v>
      </c>
      <c r="D9" s="198">
        <v>60</v>
      </c>
      <c r="E9" s="201">
        <f>'TECSUP-02 - DF'!H156</f>
        <v>8825.080417592595</v>
      </c>
      <c r="F9" s="200">
        <f>E9*C9</f>
        <v>8825.080417592595</v>
      </c>
      <c r="G9" s="200">
        <f t="shared" ref="G9" si="2">F9*D9</f>
        <v>529504.82505555567</v>
      </c>
      <c r="H9" s="6"/>
      <c r="I9" s="184"/>
      <c r="J9" s="184"/>
      <c r="K9" s="184"/>
      <c r="M9" s="184"/>
      <c r="N9" s="184"/>
      <c r="P9" s="6"/>
      <c r="Q9" s="184"/>
    </row>
    <row r="10" spans="2:17" ht="22.5" customHeight="1" x14ac:dyDescent="0.25">
      <c r="B10" s="196" t="s">
        <v>32</v>
      </c>
      <c r="C10" s="197">
        <v>1</v>
      </c>
      <c r="D10" s="198">
        <v>60</v>
      </c>
      <c r="E10" s="201">
        <f>GERSUP!H156</f>
        <v>27288.058059259263</v>
      </c>
      <c r="F10" s="200">
        <f>E10*C10</f>
        <v>27288.058059259263</v>
      </c>
      <c r="G10" s="200">
        <f t="shared" ref="G10" si="3">F10*D10</f>
        <v>1637283.4835555558</v>
      </c>
      <c r="H10" s="6"/>
      <c r="I10" s="184"/>
      <c r="J10" s="184"/>
      <c r="K10" s="184"/>
      <c r="M10" s="184"/>
      <c r="N10" s="184"/>
      <c r="P10" s="6"/>
      <c r="Q10" s="184"/>
    </row>
    <row r="11" spans="2:17" ht="22.5" customHeight="1" x14ac:dyDescent="0.25">
      <c r="B11" s="129" t="s">
        <v>33</v>
      </c>
      <c r="C11" s="197">
        <f>SUM(C6:C10)</f>
        <v>8</v>
      </c>
      <c r="D11" s="231"/>
      <c r="E11" s="232"/>
      <c r="F11" s="202">
        <f>SUM(F6:F10)</f>
        <v>89293.312574797819</v>
      </c>
      <c r="G11" s="202">
        <f>SUM(G6:G10)</f>
        <v>5357598.7573767584</v>
      </c>
      <c r="H11" s="6"/>
      <c r="I11" s="184"/>
      <c r="J11" s="6"/>
      <c r="K11" s="6"/>
      <c r="L11" s="6"/>
      <c r="M11" s="184"/>
      <c r="N11" s="184"/>
      <c r="P11" s="6"/>
      <c r="Q11" s="184"/>
    </row>
    <row r="12" spans="2:17" ht="22.5" customHeight="1" x14ac:dyDescent="0.25">
      <c r="B12" s="230" t="s">
        <v>34</v>
      </c>
      <c r="C12" s="230"/>
      <c r="D12" s="230"/>
      <c r="E12" s="230"/>
      <c r="F12" s="230"/>
      <c r="G12" s="203">
        <f>G11</f>
        <v>5357598.7573767584</v>
      </c>
      <c r="I12" s="6"/>
      <c r="J12" s="6"/>
      <c r="K12" s="6"/>
      <c r="M12" s="184"/>
    </row>
    <row r="13" spans="2:17" ht="14.15" customHeight="1" x14ac:dyDescent="0.25">
      <c r="F13" s="1"/>
    </row>
    <row r="14" spans="2:17" ht="14.15" customHeight="1" x14ac:dyDescent="0.25">
      <c r="F14" s="1"/>
      <c r="M14" s="6"/>
    </row>
    <row r="15" spans="2:17" ht="101.15" customHeight="1" x14ac:dyDescent="0.25">
      <c r="B15" s="226" t="s">
        <v>35</v>
      </c>
      <c r="C15" s="226"/>
      <c r="D15" s="226"/>
      <c r="E15" s="226"/>
      <c r="F15" s="226"/>
      <c r="G15" s="226"/>
    </row>
    <row r="16" spans="2:17" ht="14.15" customHeight="1" x14ac:dyDescent="0.25">
      <c r="F16" s="1"/>
    </row>
    <row r="17" spans="2:7" ht="67" customHeight="1" x14ac:dyDescent="0.25">
      <c r="B17" s="226" t="s">
        <v>36</v>
      </c>
      <c r="C17" s="226"/>
      <c r="D17" s="226"/>
      <c r="E17" s="226"/>
      <c r="F17" s="226"/>
      <c r="G17" s="226"/>
    </row>
    <row r="18" spans="2:7" ht="14.15" customHeight="1" x14ac:dyDescent="0.25">
      <c r="F18" s="1"/>
    </row>
    <row r="19" spans="2:7" ht="29.5" customHeight="1" x14ac:dyDescent="0.25">
      <c r="B19" s="226" t="s">
        <v>37</v>
      </c>
      <c r="C19" s="226"/>
      <c r="D19" s="226"/>
      <c r="E19" s="226"/>
      <c r="F19" s="226"/>
      <c r="G19" s="226"/>
    </row>
    <row r="20" spans="2:7" ht="14.15" customHeight="1" x14ac:dyDescent="0.25">
      <c r="F20" s="1"/>
    </row>
  </sheetData>
  <mergeCells count="7">
    <mergeCell ref="B3:G3"/>
    <mergeCell ref="B12:F12"/>
    <mergeCell ref="D11:E11"/>
    <mergeCell ref="B1:G1"/>
    <mergeCell ref="B15:G15"/>
    <mergeCell ref="B17:G17"/>
    <mergeCell ref="B19:G19"/>
  </mergeCells>
  <printOptions horizontalCentered="1"/>
  <pageMargins left="0.51181102362204722" right="0.51181102362204722" top="0.98425196850393704" bottom="0.78740157480314965" header="0.31496062992125984" footer="0.31496062992125984"/>
  <pageSetup paperSize="9" scale="97"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A0911-DBBB-449E-9187-C559307CFB5D}">
  <dimension ref="A2:D28"/>
  <sheetViews>
    <sheetView zoomScaleNormal="100" workbookViewId="0">
      <selection activeCell="D1" sqref="D1"/>
    </sheetView>
  </sheetViews>
  <sheetFormatPr defaultRowHeight="12.5" x14ac:dyDescent="0.25"/>
  <cols>
    <col min="1" max="4" width="24.7265625" style="305" customWidth="1"/>
    <col min="5" max="16384" width="8.7265625" style="305"/>
  </cols>
  <sheetData>
    <row r="2" spans="1:4" x14ac:dyDescent="0.25">
      <c r="A2" s="314" t="s">
        <v>302</v>
      </c>
      <c r="B2" s="314"/>
      <c r="C2" s="314"/>
      <c r="D2" s="314"/>
    </row>
    <row r="3" spans="1:4" x14ac:dyDescent="0.25">
      <c r="A3" s="22"/>
      <c r="B3" s="22"/>
      <c r="C3" s="22"/>
      <c r="D3" s="22"/>
    </row>
    <row r="4" spans="1:4" ht="14.5" customHeight="1" x14ac:dyDescent="0.25">
      <c r="A4" s="221" t="s">
        <v>303</v>
      </c>
      <c r="B4" s="221"/>
      <c r="C4" s="221"/>
      <c r="D4" s="221"/>
    </row>
    <row r="5" spans="1:4" x14ac:dyDescent="0.25">
      <c r="A5" s="302" t="s">
        <v>327</v>
      </c>
      <c r="B5" s="221"/>
      <c r="C5" s="221"/>
      <c r="D5" s="221"/>
    </row>
    <row r="6" spans="1:4" ht="35.5" customHeight="1" x14ac:dyDescent="0.25">
      <c r="A6" s="302" t="s">
        <v>326</v>
      </c>
      <c r="B6" s="221"/>
      <c r="C6" s="221"/>
      <c r="D6" s="221"/>
    </row>
    <row r="7" spans="1:4" ht="24.5" customHeight="1" x14ac:dyDescent="0.25">
      <c r="A7" s="302" t="s">
        <v>325</v>
      </c>
      <c r="B7" s="221"/>
      <c r="C7" s="221"/>
      <c r="D7" s="221"/>
    </row>
    <row r="8" spans="1:4" ht="60" customHeight="1" x14ac:dyDescent="0.25">
      <c r="A8" s="302" t="s">
        <v>324</v>
      </c>
      <c r="B8" s="221"/>
      <c r="C8" s="221"/>
      <c r="D8" s="221"/>
    </row>
    <row r="9" spans="1:4" ht="59" customHeight="1" x14ac:dyDescent="0.25">
      <c r="A9" s="302" t="s">
        <v>323</v>
      </c>
      <c r="B9" s="221"/>
      <c r="C9" s="221"/>
      <c r="D9" s="221"/>
    </row>
    <row r="10" spans="1:4" ht="13" thickBot="1" x14ac:dyDescent="0.3"/>
    <row r="11" spans="1:4" ht="13" thickBot="1" x14ac:dyDescent="0.3">
      <c r="A11" s="306" t="s">
        <v>304</v>
      </c>
      <c r="B11" s="307" t="s">
        <v>47</v>
      </c>
      <c r="C11" s="307" t="s">
        <v>305</v>
      </c>
      <c r="D11" s="307" t="s">
        <v>306</v>
      </c>
    </row>
    <row r="12" spans="1:4" ht="35" thickBot="1" x14ac:dyDescent="0.3">
      <c r="A12" s="308" t="s">
        <v>307</v>
      </c>
      <c r="B12" s="309" t="s">
        <v>308</v>
      </c>
      <c r="C12" s="310">
        <v>1714.27</v>
      </c>
      <c r="D12" s="311">
        <v>2.4900000000000002</v>
      </c>
    </row>
    <row r="13" spans="1:4" ht="35" thickBot="1" x14ac:dyDescent="0.3">
      <c r="A13" s="308" t="s">
        <v>309</v>
      </c>
      <c r="B13" s="309" t="s">
        <v>310</v>
      </c>
      <c r="C13" s="310">
        <v>2312.19</v>
      </c>
      <c r="D13" s="311">
        <v>2</v>
      </c>
    </row>
    <row r="14" spans="1:4" ht="23.5" thickBot="1" x14ac:dyDescent="0.3">
      <c r="A14" s="308" t="s">
        <v>311</v>
      </c>
      <c r="B14" s="309" t="s">
        <v>312</v>
      </c>
      <c r="C14" s="310">
        <v>8877.2000000000007</v>
      </c>
      <c r="D14" s="311">
        <v>2</v>
      </c>
    </row>
    <row r="16" spans="1:4" s="312" customFormat="1" ht="39.5" customHeight="1" x14ac:dyDescent="0.25">
      <c r="A16" s="226" t="s">
        <v>322</v>
      </c>
      <c r="B16" s="226"/>
      <c r="C16" s="226"/>
      <c r="D16" s="226"/>
    </row>
    <row r="17" spans="1:4" s="312" customFormat="1" x14ac:dyDescent="0.25">
      <c r="A17" s="226"/>
      <c r="B17" s="226"/>
      <c r="C17" s="226"/>
      <c r="D17" s="226"/>
    </row>
    <row r="18" spans="1:4" s="312" customFormat="1" x14ac:dyDescent="0.25">
      <c r="A18" s="226" t="s">
        <v>313</v>
      </c>
      <c r="B18" s="226"/>
      <c r="C18" s="226"/>
      <c r="D18" s="226"/>
    </row>
    <row r="19" spans="1:4" s="312" customFormat="1" x14ac:dyDescent="0.25">
      <c r="A19" s="226" t="s">
        <v>314</v>
      </c>
      <c r="B19" s="226"/>
      <c r="C19" s="226"/>
      <c r="D19" s="226"/>
    </row>
    <row r="20" spans="1:4" s="312" customFormat="1" ht="54" customHeight="1" x14ac:dyDescent="0.25">
      <c r="A20" s="234" t="s">
        <v>315</v>
      </c>
      <c r="B20" s="234"/>
      <c r="C20" s="234"/>
      <c r="D20" s="234"/>
    </row>
    <row r="21" spans="1:4" s="312" customFormat="1" ht="83" customHeight="1" x14ac:dyDescent="0.25">
      <c r="A21" s="234" t="s">
        <v>316</v>
      </c>
      <c r="B21" s="234"/>
      <c r="C21" s="234"/>
      <c r="D21" s="234"/>
    </row>
    <row r="22" spans="1:4" s="312" customFormat="1" ht="90" customHeight="1" x14ac:dyDescent="0.25">
      <c r="A22" s="234" t="s">
        <v>317</v>
      </c>
      <c r="B22" s="234"/>
      <c r="C22" s="234"/>
      <c r="D22" s="234"/>
    </row>
    <row r="23" spans="1:4" s="312" customFormat="1" ht="86" customHeight="1" x14ac:dyDescent="0.25">
      <c r="A23" s="234" t="s">
        <v>318</v>
      </c>
      <c r="B23" s="234"/>
      <c r="C23" s="234"/>
      <c r="D23" s="234"/>
    </row>
    <row r="24" spans="1:4" s="312" customFormat="1" ht="97.5" customHeight="1" x14ac:dyDescent="0.25">
      <c r="A24" s="234" t="s">
        <v>319</v>
      </c>
      <c r="B24" s="234"/>
      <c r="C24" s="234"/>
      <c r="D24" s="234"/>
    </row>
    <row r="25" spans="1:4" s="312" customFormat="1" x14ac:dyDescent="0.25">
      <c r="A25" s="313"/>
      <c r="B25" s="313"/>
      <c r="C25" s="313"/>
      <c r="D25" s="313"/>
    </row>
    <row r="26" spans="1:4" s="312" customFormat="1" x14ac:dyDescent="0.25">
      <c r="A26" s="226" t="s">
        <v>328</v>
      </c>
      <c r="B26" s="226"/>
      <c r="C26" s="226"/>
      <c r="D26" s="226"/>
    </row>
    <row r="27" spans="1:4" s="312" customFormat="1" ht="36" customHeight="1" x14ac:dyDescent="0.25">
      <c r="A27" s="234" t="s">
        <v>320</v>
      </c>
      <c r="B27" s="234"/>
      <c r="C27" s="234"/>
      <c r="D27" s="234"/>
    </row>
    <row r="28" spans="1:4" s="312" customFormat="1" ht="25.5" customHeight="1" x14ac:dyDescent="0.25">
      <c r="A28" s="234" t="s">
        <v>321</v>
      </c>
      <c r="B28" s="234"/>
      <c r="C28" s="234"/>
      <c r="D28" s="234"/>
    </row>
  </sheetData>
  <mergeCells count="20">
    <mergeCell ref="A16:D16"/>
    <mergeCell ref="A27:D27"/>
    <mergeCell ref="A28:D28"/>
    <mergeCell ref="A20:D20"/>
    <mergeCell ref="A19:D19"/>
    <mergeCell ref="A18:D18"/>
    <mergeCell ref="A17:D17"/>
    <mergeCell ref="A21:D21"/>
    <mergeCell ref="A22:D22"/>
    <mergeCell ref="A23:D23"/>
    <mergeCell ref="A24:D24"/>
    <mergeCell ref="A25:D25"/>
    <mergeCell ref="A26:D26"/>
    <mergeCell ref="A9:D9"/>
    <mergeCell ref="A2:D2"/>
    <mergeCell ref="A4:D4"/>
    <mergeCell ref="A5:D5"/>
    <mergeCell ref="A6:D6"/>
    <mergeCell ref="A7:D7"/>
    <mergeCell ref="A8:D8"/>
  </mergeCells>
  <pageMargins left="0.511811024" right="0.511811024" top="0.78740157499999996" bottom="0.78740157499999996" header="0.31496062000000002" footer="0.31496062000000002"/>
  <pageSetup paperSize="9" scale="95"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158"/>
  <sheetViews>
    <sheetView showGridLines="0" zoomScaleNormal="100" workbookViewId="0">
      <selection activeCell="H1" sqref="H1"/>
    </sheetView>
  </sheetViews>
  <sheetFormatPr defaultColWidth="9.1796875" defaultRowHeight="12.5" x14ac:dyDescent="0.25"/>
  <cols>
    <col min="1" max="1" width="3.54296875" style="8" customWidth="1"/>
    <col min="2" max="2" width="8.26953125" style="8" customWidth="1"/>
    <col min="3" max="3" width="39.1796875" style="8" customWidth="1"/>
    <col min="4" max="4" width="29.1796875" style="8" customWidth="1"/>
    <col min="5" max="6" width="8.54296875" style="8" customWidth="1"/>
    <col min="7" max="7" width="9.1796875" style="8" customWidth="1"/>
    <col min="8" max="9" width="15.26953125" style="8" customWidth="1"/>
    <col min="10" max="16384" width="9.1796875" style="8"/>
  </cols>
  <sheetData>
    <row r="1" spans="2:9" x14ac:dyDescent="0.25">
      <c r="B1" s="14"/>
      <c r="C1" s="26"/>
      <c r="D1" s="78"/>
      <c r="E1" s="78"/>
      <c r="F1" s="78"/>
      <c r="G1" s="78"/>
      <c r="H1" s="78"/>
      <c r="I1" s="14"/>
    </row>
    <row r="2" spans="2:9" x14ac:dyDescent="0.25">
      <c r="B2" s="220" t="s">
        <v>20</v>
      </c>
      <c r="C2" s="220"/>
      <c r="D2" s="220"/>
      <c r="E2" s="220"/>
      <c r="F2" s="220"/>
      <c r="G2" s="220"/>
      <c r="H2" s="220"/>
      <c r="I2" s="22"/>
    </row>
    <row r="3" spans="2:9" x14ac:dyDescent="0.25">
      <c r="B3" s="239" t="s">
        <v>68</v>
      </c>
      <c r="C3" s="239"/>
      <c r="D3" s="239"/>
      <c r="E3" s="239"/>
      <c r="F3" s="239"/>
      <c r="G3" s="239"/>
      <c r="H3" s="239"/>
      <c r="I3" s="23"/>
    </row>
    <row r="4" spans="2:9" x14ac:dyDescent="0.25">
      <c r="B4" s="10"/>
      <c r="C4" s="10"/>
      <c r="D4" s="10"/>
      <c r="E4" s="10"/>
      <c r="F4" s="10"/>
      <c r="G4" s="10"/>
      <c r="H4" s="10"/>
      <c r="I4" s="10"/>
    </row>
    <row r="5" spans="2:9" x14ac:dyDescent="0.25">
      <c r="B5" s="10"/>
      <c r="C5" s="10"/>
      <c r="D5" s="10"/>
      <c r="E5" s="10"/>
      <c r="F5" s="10"/>
      <c r="G5" s="10"/>
      <c r="H5" s="10"/>
      <c r="I5" s="10"/>
    </row>
    <row r="6" spans="2:9" x14ac:dyDescent="0.25">
      <c r="B6" s="14"/>
      <c r="C6" s="123" t="s">
        <v>69</v>
      </c>
      <c r="D6" s="289" t="s">
        <v>70</v>
      </c>
      <c r="E6" s="289"/>
      <c r="F6" s="289"/>
      <c r="G6" s="10"/>
      <c r="H6" s="10"/>
      <c r="I6" s="10"/>
    </row>
    <row r="7" spans="2:9" x14ac:dyDescent="0.25">
      <c r="B7" s="14"/>
      <c r="C7" s="123" t="s">
        <v>71</v>
      </c>
      <c r="D7" s="289" t="s">
        <v>72</v>
      </c>
      <c r="E7" s="289"/>
      <c r="F7" s="289"/>
      <c r="G7" s="10"/>
      <c r="H7" s="10"/>
      <c r="I7" s="10"/>
    </row>
    <row r="8" spans="2:9" x14ac:dyDescent="0.25">
      <c r="B8" s="14"/>
      <c r="C8" s="123" t="s">
        <v>44</v>
      </c>
      <c r="D8" s="290"/>
      <c r="E8" s="290"/>
      <c r="F8" s="290"/>
      <c r="G8" s="10"/>
      <c r="H8" s="10"/>
      <c r="I8" s="10"/>
    </row>
    <row r="9" spans="2:9" x14ac:dyDescent="0.25">
      <c r="B9" s="14"/>
      <c r="C9" s="123" t="s">
        <v>73</v>
      </c>
      <c r="D9" s="290"/>
      <c r="E9" s="290"/>
      <c r="F9" s="290"/>
      <c r="G9" s="10"/>
      <c r="H9" s="10"/>
      <c r="I9" s="10"/>
    </row>
    <row r="10" spans="2:9" x14ac:dyDescent="0.25">
      <c r="B10" s="14"/>
      <c r="C10" s="123" t="s">
        <v>45</v>
      </c>
      <c r="D10" s="289">
        <v>1</v>
      </c>
      <c r="E10" s="289"/>
      <c r="F10" s="289"/>
      <c r="G10" s="10"/>
      <c r="H10" s="10"/>
      <c r="I10" s="10"/>
    </row>
    <row r="11" spans="2:9" x14ac:dyDescent="0.25">
      <c r="B11" s="14"/>
      <c r="C11" s="123" t="s">
        <v>46</v>
      </c>
      <c r="D11" s="289">
        <v>1</v>
      </c>
      <c r="E11" s="289"/>
      <c r="F11" s="289"/>
      <c r="G11" s="10"/>
      <c r="H11" s="10"/>
      <c r="I11" s="10"/>
    </row>
    <row r="12" spans="2:9" x14ac:dyDescent="0.25">
      <c r="B12" s="10"/>
      <c r="C12" s="10"/>
      <c r="D12" s="10"/>
      <c r="E12" s="10"/>
      <c r="F12" s="10"/>
      <c r="G12" s="10"/>
      <c r="H12" s="10"/>
      <c r="I12" s="10"/>
    </row>
    <row r="13" spans="2:9" x14ac:dyDescent="0.25">
      <c r="B13" s="124" t="s">
        <v>74</v>
      </c>
      <c r="C13" s="124"/>
      <c r="D13" s="241" t="s">
        <v>28</v>
      </c>
      <c r="E13" s="242"/>
      <c r="F13" s="243"/>
      <c r="G13" s="14"/>
      <c r="H13" s="14"/>
      <c r="I13" s="12"/>
    </row>
    <row r="14" spans="2:9" x14ac:dyDescent="0.25">
      <c r="B14" s="10"/>
      <c r="C14" s="10"/>
      <c r="D14" s="10"/>
      <c r="E14" s="10"/>
      <c r="F14" s="10"/>
      <c r="G14" s="10"/>
      <c r="H14" s="10"/>
      <c r="I14" s="14"/>
    </row>
    <row r="15" spans="2:9" x14ac:dyDescent="0.25">
      <c r="B15" s="247" t="s">
        <v>75</v>
      </c>
      <c r="C15" s="247"/>
      <c r="D15" s="247"/>
      <c r="E15" s="247"/>
      <c r="F15" s="247"/>
      <c r="G15" s="28"/>
      <c r="H15" s="28"/>
      <c r="I15" s="9"/>
    </row>
    <row r="16" spans="2:9" x14ac:dyDescent="0.25">
      <c r="B16" s="236">
        <v>1</v>
      </c>
      <c r="C16" s="237" t="s">
        <v>76</v>
      </c>
      <c r="D16" s="237"/>
      <c r="E16" s="237"/>
      <c r="F16" s="237"/>
      <c r="G16" s="28"/>
      <c r="H16" s="28"/>
      <c r="I16" s="9"/>
    </row>
    <row r="17" spans="2:9" x14ac:dyDescent="0.25">
      <c r="B17" s="236"/>
      <c r="C17" s="238" t="s">
        <v>77</v>
      </c>
      <c r="D17" s="238"/>
      <c r="E17" s="238"/>
      <c r="F17" s="238"/>
      <c r="G17" s="28"/>
      <c r="H17" s="28"/>
      <c r="I17" s="9"/>
    </row>
    <row r="18" spans="2:9" x14ac:dyDescent="0.25">
      <c r="B18" s="236">
        <v>2</v>
      </c>
      <c r="C18" s="237" t="s">
        <v>78</v>
      </c>
      <c r="D18" s="237"/>
      <c r="E18" s="237"/>
      <c r="F18" s="237"/>
      <c r="G18" s="28"/>
      <c r="H18" s="28"/>
      <c r="I18" s="9"/>
    </row>
    <row r="19" spans="2:9" x14ac:dyDescent="0.25">
      <c r="B19" s="236"/>
      <c r="C19" s="238"/>
      <c r="D19" s="238"/>
      <c r="E19" s="238"/>
      <c r="F19" s="238"/>
      <c r="G19" s="28"/>
      <c r="H19" s="28"/>
      <c r="I19" s="9"/>
    </row>
    <row r="20" spans="2:9" x14ac:dyDescent="0.25">
      <c r="B20" s="236">
        <v>3</v>
      </c>
      <c r="C20" s="237" t="s">
        <v>79</v>
      </c>
      <c r="D20" s="237"/>
      <c r="E20" s="237"/>
      <c r="F20" s="237"/>
      <c r="G20" s="28"/>
      <c r="H20" s="28"/>
      <c r="I20" s="9"/>
    </row>
    <row r="21" spans="2:9" x14ac:dyDescent="0.25">
      <c r="B21" s="236"/>
      <c r="C21" s="248">
        <v>60</v>
      </c>
      <c r="D21" s="248"/>
      <c r="E21" s="248"/>
      <c r="F21" s="248"/>
      <c r="G21" s="28"/>
      <c r="H21" s="28"/>
      <c r="I21" s="9"/>
    </row>
    <row r="22" spans="2:9" x14ac:dyDescent="0.25">
      <c r="B22" s="236">
        <v>4</v>
      </c>
      <c r="C22" s="237" t="s">
        <v>80</v>
      </c>
      <c r="D22" s="237"/>
      <c r="E22" s="237"/>
      <c r="F22" s="237"/>
      <c r="G22" s="28"/>
      <c r="H22" s="28"/>
      <c r="I22" s="9"/>
    </row>
    <row r="23" spans="2:9" x14ac:dyDescent="0.25">
      <c r="B23" s="236"/>
      <c r="C23" s="238"/>
      <c r="D23" s="238"/>
      <c r="E23" s="238"/>
      <c r="F23" s="238"/>
      <c r="G23" s="28"/>
      <c r="H23" s="28"/>
      <c r="I23" s="9"/>
    </row>
    <row r="24" spans="2:9" x14ac:dyDescent="0.25">
      <c r="B24" s="236">
        <v>5</v>
      </c>
      <c r="C24" s="237" t="s">
        <v>81</v>
      </c>
      <c r="D24" s="237"/>
      <c r="E24" s="237"/>
      <c r="F24" s="237"/>
      <c r="G24" s="28"/>
      <c r="H24" s="28"/>
      <c r="I24" s="9"/>
    </row>
    <row r="25" spans="2:9" x14ac:dyDescent="0.25">
      <c r="B25" s="236"/>
      <c r="C25" s="248" t="s">
        <v>64</v>
      </c>
      <c r="D25" s="248"/>
      <c r="E25" s="248"/>
      <c r="F25" s="248"/>
      <c r="G25" s="28"/>
      <c r="H25" s="28"/>
      <c r="I25" s="9"/>
    </row>
    <row r="26" spans="2:9" x14ac:dyDescent="0.25">
      <c r="B26" s="236">
        <v>6</v>
      </c>
      <c r="C26" s="237" t="s">
        <v>82</v>
      </c>
      <c r="D26" s="237"/>
      <c r="E26" s="237"/>
      <c r="F26" s="237"/>
      <c r="G26" s="28"/>
      <c r="H26" s="28"/>
      <c r="I26" s="9"/>
    </row>
    <row r="27" spans="2:9" x14ac:dyDescent="0.25">
      <c r="B27" s="236"/>
      <c r="C27" s="238"/>
      <c r="D27" s="238"/>
      <c r="E27" s="238"/>
      <c r="F27" s="238"/>
      <c r="G27" s="28"/>
      <c r="H27" s="28"/>
      <c r="I27" s="9"/>
    </row>
    <row r="28" spans="2:9" x14ac:dyDescent="0.25">
      <c r="B28" s="236">
        <v>7</v>
      </c>
      <c r="C28" s="237" t="s">
        <v>83</v>
      </c>
      <c r="D28" s="237"/>
      <c r="E28" s="237"/>
      <c r="F28" s="237"/>
      <c r="G28" s="28"/>
      <c r="H28" s="28"/>
      <c r="I28" s="9"/>
    </row>
    <row r="29" spans="2:9" x14ac:dyDescent="0.25">
      <c r="B29" s="236"/>
      <c r="C29" s="248" t="s">
        <v>84</v>
      </c>
      <c r="D29" s="248"/>
      <c r="E29" s="248"/>
      <c r="F29" s="248"/>
      <c r="G29" s="28"/>
      <c r="H29" s="28"/>
      <c r="I29" s="9"/>
    </row>
    <row r="30" spans="2:9" x14ac:dyDescent="0.25">
      <c r="B30" s="236">
        <v>8</v>
      </c>
      <c r="C30" s="237" t="s">
        <v>85</v>
      </c>
      <c r="D30" s="237"/>
      <c r="E30" s="237"/>
      <c r="F30" s="237"/>
      <c r="G30" s="28"/>
      <c r="H30" s="28"/>
      <c r="I30" s="9"/>
    </row>
    <row r="31" spans="2:9" x14ac:dyDescent="0.25">
      <c r="B31" s="236"/>
      <c r="C31" s="249"/>
      <c r="D31" s="249"/>
      <c r="E31" s="249"/>
      <c r="F31" s="249"/>
      <c r="G31" s="28"/>
      <c r="H31" s="28"/>
      <c r="I31" s="9"/>
    </row>
    <row r="32" spans="2:9" x14ac:dyDescent="0.25">
      <c r="B32" s="236">
        <v>9</v>
      </c>
      <c r="C32" s="237" t="s">
        <v>86</v>
      </c>
      <c r="D32" s="237"/>
      <c r="E32" s="237"/>
      <c r="F32" s="237"/>
      <c r="G32" s="28"/>
      <c r="H32" s="28"/>
      <c r="I32" s="9"/>
    </row>
    <row r="33" spans="2:9" x14ac:dyDescent="0.25">
      <c r="B33" s="236"/>
      <c r="C33" s="238"/>
      <c r="D33" s="238"/>
      <c r="E33" s="238"/>
      <c r="F33" s="238"/>
      <c r="G33" s="28"/>
      <c r="H33" s="28"/>
      <c r="I33" s="9"/>
    </row>
    <row r="34" spans="2:9" x14ac:dyDescent="0.25">
      <c r="B34" s="236">
        <v>10</v>
      </c>
      <c r="C34" s="237" t="s">
        <v>87</v>
      </c>
      <c r="D34" s="237"/>
      <c r="E34" s="237"/>
      <c r="F34" s="237"/>
      <c r="G34" s="28"/>
      <c r="H34" s="28"/>
      <c r="I34" s="9"/>
    </row>
    <row r="35" spans="2:9" x14ac:dyDescent="0.25">
      <c r="B35" s="236"/>
      <c r="C35" s="238"/>
      <c r="D35" s="238"/>
      <c r="E35" s="238"/>
      <c r="F35" s="238"/>
      <c r="G35" s="28"/>
      <c r="H35" s="28"/>
      <c r="I35" s="9"/>
    </row>
    <row r="36" spans="2:9" x14ac:dyDescent="0.25">
      <c r="B36" s="236">
        <v>11</v>
      </c>
      <c r="C36" s="237" t="s">
        <v>88</v>
      </c>
      <c r="D36" s="237"/>
      <c r="E36" s="237"/>
      <c r="F36" s="237"/>
      <c r="G36" s="28"/>
      <c r="H36" s="28"/>
      <c r="I36" s="9"/>
    </row>
    <row r="37" spans="2:9" x14ac:dyDescent="0.25">
      <c r="B37" s="236"/>
      <c r="C37" s="238"/>
      <c r="D37" s="238"/>
      <c r="E37" s="238"/>
      <c r="F37" s="238"/>
      <c r="G37" s="28"/>
      <c r="H37" s="28"/>
      <c r="I37" s="9"/>
    </row>
    <row r="38" spans="2:9" x14ac:dyDescent="0.25">
      <c r="B38" s="236">
        <v>12</v>
      </c>
      <c r="C38" s="237" t="s">
        <v>89</v>
      </c>
      <c r="D38" s="237"/>
      <c r="E38" s="237"/>
      <c r="F38" s="237"/>
      <c r="G38" s="28"/>
      <c r="H38" s="28"/>
      <c r="I38" s="9"/>
    </row>
    <row r="39" spans="2:9" x14ac:dyDescent="0.25">
      <c r="B39" s="236"/>
      <c r="C39" s="238"/>
      <c r="D39" s="238"/>
      <c r="E39" s="238"/>
      <c r="F39" s="238"/>
      <c r="G39" s="28"/>
      <c r="H39" s="28"/>
      <c r="I39" s="9"/>
    </row>
    <row r="40" spans="2:9" x14ac:dyDescent="0.25">
      <c r="B40" s="12"/>
      <c r="C40" s="12"/>
      <c r="D40" s="12"/>
      <c r="E40" s="12"/>
      <c r="F40" s="12"/>
      <c r="G40" s="12"/>
      <c r="H40" s="125" t="s">
        <v>90</v>
      </c>
      <c r="I40" s="14"/>
    </row>
    <row r="41" spans="2:9" x14ac:dyDescent="0.25">
      <c r="B41" s="254" t="s">
        <v>91</v>
      </c>
      <c r="C41" s="255"/>
      <c r="D41" s="255"/>
      <c r="E41" s="255"/>
      <c r="F41" s="255"/>
      <c r="G41" s="126"/>
      <c r="H41" s="127"/>
      <c r="I41" s="22"/>
    </row>
    <row r="42" spans="2:9" x14ac:dyDescent="0.25">
      <c r="B42" s="128">
        <v>1</v>
      </c>
      <c r="C42" s="231" t="s">
        <v>92</v>
      </c>
      <c r="D42" s="240"/>
      <c r="E42" s="240"/>
      <c r="F42" s="232"/>
      <c r="G42" s="29" t="s">
        <v>93</v>
      </c>
      <c r="H42" s="29" t="s">
        <v>94</v>
      </c>
      <c r="I42" s="22"/>
    </row>
    <row r="43" spans="2:9" ht="12.75" customHeight="1" x14ac:dyDescent="0.25">
      <c r="B43" s="129" t="s">
        <v>95</v>
      </c>
      <c r="C43" s="130" t="s">
        <v>96</v>
      </c>
      <c r="D43" s="244"/>
      <c r="E43" s="245"/>
      <c r="F43" s="246"/>
      <c r="G43" s="131"/>
      <c r="H43" s="132">
        <v>1858.68</v>
      </c>
      <c r="I43" s="24"/>
    </row>
    <row r="44" spans="2:9" x14ac:dyDescent="0.25">
      <c r="B44" s="129" t="s">
        <v>97</v>
      </c>
      <c r="C44" s="130" t="s">
        <v>98</v>
      </c>
      <c r="D44" s="244" t="s">
        <v>99</v>
      </c>
      <c r="E44" s="245"/>
      <c r="F44" s="246"/>
      <c r="G44" s="133"/>
      <c r="H44" s="134">
        <f>TRUNC(H$43*$G44,2)</f>
        <v>0</v>
      </c>
      <c r="I44" s="24"/>
    </row>
    <row r="45" spans="2:9" x14ac:dyDescent="0.25">
      <c r="B45" s="129" t="s">
        <v>100</v>
      </c>
      <c r="C45" s="135" t="s">
        <v>101</v>
      </c>
      <c r="D45" s="136" t="s">
        <v>102</v>
      </c>
      <c r="E45" s="137" t="s">
        <v>103</v>
      </c>
      <c r="F45" s="138">
        <v>1518</v>
      </c>
      <c r="G45" s="133"/>
      <c r="H45" s="134">
        <f>TRUNC(F$45*$G45,2)</f>
        <v>0</v>
      </c>
      <c r="I45" s="24"/>
    </row>
    <row r="46" spans="2:9" x14ac:dyDescent="0.25">
      <c r="B46" s="129" t="s">
        <v>104</v>
      </c>
      <c r="C46" s="135" t="s">
        <v>105</v>
      </c>
      <c r="D46" s="244" t="s">
        <v>106</v>
      </c>
      <c r="E46" s="245"/>
      <c r="F46" s="246"/>
      <c r="G46" s="139"/>
      <c r="H46" s="140">
        <f>TRUNC(((H$43+H44)*$G46)/220*8*15,2)</f>
        <v>0</v>
      </c>
      <c r="I46" s="24"/>
    </row>
    <row r="47" spans="2:9" x14ac:dyDescent="0.25">
      <c r="B47" s="141" t="s">
        <v>107</v>
      </c>
      <c r="C47" s="142" t="s">
        <v>108</v>
      </c>
      <c r="D47" s="251" t="s">
        <v>106</v>
      </c>
      <c r="E47" s="252"/>
      <c r="F47" s="253"/>
      <c r="G47" s="143"/>
      <c r="H47" s="144">
        <f>TRUNC(((H43+H44)*$G47)/220*1*15,2)</f>
        <v>0</v>
      </c>
      <c r="I47" s="27" t="s">
        <v>109</v>
      </c>
    </row>
    <row r="48" spans="2:9" x14ac:dyDescent="0.25">
      <c r="B48" s="145" t="s">
        <v>110</v>
      </c>
      <c r="C48" s="142" t="s">
        <v>111</v>
      </c>
      <c r="D48" s="251" t="s">
        <v>112</v>
      </c>
      <c r="E48" s="252"/>
      <c r="F48" s="253"/>
      <c r="G48" s="146"/>
      <c r="H48" s="144">
        <f>TRUNC($G$52*H52*(1+$G$48),2)</f>
        <v>0</v>
      </c>
      <c r="I48" s="27" t="s">
        <v>109</v>
      </c>
    </row>
    <row r="49" spans="2:9" x14ac:dyDescent="0.25">
      <c r="B49" s="129" t="s">
        <v>113</v>
      </c>
      <c r="C49" s="135" t="s">
        <v>114</v>
      </c>
      <c r="D49" s="244"/>
      <c r="E49" s="245"/>
      <c r="F49" s="246"/>
      <c r="G49" s="139"/>
      <c r="H49" s="147"/>
      <c r="I49" s="42"/>
    </row>
    <row r="50" spans="2:9" x14ac:dyDescent="0.25">
      <c r="B50" s="129" t="s">
        <v>115</v>
      </c>
      <c r="C50" s="231" t="s">
        <v>33</v>
      </c>
      <c r="D50" s="240"/>
      <c r="E50" s="240"/>
      <c r="F50" s="232"/>
      <c r="G50" s="148"/>
      <c r="H50" s="149">
        <f>SUM(H43:H49)</f>
        <v>1858.68</v>
      </c>
      <c r="I50" s="13"/>
    </row>
    <row r="51" spans="2:9" ht="23" x14ac:dyDescent="0.25">
      <c r="B51" s="22"/>
      <c r="C51" s="250" t="s">
        <v>116</v>
      </c>
      <c r="D51" s="250"/>
      <c r="E51" s="250"/>
      <c r="F51" s="250"/>
      <c r="G51" s="150" t="s">
        <v>117</v>
      </c>
      <c r="H51" s="151" t="s">
        <v>118</v>
      </c>
      <c r="I51" s="43"/>
    </row>
    <row r="52" spans="2:9" x14ac:dyDescent="0.25">
      <c r="B52" s="22"/>
      <c r="C52" s="250"/>
      <c r="D52" s="250"/>
      <c r="E52" s="250"/>
      <c r="F52" s="250"/>
      <c r="G52" s="152"/>
      <c r="H52" s="153">
        <f>IF($G$52="",0,TRUNC((H43+H44+H45)/220,2))</f>
        <v>0</v>
      </c>
      <c r="I52" s="44"/>
    </row>
    <row r="53" spans="2:9" x14ac:dyDescent="0.25">
      <c r="B53" s="22"/>
      <c r="C53" s="22"/>
      <c r="D53" s="22"/>
      <c r="E53" s="22"/>
      <c r="F53" s="22"/>
      <c r="G53" s="22"/>
      <c r="H53" s="13"/>
      <c r="I53" s="13"/>
    </row>
    <row r="54" spans="2:9" ht="12.75" customHeight="1" x14ac:dyDescent="0.25">
      <c r="B54" s="254" t="s">
        <v>119</v>
      </c>
      <c r="C54" s="255"/>
      <c r="D54" s="255"/>
      <c r="E54" s="255"/>
      <c r="F54" s="255"/>
      <c r="G54" s="126"/>
      <c r="H54" s="127"/>
      <c r="I54" s="22"/>
    </row>
    <row r="55" spans="2:9" x14ac:dyDescent="0.25">
      <c r="B55" s="257"/>
      <c r="C55" s="258"/>
      <c r="D55" s="258"/>
      <c r="E55" s="258"/>
      <c r="F55" s="258"/>
      <c r="G55" s="7"/>
      <c r="H55" s="7"/>
      <c r="I55" s="22"/>
    </row>
    <row r="56" spans="2:9" x14ac:dyDescent="0.25">
      <c r="B56" s="256" t="s">
        <v>120</v>
      </c>
      <c r="C56" s="256"/>
      <c r="D56" s="256"/>
      <c r="E56" s="256"/>
      <c r="F56" s="256"/>
      <c r="G56" s="7"/>
      <c r="H56" s="7"/>
      <c r="I56" s="22"/>
    </row>
    <row r="57" spans="2:9" x14ac:dyDescent="0.25">
      <c r="B57" s="29" t="s">
        <v>121</v>
      </c>
      <c r="C57" s="264" t="s">
        <v>122</v>
      </c>
      <c r="D57" s="265"/>
      <c r="E57" s="265"/>
      <c r="F57" s="266"/>
      <c r="G57" s="128" t="s">
        <v>93</v>
      </c>
      <c r="H57" s="128" t="s">
        <v>94</v>
      </c>
      <c r="I57" s="22"/>
    </row>
    <row r="58" spans="2:9" x14ac:dyDescent="0.25">
      <c r="B58" s="129" t="s">
        <v>95</v>
      </c>
      <c r="C58" s="130" t="s">
        <v>123</v>
      </c>
      <c r="D58" s="244" t="s">
        <v>124</v>
      </c>
      <c r="E58" s="245"/>
      <c r="F58" s="246"/>
      <c r="G58" s="32">
        <f>1/12</f>
        <v>8.3333333333333329E-2</v>
      </c>
      <c r="H58" s="33">
        <f>TRUNC((H$50*$G58),2)</f>
        <v>154.88999999999999</v>
      </c>
      <c r="I58" s="24"/>
    </row>
    <row r="59" spans="2:9" x14ac:dyDescent="0.25">
      <c r="B59" s="129" t="s">
        <v>97</v>
      </c>
      <c r="C59" s="130" t="s">
        <v>125</v>
      </c>
      <c r="D59" s="244" t="s">
        <v>126</v>
      </c>
      <c r="E59" s="245"/>
      <c r="F59" s="246"/>
      <c r="G59" s="154">
        <f>(1/12)+(1/3/12)</f>
        <v>0.1111111111111111</v>
      </c>
      <c r="H59" s="155">
        <f>TRUNC((H$50*$G59),2)</f>
        <v>206.52</v>
      </c>
      <c r="I59" s="24"/>
    </row>
    <row r="60" spans="2:9" x14ac:dyDescent="0.25">
      <c r="B60" s="129" t="s">
        <v>127</v>
      </c>
      <c r="C60" s="231" t="s">
        <v>33</v>
      </c>
      <c r="D60" s="240"/>
      <c r="E60" s="240"/>
      <c r="F60" s="232"/>
      <c r="G60" s="156">
        <f>TRUNC(SUM(G58:G59),4)</f>
        <v>0.19439999999999999</v>
      </c>
      <c r="H60" s="149">
        <f>SUM(H58:H59)</f>
        <v>361.40999999999997</v>
      </c>
      <c r="I60" s="13"/>
    </row>
    <row r="61" spans="2:9" x14ac:dyDescent="0.25">
      <c r="B61" s="267"/>
      <c r="C61" s="268"/>
      <c r="D61" s="268"/>
      <c r="E61" s="268"/>
      <c r="F61" s="268"/>
      <c r="G61" s="268"/>
      <c r="H61" s="269"/>
      <c r="I61" s="22"/>
    </row>
    <row r="62" spans="2:9" ht="30" customHeight="1" x14ac:dyDescent="0.25">
      <c r="B62" s="273" t="s">
        <v>128</v>
      </c>
      <c r="C62" s="274"/>
      <c r="D62" s="274"/>
      <c r="E62" s="274"/>
      <c r="F62" s="275"/>
      <c r="G62" s="30"/>
      <c r="H62" s="31"/>
      <c r="I62" s="25"/>
    </row>
    <row r="63" spans="2:9" x14ac:dyDescent="0.25">
      <c r="B63" s="128" t="s">
        <v>129</v>
      </c>
      <c r="C63" s="231" t="s">
        <v>130</v>
      </c>
      <c r="D63" s="240"/>
      <c r="E63" s="240"/>
      <c r="F63" s="232"/>
      <c r="G63" s="128" t="s">
        <v>93</v>
      </c>
      <c r="H63" s="128" t="s">
        <v>94</v>
      </c>
      <c r="I63" s="22"/>
    </row>
    <row r="64" spans="2:9" x14ac:dyDescent="0.25">
      <c r="B64" s="129" t="s">
        <v>95</v>
      </c>
      <c r="C64" s="130" t="s">
        <v>131</v>
      </c>
      <c r="D64" s="244" t="s">
        <v>132</v>
      </c>
      <c r="E64" s="245"/>
      <c r="F64" s="246"/>
      <c r="G64" s="154">
        <v>0.2</v>
      </c>
      <c r="H64" s="155">
        <f>TRUNC((H$50+H$60)*$G64,2)</f>
        <v>444.01</v>
      </c>
      <c r="I64" s="24"/>
    </row>
    <row r="65" spans="2:9" x14ac:dyDescent="0.25">
      <c r="B65" s="129" t="s">
        <v>97</v>
      </c>
      <c r="C65" s="157" t="s">
        <v>133</v>
      </c>
      <c r="D65" s="244" t="s">
        <v>134</v>
      </c>
      <c r="E65" s="245"/>
      <c r="F65" s="246"/>
      <c r="G65" s="154">
        <v>2.5000000000000001E-2</v>
      </c>
      <c r="H65" s="155">
        <f>TRUNC((H$50+H$60)*$G65,2)</f>
        <v>55.5</v>
      </c>
      <c r="I65" s="24"/>
    </row>
    <row r="66" spans="2:9" x14ac:dyDescent="0.25">
      <c r="B66" s="259" t="s">
        <v>100</v>
      </c>
      <c r="C66" s="261" t="s">
        <v>135</v>
      </c>
      <c r="D66" s="263" t="s">
        <v>136</v>
      </c>
      <c r="E66" s="204" t="s">
        <v>137</v>
      </c>
      <c r="F66" s="204" t="s">
        <v>138</v>
      </c>
      <c r="G66" s="270">
        <f>E67*F67</f>
        <v>0.03</v>
      </c>
      <c r="H66" s="272">
        <f>TRUNC((H$50+H$60)*$G66,2)</f>
        <v>66.599999999999994</v>
      </c>
      <c r="I66" s="42"/>
    </row>
    <row r="67" spans="2:9" x14ac:dyDescent="0.25">
      <c r="B67" s="260"/>
      <c r="C67" s="262"/>
      <c r="D67" s="263"/>
      <c r="E67" s="3">
        <v>0.03</v>
      </c>
      <c r="F67" s="4">
        <v>1</v>
      </c>
      <c r="G67" s="271"/>
      <c r="H67" s="272"/>
      <c r="I67" s="42"/>
    </row>
    <row r="68" spans="2:9" x14ac:dyDescent="0.25">
      <c r="B68" s="129" t="s">
        <v>104</v>
      </c>
      <c r="C68" s="130" t="s">
        <v>139</v>
      </c>
      <c r="D68" s="244" t="s">
        <v>140</v>
      </c>
      <c r="E68" s="245"/>
      <c r="F68" s="246"/>
      <c r="G68" s="154">
        <v>1.4999999999999999E-2</v>
      </c>
      <c r="H68" s="155">
        <f>TRUNC((H$50+H$60)*$G68,2)</f>
        <v>33.299999999999997</v>
      </c>
      <c r="I68" s="24"/>
    </row>
    <row r="69" spans="2:9" x14ac:dyDescent="0.25">
      <c r="B69" s="129" t="s">
        <v>107</v>
      </c>
      <c r="C69" s="130" t="s">
        <v>141</v>
      </c>
      <c r="D69" s="244" t="s">
        <v>142</v>
      </c>
      <c r="E69" s="245"/>
      <c r="F69" s="246"/>
      <c r="G69" s="154">
        <v>0.01</v>
      </c>
      <c r="H69" s="155">
        <f>TRUNC((H$50+H$60)*$G69,2)</f>
        <v>22.2</v>
      </c>
      <c r="I69" s="24"/>
    </row>
    <row r="70" spans="2:9" x14ac:dyDescent="0.25">
      <c r="B70" s="129" t="s">
        <v>110</v>
      </c>
      <c r="C70" s="130" t="s">
        <v>143</v>
      </c>
      <c r="D70" s="244" t="s">
        <v>144</v>
      </c>
      <c r="E70" s="245"/>
      <c r="F70" s="246"/>
      <c r="G70" s="154">
        <v>6.0000000000000001E-3</v>
      </c>
      <c r="H70" s="155">
        <f>TRUNC((H$50+H$60)*$G70,2)</f>
        <v>13.32</v>
      </c>
      <c r="I70" s="24"/>
    </row>
    <row r="71" spans="2:9" x14ac:dyDescent="0.25">
      <c r="B71" s="129" t="s">
        <v>113</v>
      </c>
      <c r="C71" s="130" t="s">
        <v>145</v>
      </c>
      <c r="D71" s="244" t="s">
        <v>146</v>
      </c>
      <c r="E71" s="245"/>
      <c r="F71" s="246"/>
      <c r="G71" s="154">
        <v>2E-3</v>
      </c>
      <c r="H71" s="155">
        <f>TRUNC((H$50+H$60)*$G71,2)</f>
        <v>4.4400000000000004</v>
      </c>
      <c r="I71" s="24"/>
    </row>
    <row r="72" spans="2:9" x14ac:dyDescent="0.25">
      <c r="B72" s="129" t="s">
        <v>147</v>
      </c>
      <c r="C72" s="130" t="s">
        <v>148</v>
      </c>
      <c r="D72" s="244" t="s">
        <v>149</v>
      </c>
      <c r="E72" s="245"/>
      <c r="F72" s="246"/>
      <c r="G72" s="154">
        <v>0.08</v>
      </c>
      <c r="H72" s="155">
        <f>TRUNC((H$50+H$60)*$G72,2)</f>
        <v>177.6</v>
      </c>
      <c r="I72" s="24"/>
    </row>
    <row r="73" spans="2:9" x14ac:dyDescent="0.25">
      <c r="B73" s="129" t="s">
        <v>150</v>
      </c>
      <c r="C73" s="231" t="s">
        <v>33</v>
      </c>
      <c r="D73" s="240"/>
      <c r="E73" s="240"/>
      <c r="F73" s="232"/>
      <c r="G73" s="80">
        <f>SUM(G64:G72)</f>
        <v>0.36800000000000005</v>
      </c>
      <c r="H73" s="149">
        <f>SUM(H64:H72)</f>
        <v>816.97000000000014</v>
      </c>
      <c r="I73" s="13"/>
    </row>
    <row r="74" spans="2:9" x14ac:dyDescent="0.25">
      <c r="B74" s="276"/>
      <c r="C74" s="277"/>
      <c r="D74" s="277"/>
      <c r="E74" s="277"/>
      <c r="F74" s="277"/>
      <c r="G74" s="277"/>
      <c r="H74" s="278"/>
      <c r="I74" s="25"/>
    </row>
    <row r="75" spans="2:9" ht="12.75" customHeight="1" x14ac:dyDescent="0.25">
      <c r="B75" s="273" t="s">
        <v>151</v>
      </c>
      <c r="C75" s="274"/>
      <c r="D75" s="274"/>
      <c r="E75" s="274"/>
      <c r="F75" s="275"/>
      <c r="G75" s="30"/>
      <c r="H75" s="31"/>
      <c r="I75" s="25"/>
    </row>
    <row r="76" spans="2:9" x14ac:dyDescent="0.25">
      <c r="B76" s="128" t="s">
        <v>152</v>
      </c>
      <c r="C76" s="231" t="s">
        <v>153</v>
      </c>
      <c r="D76" s="240"/>
      <c r="E76" s="240"/>
      <c r="F76" s="240"/>
      <c r="G76" s="81"/>
      <c r="H76" s="128" t="s">
        <v>94</v>
      </c>
      <c r="I76" s="22"/>
    </row>
    <row r="77" spans="2:9" ht="12.75" customHeight="1" x14ac:dyDescent="0.25">
      <c r="B77" s="129" t="s">
        <v>95</v>
      </c>
      <c r="C77" s="130" t="s">
        <v>154</v>
      </c>
      <c r="D77" s="136" t="s">
        <v>155</v>
      </c>
      <c r="E77" s="235" t="s">
        <v>156</v>
      </c>
      <c r="F77" s="235"/>
      <c r="G77" s="82">
        <v>8.5500000000000007</v>
      </c>
      <c r="H77" s="83">
        <f>IF((TRUNC((G77*2*22)-(H$43*6%),2))&lt;0,"0,00",(TRUNC((G77*2*22)-(H$43*6%),2)))</f>
        <v>264.67</v>
      </c>
      <c r="I77" s="45"/>
    </row>
    <row r="78" spans="2:9" ht="12.75" customHeight="1" x14ac:dyDescent="0.25">
      <c r="B78" s="129" t="s">
        <v>97</v>
      </c>
      <c r="C78" s="130" t="s">
        <v>157</v>
      </c>
      <c r="D78" s="136" t="s">
        <v>158</v>
      </c>
      <c r="E78" s="84"/>
      <c r="F78" s="84"/>
      <c r="G78" s="85"/>
      <c r="H78" s="83">
        <f>35*22-1%*(35*22)</f>
        <v>762.3</v>
      </c>
      <c r="I78" s="45"/>
    </row>
    <row r="79" spans="2:9" x14ac:dyDescent="0.25">
      <c r="B79" s="129" t="s">
        <v>100</v>
      </c>
      <c r="C79" s="130" t="s">
        <v>159</v>
      </c>
      <c r="D79" s="136"/>
      <c r="E79" s="84"/>
      <c r="F79" s="84"/>
      <c r="G79" s="85"/>
      <c r="H79" s="83">
        <f>285.22-(285.22*1%)</f>
        <v>282.36780000000005</v>
      </c>
      <c r="I79" s="45"/>
    </row>
    <row r="80" spans="2:9" s="14" customFormat="1" x14ac:dyDescent="0.25">
      <c r="B80" s="129" t="s">
        <v>104</v>
      </c>
      <c r="C80" s="130" t="s">
        <v>160</v>
      </c>
      <c r="D80" s="136"/>
      <c r="E80" s="84"/>
      <c r="F80" s="84"/>
      <c r="G80" s="85"/>
      <c r="H80" s="83">
        <v>272.32</v>
      </c>
      <c r="I80" s="45"/>
    </row>
    <row r="81" spans="2:9" s="14" customFormat="1" x14ac:dyDescent="0.25">
      <c r="B81" s="129" t="s">
        <v>107</v>
      </c>
      <c r="C81" s="130" t="s">
        <v>161</v>
      </c>
      <c r="D81" s="136"/>
      <c r="E81" s="84"/>
      <c r="F81" s="84"/>
      <c r="G81" s="85"/>
      <c r="H81" s="83">
        <v>15</v>
      </c>
      <c r="I81" s="45"/>
    </row>
    <row r="82" spans="2:9" s="14" customFormat="1" x14ac:dyDescent="0.25">
      <c r="B82" s="129" t="s">
        <v>110</v>
      </c>
      <c r="C82" s="130" t="s">
        <v>162</v>
      </c>
      <c r="D82" s="136"/>
      <c r="E82" s="84"/>
      <c r="F82" s="84"/>
      <c r="G82" s="85"/>
      <c r="H82" s="83">
        <f>H111/12</f>
        <v>14.154166666666667</v>
      </c>
      <c r="I82" s="45"/>
    </row>
    <row r="83" spans="2:9" s="14" customFormat="1" x14ac:dyDescent="0.25">
      <c r="B83" s="129" t="s">
        <v>113</v>
      </c>
      <c r="C83" s="130" t="s">
        <v>163</v>
      </c>
      <c r="D83" s="136"/>
      <c r="E83" s="84"/>
      <c r="F83" s="84"/>
      <c r="G83" s="85"/>
      <c r="H83" s="83">
        <f>H111/12</f>
        <v>14.154166666666667</v>
      </c>
      <c r="I83" s="45"/>
    </row>
    <row r="84" spans="2:9" s="14" customFormat="1" x14ac:dyDescent="0.25">
      <c r="B84" s="129" t="s">
        <v>147</v>
      </c>
      <c r="C84" s="130" t="s">
        <v>114</v>
      </c>
      <c r="D84" s="136"/>
      <c r="E84" s="84"/>
      <c r="F84" s="84"/>
      <c r="G84" s="85"/>
      <c r="H84" s="83"/>
      <c r="I84" s="45"/>
    </row>
    <row r="85" spans="2:9" x14ac:dyDescent="0.25">
      <c r="B85" s="129" t="s">
        <v>164</v>
      </c>
      <c r="C85" s="231" t="s">
        <v>33</v>
      </c>
      <c r="D85" s="240"/>
      <c r="E85" s="240"/>
      <c r="F85" s="240"/>
      <c r="G85" s="81"/>
      <c r="H85" s="149">
        <f>SUM(H77:H80)</f>
        <v>1581.6578</v>
      </c>
      <c r="I85" s="13"/>
    </row>
    <row r="86" spans="2:9" x14ac:dyDescent="0.25">
      <c r="B86" s="267"/>
      <c r="C86" s="268"/>
      <c r="D86" s="268"/>
      <c r="E86" s="268"/>
      <c r="F86" s="268"/>
      <c r="G86" s="268"/>
      <c r="H86" s="269"/>
      <c r="I86" s="22"/>
    </row>
    <row r="87" spans="2:9" x14ac:dyDescent="0.25">
      <c r="B87" s="280" t="s">
        <v>165</v>
      </c>
      <c r="C87" s="281"/>
      <c r="D87" s="281"/>
      <c r="E87" s="281"/>
      <c r="F87" s="281"/>
      <c r="G87" s="34"/>
      <c r="H87" s="34"/>
      <c r="I87" s="22"/>
    </row>
    <row r="88" spans="2:9" x14ac:dyDescent="0.25">
      <c r="B88" s="128">
        <v>2</v>
      </c>
      <c r="C88" s="231" t="s">
        <v>166</v>
      </c>
      <c r="D88" s="240"/>
      <c r="E88" s="240"/>
      <c r="F88" s="240"/>
      <c r="G88" s="81"/>
      <c r="H88" s="128" t="s">
        <v>94</v>
      </c>
      <c r="I88" s="22"/>
    </row>
    <row r="89" spans="2:9" x14ac:dyDescent="0.25">
      <c r="B89" s="129" t="s">
        <v>121</v>
      </c>
      <c r="C89" s="86" t="s">
        <v>122</v>
      </c>
      <c r="D89" s="136" t="s">
        <v>127</v>
      </c>
      <c r="E89" s="84"/>
      <c r="F89" s="84"/>
      <c r="G89" s="85"/>
      <c r="H89" s="155">
        <f>H60</f>
        <v>361.40999999999997</v>
      </c>
      <c r="I89" s="24"/>
    </row>
    <row r="90" spans="2:9" x14ac:dyDescent="0.25">
      <c r="B90" s="129" t="s">
        <v>129</v>
      </c>
      <c r="C90" s="86" t="s">
        <v>167</v>
      </c>
      <c r="D90" s="136" t="s">
        <v>150</v>
      </c>
      <c r="E90" s="84"/>
      <c r="F90" s="84"/>
      <c r="G90" s="85"/>
      <c r="H90" s="155">
        <f>H73</f>
        <v>816.97000000000014</v>
      </c>
      <c r="I90" s="24"/>
    </row>
    <row r="91" spans="2:9" x14ac:dyDescent="0.25">
      <c r="B91" s="129" t="s">
        <v>152</v>
      </c>
      <c r="C91" s="86" t="s">
        <v>153</v>
      </c>
      <c r="D91" s="136" t="s">
        <v>164</v>
      </c>
      <c r="E91" s="84"/>
      <c r="F91" s="84"/>
      <c r="G91" s="85"/>
      <c r="H91" s="155">
        <f>H85</f>
        <v>1581.6578</v>
      </c>
      <c r="I91" s="24"/>
    </row>
    <row r="92" spans="2:9" x14ac:dyDescent="0.25">
      <c r="B92" s="129" t="s">
        <v>168</v>
      </c>
      <c r="C92" s="231" t="s">
        <v>33</v>
      </c>
      <c r="D92" s="240"/>
      <c r="E92" s="240"/>
      <c r="F92" s="240"/>
      <c r="G92" s="81"/>
      <c r="H92" s="149">
        <f>SUM(H89:H91)</f>
        <v>2760.0378000000001</v>
      </c>
      <c r="I92" s="13"/>
    </row>
    <row r="93" spans="2:9" x14ac:dyDescent="0.25">
      <c r="B93" s="268"/>
      <c r="C93" s="268"/>
      <c r="D93" s="268"/>
      <c r="E93" s="268"/>
      <c r="F93" s="268"/>
      <c r="G93" s="268"/>
      <c r="H93" s="268"/>
      <c r="I93" s="22"/>
    </row>
    <row r="94" spans="2:9" x14ac:dyDescent="0.25">
      <c r="B94" s="22"/>
      <c r="C94" s="22"/>
      <c r="D94" s="22"/>
      <c r="E94" s="22"/>
      <c r="F94" s="22"/>
      <c r="G94" s="22"/>
      <c r="H94" s="22"/>
      <c r="I94" s="22"/>
    </row>
    <row r="95" spans="2:9" x14ac:dyDescent="0.25">
      <c r="B95" s="254" t="s">
        <v>169</v>
      </c>
      <c r="C95" s="255"/>
      <c r="D95" s="255"/>
      <c r="E95" s="255"/>
      <c r="F95" s="279"/>
      <c r="G95" s="126"/>
      <c r="H95" s="127"/>
      <c r="I95" s="22"/>
    </row>
    <row r="96" spans="2:9" x14ac:dyDescent="0.25">
      <c r="B96" s="128">
        <v>3</v>
      </c>
      <c r="C96" s="231" t="s">
        <v>170</v>
      </c>
      <c r="D96" s="240"/>
      <c r="E96" s="240"/>
      <c r="F96" s="232"/>
      <c r="G96" s="128" t="s">
        <v>93</v>
      </c>
      <c r="H96" s="128" t="s">
        <v>94</v>
      </c>
      <c r="I96" s="22"/>
    </row>
    <row r="97" spans="2:9" x14ac:dyDescent="0.25">
      <c r="B97" s="129" t="s">
        <v>95</v>
      </c>
      <c r="C97" s="87" t="s">
        <v>171</v>
      </c>
      <c r="D97" s="136" t="s">
        <v>172</v>
      </c>
      <c r="E97" s="84"/>
      <c r="F97" s="85"/>
      <c r="G97" s="88">
        <v>1</v>
      </c>
      <c r="H97" s="89">
        <f>TRUNC((H$98+H$99)*$G97,2)</f>
        <v>380.59</v>
      </c>
      <c r="I97" s="13"/>
    </row>
    <row r="98" spans="2:9" x14ac:dyDescent="0.25">
      <c r="B98" s="129" t="s">
        <v>97</v>
      </c>
      <c r="C98" s="130" t="s">
        <v>173</v>
      </c>
      <c r="D98" s="136" t="s">
        <v>174</v>
      </c>
      <c r="E98" s="84"/>
      <c r="F98" s="85"/>
      <c r="G98" s="90"/>
      <c r="H98" s="155">
        <f>TRUNC((H$50+H$60+H$72+H$85-H77)/12,2)</f>
        <v>309.55</v>
      </c>
      <c r="I98" s="24"/>
    </row>
    <row r="99" spans="2:9" x14ac:dyDescent="0.25">
      <c r="B99" s="129" t="s">
        <v>100</v>
      </c>
      <c r="C99" s="130" t="s">
        <v>175</v>
      </c>
      <c r="D99" s="244" t="s">
        <v>176</v>
      </c>
      <c r="E99" s="246"/>
      <c r="F99" s="91">
        <v>0.4</v>
      </c>
      <c r="G99" s="90"/>
      <c r="H99" s="155">
        <f>TRUNC(H$72*$F99,2)</f>
        <v>71.040000000000006</v>
      </c>
      <c r="I99" s="24"/>
    </row>
    <row r="100" spans="2:9" x14ac:dyDescent="0.25">
      <c r="B100" s="129" t="s">
        <v>104</v>
      </c>
      <c r="C100" s="87" t="s">
        <v>177</v>
      </c>
      <c r="D100" s="136" t="s">
        <v>178</v>
      </c>
      <c r="E100" s="84"/>
      <c r="F100" s="85"/>
      <c r="G100" s="88">
        <v>1</v>
      </c>
      <c r="H100" s="92">
        <f>IF($G100&gt;=1,(TRUNC(H$101*$G100,2)),"ERRO")</f>
        <v>71.040000000000006</v>
      </c>
      <c r="I100" s="46"/>
    </row>
    <row r="101" spans="2:9" x14ac:dyDescent="0.25">
      <c r="B101" s="129" t="s">
        <v>107</v>
      </c>
      <c r="C101" s="130" t="s">
        <v>179</v>
      </c>
      <c r="D101" s="244" t="s">
        <v>176</v>
      </c>
      <c r="E101" s="246"/>
      <c r="F101" s="91">
        <v>0.4</v>
      </c>
      <c r="G101" s="90"/>
      <c r="H101" s="155">
        <f>TRUNC(H$72*$F101,2)</f>
        <v>71.040000000000006</v>
      </c>
      <c r="I101" s="24"/>
    </row>
    <row r="102" spans="2:9" x14ac:dyDescent="0.25">
      <c r="B102" s="129" t="s">
        <v>110</v>
      </c>
      <c r="C102" s="87" t="s">
        <v>180</v>
      </c>
      <c r="D102" s="282" t="s">
        <v>181</v>
      </c>
      <c r="E102" s="283"/>
      <c r="F102" s="93">
        <v>12</v>
      </c>
      <c r="G102" s="93">
        <v>3</v>
      </c>
      <c r="H102" s="89">
        <f>TRUNC(((H$50+H$60+H$73)/30)*$G102/$F102,2)</f>
        <v>25.3</v>
      </c>
      <c r="I102" s="24"/>
    </row>
    <row r="103" spans="2:9" x14ac:dyDescent="0.25">
      <c r="B103" s="129" t="s">
        <v>182</v>
      </c>
      <c r="C103" s="231" t="s">
        <v>33</v>
      </c>
      <c r="D103" s="240"/>
      <c r="E103" s="240"/>
      <c r="F103" s="240"/>
      <c r="G103" s="81"/>
      <c r="H103" s="149">
        <f>H$97+H$100+H$102</f>
        <v>476.93</v>
      </c>
      <c r="I103" s="13"/>
    </row>
    <row r="104" spans="2:9" x14ac:dyDescent="0.25">
      <c r="B104" s="21"/>
      <c r="C104" s="21"/>
      <c r="D104" s="21"/>
      <c r="E104" s="21"/>
      <c r="F104" s="21"/>
      <c r="G104" s="21"/>
      <c r="H104" s="21"/>
      <c r="I104" s="21"/>
    </row>
    <row r="105" spans="2:9" x14ac:dyDescent="0.25">
      <c r="B105" s="22"/>
      <c r="C105" s="22"/>
      <c r="D105" s="22"/>
      <c r="E105" s="22"/>
      <c r="F105" s="22"/>
      <c r="G105" s="22"/>
      <c r="H105" s="22"/>
      <c r="I105" s="22"/>
    </row>
    <row r="106" spans="2:9" x14ac:dyDescent="0.25">
      <c r="B106" s="254" t="s">
        <v>183</v>
      </c>
      <c r="C106" s="255"/>
      <c r="D106" s="255"/>
      <c r="E106" s="255"/>
      <c r="F106" s="279"/>
      <c r="G106" s="126"/>
      <c r="H106" s="127"/>
      <c r="I106" s="22"/>
    </row>
    <row r="107" spans="2:9" x14ac:dyDescent="0.25">
      <c r="B107" s="284" t="s">
        <v>184</v>
      </c>
      <c r="C107" s="285"/>
      <c r="D107" s="285"/>
      <c r="E107" s="285"/>
      <c r="F107" s="285"/>
      <c r="G107" s="35"/>
      <c r="H107" s="36"/>
      <c r="I107" s="22"/>
    </row>
    <row r="108" spans="2:9" x14ac:dyDescent="0.25">
      <c r="B108" s="128" t="s">
        <v>185</v>
      </c>
      <c r="C108" s="231" t="s">
        <v>186</v>
      </c>
      <c r="D108" s="240"/>
      <c r="E108" s="240"/>
      <c r="F108" s="232"/>
      <c r="G108" s="128" t="s">
        <v>187</v>
      </c>
      <c r="H108" s="128" t="s">
        <v>94</v>
      </c>
      <c r="I108" s="22"/>
    </row>
    <row r="109" spans="2:9" x14ac:dyDescent="0.25">
      <c r="B109" s="129" t="s">
        <v>95</v>
      </c>
      <c r="C109" s="130" t="s">
        <v>188</v>
      </c>
      <c r="D109" s="136" t="s">
        <v>189</v>
      </c>
      <c r="E109" s="84"/>
      <c r="F109" s="85"/>
      <c r="G109" s="93">
        <v>30</v>
      </c>
      <c r="H109" s="155">
        <f>TRUNC((H$111*$G109)/12,2)</f>
        <v>424.62</v>
      </c>
      <c r="I109" s="24"/>
    </row>
    <row r="110" spans="2:9" ht="23" x14ac:dyDescent="0.25">
      <c r="B110" s="129" t="s">
        <v>97</v>
      </c>
      <c r="C110" s="95" t="s">
        <v>190</v>
      </c>
      <c r="D110" s="96" t="s">
        <v>191</v>
      </c>
      <c r="E110" s="97"/>
      <c r="F110" s="98"/>
      <c r="G110" s="99">
        <v>8</v>
      </c>
      <c r="H110" s="155">
        <f>TRUNC((H$111*$G110)/12,2)</f>
        <v>113.23</v>
      </c>
      <c r="I110" s="24"/>
    </row>
    <row r="111" spans="2:9" x14ac:dyDescent="0.25">
      <c r="B111" s="129" t="s">
        <v>100</v>
      </c>
      <c r="C111" s="130" t="s">
        <v>192</v>
      </c>
      <c r="D111" s="136" t="s">
        <v>193</v>
      </c>
      <c r="E111" s="84"/>
      <c r="F111" s="84"/>
      <c r="G111" s="85"/>
      <c r="H111" s="155">
        <f>TRUNC((H$50+H$92+H$103)/30,2)</f>
        <v>169.85</v>
      </c>
      <c r="I111" s="24"/>
    </row>
    <row r="112" spans="2:9" x14ac:dyDescent="0.25">
      <c r="B112" s="129" t="s">
        <v>194</v>
      </c>
      <c r="C112" s="231" t="s">
        <v>33</v>
      </c>
      <c r="D112" s="240"/>
      <c r="E112" s="240"/>
      <c r="F112" s="240"/>
      <c r="G112" s="81"/>
      <c r="H112" s="149">
        <f>TRUNC(H$109+H$110,2)</f>
        <v>537.85</v>
      </c>
      <c r="I112" s="13"/>
    </row>
    <row r="113" spans="2:9" x14ac:dyDescent="0.25">
      <c r="B113" s="15"/>
      <c r="C113" s="16"/>
      <c r="D113" s="16"/>
      <c r="E113" s="16"/>
      <c r="F113" s="16"/>
      <c r="G113" s="16"/>
      <c r="H113" s="17"/>
      <c r="I113" s="16"/>
    </row>
    <row r="114" spans="2:9" x14ac:dyDescent="0.25">
      <c r="B114" s="280" t="s">
        <v>195</v>
      </c>
      <c r="C114" s="281"/>
      <c r="D114" s="281"/>
      <c r="E114" s="281"/>
      <c r="F114" s="281"/>
      <c r="G114" s="37"/>
      <c r="H114" s="38"/>
      <c r="I114" s="22"/>
    </row>
    <row r="115" spans="2:9" x14ac:dyDescent="0.25">
      <c r="B115" s="128" t="s">
        <v>196</v>
      </c>
      <c r="C115" s="231" t="s">
        <v>197</v>
      </c>
      <c r="D115" s="240"/>
      <c r="E115" s="240"/>
      <c r="F115" s="232"/>
      <c r="G115" s="128" t="s">
        <v>187</v>
      </c>
      <c r="H115" s="128" t="s">
        <v>94</v>
      </c>
      <c r="I115" s="22"/>
    </row>
    <row r="116" spans="2:9" ht="23" x14ac:dyDescent="0.25">
      <c r="B116" s="129" t="s">
        <v>95</v>
      </c>
      <c r="C116" s="95" t="s">
        <v>198</v>
      </c>
      <c r="D116" s="136" t="s">
        <v>199</v>
      </c>
      <c r="E116" s="84"/>
      <c r="F116" s="84"/>
      <c r="G116" s="93"/>
      <c r="H116" s="155">
        <f>TRUNC(((H$50+H92+H103)/220)*(1+50%)*G116,2)</f>
        <v>0</v>
      </c>
      <c r="I116" s="24"/>
    </row>
    <row r="117" spans="2:9" x14ac:dyDescent="0.25">
      <c r="B117" s="129" t="s">
        <v>200</v>
      </c>
      <c r="C117" s="231" t="s">
        <v>33</v>
      </c>
      <c r="D117" s="240"/>
      <c r="E117" s="240"/>
      <c r="F117" s="240"/>
      <c r="G117" s="100"/>
      <c r="H117" s="149">
        <f>H116</f>
        <v>0</v>
      </c>
      <c r="I117" s="24"/>
    </row>
    <row r="118" spans="2:9" x14ac:dyDescent="0.25">
      <c r="B118" s="101"/>
      <c r="C118" s="186"/>
      <c r="D118" s="186"/>
      <c r="E118" s="186"/>
      <c r="F118" s="186"/>
      <c r="G118" s="22"/>
      <c r="H118" s="41"/>
      <c r="I118" s="47"/>
    </row>
    <row r="119" spans="2:9" x14ac:dyDescent="0.25">
      <c r="B119" s="280" t="s">
        <v>201</v>
      </c>
      <c r="C119" s="281"/>
      <c r="D119" s="281"/>
      <c r="E119" s="281"/>
      <c r="F119" s="281"/>
      <c r="G119" s="37"/>
      <c r="H119" s="38"/>
      <c r="I119" s="22"/>
    </row>
    <row r="120" spans="2:9" x14ac:dyDescent="0.25">
      <c r="B120" s="128">
        <v>4</v>
      </c>
      <c r="C120" s="231" t="s">
        <v>202</v>
      </c>
      <c r="D120" s="240"/>
      <c r="E120" s="240"/>
      <c r="F120" s="240"/>
      <c r="G120" s="232"/>
      <c r="H120" s="128" t="s">
        <v>94</v>
      </c>
      <c r="I120" s="22"/>
    </row>
    <row r="121" spans="2:9" x14ac:dyDescent="0.25">
      <c r="B121" s="129" t="s">
        <v>185</v>
      </c>
      <c r="C121" s="130" t="s">
        <v>203</v>
      </c>
      <c r="D121" s="136" t="s">
        <v>194</v>
      </c>
      <c r="E121" s="84"/>
      <c r="F121" s="84"/>
      <c r="G121" s="85"/>
      <c r="H121" s="155">
        <f>H112</f>
        <v>537.85</v>
      </c>
      <c r="I121" s="24"/>
    </row>
    <row r="122" spans="2:9" x14ac:dyDescent="0.25">
      <c r="B122" s="129" t="s">
        <v>196</v>
      </c>
      <c r="C122" s="130" t="s">
        <v>204</v>
      </c>
      <c r="D122" s="136" t="s">
        <v>200</v>
      </c>
      <c r="E122" s="84"/>
      <c r="F122" s="84"/>
      <c r="G122" s="85"/>
      <c r="H122" s="155">
        <f>H117</f>
        <v>0</v>
      </c>
      <c r="I122" s="24"/>
    </row>
    <row r="123" spans="2:9" x14ac:dyDescent="0.25">
      <c r="B123" s="129" t="s">
        <v>205</v>
      </c>
      <c r="C123" s="231" t="s">
        <v>33</v>
      </c>
      <c r="D123" s="240"/>
      <c r="E123" s="240"/>
      <c r="F123" s="240"/>
      <c r="G123" s="81"/>
      <c r="H123" s="149">
        <f>SUM(H121:H122)</f>
        <v>537.85</v>
      </c>
      <c r="I123" s="13"/>
    </row>
    <row r="124" spans="2:9" x14ac:dyDescent="0.25">
      <c r="B124" s="22"/>
      <c r="C124" s="22"/>
      <c r="D124" s="22"/>
      <c r="E124" s="22"/>
      <c r="F124" s="22"/>
      <c r="G124" s="22"/>
      <c r="H124" s="22"/>
      <c r="I124" s="22"/>
    </row>
    <row r="125" spans="2:9" x14ac:dyDescent="0.25">
      <c r="B125" s="22"/>
      <c r="C125" s="22"/>
      <c r="D125" s="22"/>
      <c r="E125" s="22"/>
      <c r="F125" s="22"/>
      <c r="G125" s="22"/>
      <c r="H125" s="22"/>
      <c r="I125" s="22"/>
    </row>
    <row r="126" spans="2:9" x14ac:dyDescent="0.25">
      <c r="B126" s="254" t="s">
        <v>206</v>
      </c>
      <c r="C126" s="255"/>
      <c r="D126" s="255"/>
      <c r="E126" s="255"/>
      <c r="F126" s="279"/>
      <c r="G126" s="126"/>
      <c r="H126" s="127"/>
      <c r="I126" s="22"/>
    </row>
    <row r="127" spans="2:9" x14ac:dyDescent="0.25">
      <c r="B127" s="128">
        <v>5</v>
      </c>
      <c r="C127" s="292" t="s">
        <v>207</v>
      </c>
      <c r="D127" s="293"/>
      <c r="E127" s="293"/>
      <c r="F127" s="293"/>
      <c r="G127" s="294"/>
      <c r="H127" s="128" t="s">
        <v>94</v>
      </c>
      <c r="I127" s="22"/>
    </row>
    <row r="128" spans="2:9" x14ac:dyDescent="0.25">
      <c r="B128" s="129" t="s">
        <v>95</v>
      </c>
      <c r="C128" s="102" t="s">
        <v>208</v>
      </c>
      <c r="D128" s="103"/>
      <c r="E128" s="103"/>
      <c r="F128" s="103"/>
      <c r="G128" s="104"/>
      <c r="H128" s="140">
        <v>26.52</v>
      </c>
      <c r="I128" s="24"/>
    </row>
    <row r="129" spans="2:10" x14ac:dyDescent="0.25">
      <c r="B129" s="129" t="s">
        <v>97</v>
      </c>
      <c r="C129" s="102" t="s">
        <v>209</v>
      </c>
      <c r="D129" s="103"/>
      <c r="E129" s="103"/>
      <c r="F129" s="103"/>
      <c r="G129" s="104"/>
      <c r="H129" s="140"/>
      <c r="I129" s="24"/>
    </row>
    <row r="130" spans="2:10" x14ac:dyDescent="0.25">
      <c r="B130" s="129" t="s">
        <v>100</v>
      </c>
      <c r="C130" s="102" t="s">
        <v>210</v>
      </c>
      <c r="D130" s="103"/>
      <c r="E130" s="103"/>
      <c r="F130" s="103"/>
      <c r="G130" s="104"/>
      <c r="H130" s="140">
        <f>'Demais componentes'!F9</f>
        <v>671.00025925925922</v>
      </c>
      <c r="I130" s="24"/>
    </row>
    <row r="131" spans="2:10" x14ac:dyDescent="0.25">
      <c r="B131" s="129" t="s">
        <v>104</v>
      </c>
      <c r="C131" s="102" t="s">
        <v>114</v>
      </c>
      <c r="D131" s="103"/>
      <c r="E131" s="103"/>
      <c r="F131" s="103"/>
      <c r="G131" s="104"/>
      <c r="H131" s="140"/>
      <c r="I131" s="24"/>
    </row>
    <row r="132" spans="2:10" x14ac:dyDescent="0.25">
      <c r="B132" s="129" t="s">
        <v>211</v>
      </c>
      <c r="C132" s="231" t="s">
        <v>33</v>
      </c>
      <c r="D132" s="240"/>
      <c r="E132" s="240"/>
      <c r="F132" s="240"/>
      <c r="G132" s="81"/>
      <c r="H132" s="149">
        <f>SUM(H128:H131)</f>
        <v>697.52025925925921</v>
      </c>
      <c r="I132" s="13"/>
    </row>
    <row r="133" spans="2:10" x14ac:dyDescent="0.25">
      <c r="B133" s="22"/>
      <c r="C133" s="22"/>
      <c r="D133" s="22"/>
      <c r="E133" s="22"/>
      <c r="F133" s="22"/>
      <c r="G133" s="18"/>
      <c r="H133" s="13"/>
      <c r="I133" s="13"/>
    </row>
    <row r="134" spans="2:10" x14ac:dyDescent="0.25">
      <c r="B134" s="22"/>
      <c r="C134" s="22"/>
      <c r="D134" s="22"/>
      <c r="E134" s="22"/>
      <c r="F134" s="22"/>
      <c r="G134" s="22"/>
      <c r="H134" s="22"/>
      <c r="I134" s="22"/>
    </row>
    <row r="135" spans="2:10" x14ac:dyDescent="0.25">
      <c r="B135" s="254" t="s">
        <v>212</v>
      </c>
      <c r="C135" s="255"/>
      <c r="D135" s="255"/>
      <c r="E135" s="255"/>
      <c r="F135" s="279"/>
      <c r="G135" s="126"/>
      <c r="H135" s="127"/>
      <c r="I135" s="22"/>
    </row>
    <row r="136" spans="2:10" x14ac:dyDescent="0.25">
      <c r="B136" s="128">
        <v>6</v>
      </c>
      <c r="C136" s="231" t="s">
        <v>213</v>
      </c>
      <c r="D136" s="240"/>
      <c r="E136" s="240"/>
      <c r="F136" s="232"/>
      <c r="G136" s="128" t="s">
        <v>93</v>
      </c>
      <c r="H136" s="128" t="s">
        <v>94</v>
      </c>
      <c r="I136" s="22"/>
    </row>
    <row r="137" spans="2:10" x14ac:dyDescent="0.25">
      <c r="B137" s="129" t="s">
        <v>95</v>
      </c>
      <c r="C137" s="130" t="s">
        <v>214</v>
      </c>
      <c r="D137" s="244" t="s">
        <v>215</v>
      </c>
      <c r="E137" s="245"/>
      <c r="F137" s="246"/>
      <c r="G137" s="105">
        <v>0.05</v>
      </c>
      <c r="H137" s="155">
        <f>TRUNC(H$154*$G137,2)</f>
        <v>316.55</v>
      </c>
      <c r="I137" s="24"/>
    </row>
    <row r="138" spans="2:10" x14ac:dyDescent="0.25">
      <c r="B138" s="129" t="s">
        <v>97</v>
      </c>
      <c r="C138" s="130" t="s">
        <v>216</v>
      </c>
      <c r="D138" s="244" t="s">
        <v>217</v>
      </c>
      <c r="E138" s="245"/>
      <c r="F138" s="246"/>
      <c r="G138" s="105">
        <v>0.1</v>
      </c>
      <c r="H138" s="155">
        <f>TRUNC((H$154+H$137)*$G138,2)</f>
        <v>664.75</v>
      </c>
      <c r="I138" s="24"/>
    </row>
    <row r="139" spans="2:10" x14ac:dyDescent="0.25">
      <c r="B139" s="129" t="s">
        <v>100</v>
      </c>
      <c r="C139" s="130" t="s">
        <v>218</v>
      </c>
      <c r="D139" s="244" t="s">
        <v>219</v>
      </c>
      <c r="E139" s="245"/>
      <c r="F139" s="246"/>
      <c r="G139" s="106">
        <f>1-(G140+G141+G142)</f>
        <v>0.85749999999999993</v>
      </c>
      <c r="H139" s="79">
        <f>TRUNC(((H$154+H$137+H$138)/$G139),2)</f>
        <v>8527.48</v>
      </c>
      <c r="I139" s="42"/>
    </row>
    <row r="140" spans="2:10" x14ac:dyDescent="0.25">
      <c r="B140" s="129" t="s">
        <v>220</v>
      </c>
      <c r="C140" s="130" t="s">
        <v>221</v>
      </c>
      <c r="D140" s="244" t="s">
        <v>222</v>
      </c>
      <c r="E140" s="245"/>
      <c r="F140" s="246"/>
      <c r="G140" s="107">
        <v>1.6500000000000001E-2</v>
      </c>
      <c r="H140" s="155">
        <f>TRUNC(H$139*$G140,2)</f>
        <v>140.69999999999999</v>
      </c>
      <c r="I140" s="24"/>
    </row>
    <row r="141" spans="2:10" x14ac:dyDescent="0.25">
      <c r="B141" s="129" t="s">
        <v>223</v>
      </c>
      <c r="C141" s="130" t="s">
        <v>224</v>
      </c>
      <c r="D141" s="244" t="s">
        <v>222</v>
      </c>
      <c r="E141" s="245"/>
      <c r="F141" s="246"/>
      <c r="G141" s="107">
        <v>7.5999999999999998E-2</v>
      </c>
      <c r="H141" s="155">
        <f>TRUNC(H$139*$G141,2)</f>
        <v>648.08000000000004</v>
      </c>
      <c r="I141" s="24"/>
    </row>
    <row r="142" spans="2:10" x14ac:dyDescent="0.25">
      <c r="B142" s="129" t="s">
        <v>225</v>
      </c>
      <c r="C142" s="130" t="s">
        <v>226</v>
      </c>
      <c r="D142" s="244" t="s">
        <v>222</v>
      </c>
      <c r="E142" s="245"/>
      <c r="F142" s="246"/>
      <c r="G142" s="107">
        <v>0.05</v>
      </c>
      <c r="H142" s="155">
        <f>TRUNC(H$139*$G142,2)</f>
        <v>426.37</v>
      </c>
      <c r="I142" s="24"/>
    </row>
    <row r="143" spans="2:10" x14ac:dyDescent="0.25">
      <c r="B143" s="129" t="s">
        <v>227</v>
      </c>
      <c r="C143" s="108" t="s">
        <v>33</v>
      </c>
      <c r="D143" s="288" t="s">
        <v>228</v>
      </c>
      <c r="E143" s="288"/>
      <c r="F143" s="288"/>
      <c r="G143" s="109"/>
      <c r="H143" s="149">
        <f>SUM(H137:H142)-H139</f>
        <v>2196.4500000000007</v>
      </c>
      <c r="I143" s="13"/>
      <c r="J143" s="14"/>
    </row>
    <row r="144" spans="2:10" x14ac:dyDescent="0.25">
      <c r="B144" s="11"/>
      <c r="C144" s="11"/>
      <c r="D144" s="11"/>
      <c r="E144" s="11"/>
      <c r="F144" s="11"/>
      <c r="G144" s="11"/>
      <c r="H144" s="19"/>
      <c r="I144" s="19"/>
      <c r="J144" s="14"/>
    </row>
    <row r="145" spans="2:10" x14ac:dyDescent="0.25">
      <c r="B145" s="291" t="s">
        <v>229</v>
      </c>
      <c r="C145" s="291"/>
      <c r="D145" s="291"/>
      <c r="E145" s="291"/>
      <c r="F145" s="291"/>
      <c r="G145" s="291"/>
      <c r="H145" s="291"/>
      <c r="I145" s="20"/>
      <c r="J145" s="14"/>
    </row>
    <row r="146" spans="2:10" x14ac:dyDescent="0.25">
      <c r="B146" s="20"/>
      <c r="C146" s="20"/>
      <c r="D146" s="20"/>
      <c r="E146" s="20"/>
      <c r="F146" s="20"/>
      <c r="G146" s="20"/>
      <c r="H146" s="20"/>
      <c r="I146" s="20"/>
      <c r="J146" s="14"/>
    </row>
    <row r="147" spans="2:10" x14ac:dyDescent="0.25">
      <c r="B147" s="254" t="s">
        <v>230</v>
      </c>
      <c r="C147" s="255"/>
      <c r="D147" s="255"/>
      <c r="E147" s="255"/>
      <c r="F147" s="255"/>
      <c r="G147" s="110"/>
      <c r="H147" s="127"/>
      <c r="I147" s="22"/>
      <c r="J147" s="14"/>
    </row>
    <row r="148" spans="2:10" ht="12.75" customHeight="1" x14ac:dyDescent="0.25">
      <c r="B148" s="39"/>
      <c r="C148" s="286" t="s">
        <v>231</v>
      </c>
      <c r="D148" s="287"/>
      <c r="E148" s="287"/>
      <c r="F148" s="287"/>
      <c r="G148" s="40"/>
      <c r="H148" s="29" t="s">
        <v>94</v>
      </c>
      <c r="I148" s="22"/>
      <c r="J148" s="14"/>
    </row>
    <row r="149" spans="2:10" x14ac:dyDescent="0.25">
      <c r="B149" s="129" t="s">
        <v>95</v>
      </c>
      <c r="C149" s="95" t="s">
        <v>232</v>
      </c>
      <c r="D149" s="136" t="s">
        <v>115</v>
      </c>
      <c r="E149" s="84"/>
      <c r="F149" s="84"/>
      <c r="G149" s="85"/>
      <c r="H149" s="155">
        <f>H50</f>
        <v>1858.68</v>
      </c>
      <c r="I149" s="24"/>
      <c r="J149" s="14"/>
    </row>
    <row r="150" spans="2:10" ht="23" x14ac:dyDescent="0.25">
      <c r="B150" s="129" t="s">
        <v>97</v>
      </c>
      <c r="C150" s="95" t="s">
        <v>233</v>
      </c>
      <c r="D150" s="136" t="s">
        <v>168</v>
      </c>
      <c r="E150" s="84"/>
      <c r="F150" s="84"/>
      <c r="G150" s="85"/>
      <c r="H150" s="155">
        <f>H92</f>
        <v>2760.0378000000001</v>
      </c>
      <c r="I150" s="24"/>
      <c r="J150" s="14"/>
    </row>
    <row r="151" spans="2:10" x14ac:dyDescent="0.25">
      <c r="B151" s="129" t="s">
        <v>100</v>
      </c>
      <c r="C151" s="95" t="s">
        <v>234</v>
      </c>
      <c r="D151" s="136" t="s">
        <v>182</v>
      </c>
      <c r="E151" s="84"/>
      <c r="F151" s="84"/>
      <c r="G151" s="85"/>
      <c r="H151" s="155">
        <f>H103</f>
        <v>476.93</v>
      </c>
      <c r="I151" s="24"/>
      <c r="J151" s="14"/>
    </row>
    <row r="152" spans="2:10" ht="23" x14ac:dyDescent="0.25">
      <c r="B152" s="129" t="s">
        <v>104</v>
      </c>
      <c r="C152" s="95" t="s">
        <v>235</v>
      </c>
      <c r="D152" s="136" t="s">
        <v>205</v>
      </c>
      <c r="E152" s="84"/>
      <c r="F152" s="84"/>
      <c r="G152" s="85"/>
      <c r="H152" s="155">
        <f>H123</f>
        <v>537.85</v>
      </c>
      <c r="I152" s="24"/>
      <c r="J152" s="14"/>
    </row>
    <row r="153" spans="2:10" x14ac:dyDescent="0.25">
      <c r="B153" s="129" t="s">
        <v>107</v>
      </c>
      <c r="C153" s="95" t="s">
        <v>236</v>
      </c>
      <c r="D153" s="136" t="s">
        <v>211</v>
      </c>
      <c r="E153" s="84"/>
      <c r="F153" s="84"/>
      <c r="G153" s="85"/>
      <c r="H153" s="155">
        <f>H132</f>
        <v>697.52025925925921</v>
      </c>
      <c r="I153" s="24"/>
      <c r="J153" s="14"/>
    </row>
    <row r="154" spans="2:10" x14ac:dyDescent="0.25">
      <c r="B154" s="94" t="s">
        <v>110</v>
      </c>
      <c r="C154" s="87" t="s">
        <v>237</v>
      </c>
      <c r="D154" s="111" t="s">
        <v>238</v>
      </c>
      <c r="E154" s="112"/>
      <c r="F154" s="112"/>
      <c r="G154" s="113"/>
      <c r="H154" s="89">
        <f>SUM(H149:H153)</f>
        <v>6331.0180592592606</v>
      </c>
      <c r="I154" s="13"/>
      <c r="J154" s="14"/>
    </row>
    <row r="155" spans="2:10" x14ac:dyDescent="0.25">
      <c r="B155" s="129" t="s">
        <v>113</v>
      </c>
      <c r="C155" s="130" t="s">
        <v>239</v>
      </c>
      <c r="D155" s="114" t="s">
        <v>227</v>
      </c>
      <c r="E155" s="205"/>
      <c r="F155" s="205"/>
      <c r="G155" s="115"/>
      <c r="H155" s="155">
        <f>H143</f>
        <v>2196.4500000000007</v>
      </c>
      <c r="I155" s="24"/>
      <c r="J155" s="14"/>
    </row>
    <row r="156" spans="2:10" x14ac:dyDescent="0.25">
      <c r="B156" s="129" t="s">
        <v>240</v>
      </c>
      <c r="C156" s="116" t="s">
        <v>241</v>
      </c>
      <c r="D156" s="117" t="s">
        <v>242</v>
      </c>
      <c r="E156" s="118"/>
      <c r="F156" s="118"/>
      <c r="G156" s="109"/>
      <c r="H156" s="119">
        <f>SUM(H154:H155)</f>
        <v>8527.4680592592613</v>
      </c>
      <c r="I156" s="48"/>
      <c r="J156" s="14"/>
    </row>
    <row r="157" spans="2:10" ht="12.75" customHeight="1" x14ac:dyDescent="0.25">
      <c r="B157" s="78"/>
      <c r="C157" s="78"/>
      <c r="D157" s="78"/>
      <c r="E157" s="78"/>
      <c r="F157" s="78"/>
      <c r="G157" s="78"/>
      <c r="H157" s="120"/>
      <c r="I157" s="121"/>
      <c r="J157" s="14"/>
    </row>
    <row r="158" spans="2:10" x14ac:dyDescent="0.25">
      <c r="B158" s="14"/>
      <c r="C158" s="14"/>
      <c r="D158" s="14"/>
      <c r="E158" s="14"/>
      <c r="F158" s="14"/>
      <c r="G158" s="122" t="s">
        <v>243</v>
      </c>
      <c r="H158" s="187">
        <f>(H156)/H43</f>
        <v>4.5879161874336951</v>
      </c>
      <c r="I158" s="185"/>
      <c r="J158" s="206"/>
    </row>
  </sheetData>
  <mergeCells count="120">
    <mergeCell ref="B22:B23"/>
    <mergeCell ref="C22:F22"/>
    <mergeCell ref="C23:F23"/>
    <mergeCell ref="B16:B17"/>
    <mergeCell ref="C16:F16"/>
    <mergeCell ref="C17:F17"/>
    <mergeCell ref="B18:B19"/>
    <mergeCell ref="C18:F18"/>
    <mergeCell ref="C19:F19"/>
    <mergeCell ref="B20:B21"/>
    <mergeCell ref="C20:F20"/>
    <mergeCell ref="C21:F21"/>
    <mergeCell ref="C148:F148"/>
    <mergeCell ref="D143:F143"/>
    <mergeCell ref="D6:F6"/>
    <mergeCell ref="D7:F7"/>
    <mergeCell ref="D8:F8"/>
    <mergeCell ref="D9:F9"/>
    <mergeCell ref="D10:F10"/>
    <mergeCell ref="D11:F11"/>
    <mergeCell ref="C27:F27"/>
    <mergeCell ref="D142:F142"/>
    <mergeCell ref="B145:H145"/>
    <mergeCell ref="C136:F136"/>
    <mergeCell ref="D137:F137"/>
    <mergeCell ref="D138:F138"/>
    <mergeCell ref="D139:F139"/>
    <mergeCell ref="D140:F140"/>
    <mergeCell ref="D141:F141"/>
    <mergeCell ref="B147:F147"/>
    <mergeCell ref="C112:F112"/>
    <mergeCell ref="C103:F103"/>
    <mergeCell ref="C127:G127"/>
    <mergeCell ref="C115:F115"/>
    <mergeCell ref="C120:G120"/>
    <mergeCell ref="B126:F126"/>
    <mergeCell ref="B135:F135"/>
    <mergeCell ref="B114:F114"/>
    <mergeCell ref="B119:F119"/>
    <mergeCell ref="C132:F132"/>
    <mergeCell ref="C123:F123"/>
    <mergeCell ref="C117:F117"/>
    <mergeCell ref="C85:F85"/>
    <mergeCell ref="B93:H93"/>
    <mergeCell ref="C96:F96"/>
    <mergeCell ref="B86:H86"/>
    <mergeCell ref="B95:F95"/>
    <mergeCell ref="B87:F87"/>
    <mergeCell ref="C88:F88"/>
    <mergeCell ref="C92:F92"/>
    <mergeCell ref="C108:F108"/>
    <mergeCell ref="D99:E99"/>
    <mergeCell ref="D101:E101"/>
    <mergeCell ref="D102:E102"/>
    <mergeCell ref="B106:F106"/>
    <mergeCell ref="B107:F107"/>
    <mergeCell ref="D68:F68"/>
    <mergeCell ref="D69:F69"/>
    <mergeCell ref="D70:F70"/>
    <mergeCell ref="C63:F63"/>
    <mergeCell ref="D64:F64"/>
    <mergeCell ref="D65:F65"/>
    <mergeCell ref="B75:F75"/>
    <mergeCell ref="C76:F76"/>
    <mergeCell ref="D71:F71"/>
    <mergeCell ref="D72:F72"/>
    <mergeCell ref="C73:F73"/>
    <mergeCell ref="B74:H74"/>
    <mergeCell ref="B54:F54"/>
    <mergeCell ref="B56:F56"/>
    <mergeCell ref="B55:F55"/>
    <mergeCell ref="B66:B67"/>
    <mergeCell ref="C66:C67"/>
    <mergeCell ref="D66:D67"/>
    <mergeCell ref="C57:F57"/>
    <mergeCell ref="D58:F58"/>
    <mergeCell ref="D59:F59"/>
    <mergeCell ref="C60:F60"/>
    <mergeCell ref="B61:H61"/>
    <mergeCell ref="G66:G67"/>
    <mergeCell ref="H66:H67"/>
    <mergeCell ref="B62:F62"/>
    <mergeCell ref="C31:F31"/>
    <mergeCell ref="C30:F30"/>
    <mergeCell ref="C29:F29"/>
    <mergeCell ref="C28:F28"/>
    <mergeCell ref="B28:B29"/>
    <mergeCell ref="B30:B31"/>
    <mergeCell ref="C50:F50"/>
    <mergeCell ref="C51:F52"/>
    <mergeCell ref="D43:F43"/>
    <mergeCell ref="D44:F44"/>
    <mergeCell ref="D46:F46"/>
    <mergeCell ref="D47:F47"/>
    <mergeCell ref="D48:F48"/>
    <mergeCell ref="B41:F41"/>
    <mergeCell ref="E77:F77"/>
    <mergeCell ref="B26:B27"/>
    <mergeCell ref="C26:F26"/>
    <mergeCell ref="B38:B39"/>
    <mergeCell ref="C38:F38"/>
    <mergeCell ref="C39:F39"/>
    <mergeCell ref="B2:H2"/>
    <mergeCell ref="B3:H3"/>
    <mergeCell ref="B24:B25"/>
    <mergeCell ref="B36:B37"/>
    <mergeCell ref="C42:F42"/>
    <mergeCell ref="B32:B33"/>
    <mergeCell ref="D13:F13"/>
    <mergeCell ref="B34:B35"/>
    <mergeCell ref="D49:F49"/>
    <mergeCell ref="B15:F15"/>
    <mergeCell ref="C24:F24"/>
    <mergeCell ref="C25:F25"/>
    <mergeCell ref="C37:F37"/>
    <mergeCell ref="C36:F36"/>
    <mergeCell ref="C35:F35"/>
    <mergeCell ref="C34:F34"/>
    <mergeCell ref="C33:F33"/>
    <mergeCell ref="C32:F32"/>
  </mergeCells>
  <dataValidations count="11">
    <dataValidation type="list" allowBlank="1" showInputMessage="1" showErrorMessage="1" sqref="G102" xr:uid="{00000000-0002-0000-0100-000000000000}">
      <formula1>"3,6,9,12,15"</formula1>
    </dataValidation>
    <dataValidation type="custom" allowBlank="1" showInputMessage="1" showErrorMessage="1" sqref="G139" xr:uid="{00000000-0002-0000-0100-000001000000}">
      <formula1>1-(G140+G141+G142)</formula1>
    </dataValidation>
    <dataValidation type="list" operator="equal" allowBlank="1" showInputMessage="1" showErrorMessage="1" errorTitle="Valor errado" error="Percentual fixo. Preencher com 40%." sqref="F99 F101" xr:uid="{00000000-0002-0000-0100-000002000000}">
      <formula1>"40%"</formula1>
    </dataValidation>
    <dataValidation type="whole" allowBlank="1" showInputMessage="1" showErrorMessage="1" errorTitle="Valor errado" error="Quantidade fixa de dias. Prencher com 30" sqref="G109" xr:uid="{00000000-0002-0000-0100-000003000000}">
      <formula1>30</formula1>
      <formula2>30</formula2>
    </dataValidation>
    <dataValidation type="list" allowBlank="1" showInputMessage="1" showErrorMessage="1" sqref="G48" xr:uid="{00000000-0002-0000-0100-000004000000}">
      <formula1>"0, 50%, 100%"</formula1>
    </dataValidation>
    <dataValidation type="list" allowBlank="1" showInputMessage="1" showErrorMessage="1" sqref="G140" xr:uid="{00000000-0002-0000-0100-000005000000}">
      <mc:AlternateContent xmlns:x12ac="http://schemas.microsoft.com/office/spreadsheetml/2011/1/ac" xmlns:mc="http://schemas.openxmlformats.org/markup-compatibility/2006">
        <mc:Choice Requires="x12ac">
          <x12ac:list>"0,65%","1,65%"</x12ac:list>
        </mc:Choice>
        <mc:Fallback>
          <formula1>"0,65%,1,65%"</formula1>
        </mc:Fallback>
      </mc:AlternateContent>
    </dataValidation>
    <dataValidation type="list" allowBlank="1" showInputMessage="1" showErrorMessage="1" sqref="G141" xr:uid="{00000000-0002-0000-0100-000006000000}">
      <mc:AlternateContent xmlns:x12ac="http://schemas.microsoft.com/office/spreadsheetml/2011/1/ac" xmlns:mc="http://schemas.openxmlformats.org/markup-compatibility/2006">
        <mc:Choice Requires="x12ac">
          <x12ac:list>3%," 7,6%"</x12ac:list>
        </mc:Choice>
        <mc:Fallback>
          <formula1>"3%, 7,6%"</formula1>
        </mc:Fallback>
      </mc:AlternateContent>
    </dataValidation>
    <dataValidation type="list" allowBlank="1" showInputMessage="1" showErrorMessage="1" sqref="G46:G47" xr:uid="{00000000-0002-0000-0100-000007000000}">
      <formula1>"0, 20%"</formula1>
    </dataValidation>
    <dataValidation type="list" allowBlank="1" showInputMessage="1" showErrorMessage="1" sqref="E67" xr:uid="{00000000-0002-0000-0100-000008000000}">
      <formula1>"1%, 2%, 3%"</formula1>
    </dataValidation>
    <dataValidation type="list" allowBlank="1" showInputMessage="1" showErrorMessage="1" sqref="G45" xr:uid="{00000000-0002-0000-0100-000009000000}">
      <formula1>"0%, 10%, 20%, 40%"</formula1>
    </dataValidation>
    <dataValidation type="list" allowBlank="1" showInputMessage="1" showErrorMessage="1" sqref="G44" xr:uid="{00000000-0002-0000-0100-00000A000000}">
      <formula1>"0%, 30%"</formula1>
    </dataValidation>
  </dataValidations>
  <pageMargins left="0.511811024" right="0.511811024" top="0.78740157499999996" bottom="0.78740157499999996" header="0.31496062000000002" footer="0.31496062000000002"/>
  <pageSetup paperSize="9" scale="77" fitToHeight="0" orientation="portrait" verticalDpi="300" r:id="rId1"/>
  <rowBreaks count="2" manualBreakCount="2">
    <brk id="73" max="7" man="1"/>
    <brk id="143" max="7" man="1"/>
  </rowBreaks>
  <colBreaks count="1" manualBreakCount="1">
    <brk id="8" max="148"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215A3-4217-4766-BF32-1A45EDE33D38}">
  <sheetPr>
    <pageSetUpPr fitToPage="1"/>
  </sheetPr>
  <dimension ref="B1:I158"/>
  <sheetViews>
    <sheetView topLeftCell="B1" zoomScaleNormal="100" workbookViewId="0">
      <selection activeCell="H1" sqref="H1"/>
    </sheetView>
  </sheetViews>
  <sheetFormatPr defaultColWidth="9.1796875" defaultRowHeight="12.5" x14ac:dyDescent="0.25"/>
  <cols>
    <col min="1" max="1" width="3.54296875" style="8" customWidth="1"/>
    <col min="2" max="2" width="8.26953125" style="8" customWidth="1"/>
    <col min="3" max="3" width="39.1796875" style="8" customWidth="1"/>
    <col min="4" max="4" width="29.1796875" style="8" customWidth="1"/>
    <col min="5" max="6" width="8.54296875" style="8" customWidth="1"/>
    <col min="7" max="7" width="9.1796875" style="8"/>
    <col min="8" max="9" width="15.26953125" style="8" customWidth="1"/>
    <col min="10" max="16384" width="9.1796875" style="8"/>
  </cols>
  <sheetData>
    <row r="1" spans="2:9" x14ac:dyDescent="0.25">
      <c r="B1" s="14"/>
      <c r="C1" s="49"/>
      <c r="D1" s="14"/>
      <c r="E1" s="14"/>
      <c r="F1" s="14"/>
      <c r="G1" s="14"/>
      <c r="H1" s="14"/>
      <c r="I1" s="14"/>
    </row>
    <row r="2" spans="2:9" x14ac:dyDescent="0.25">
      <c r="B2" s="220" t="s">
        <v>20</v>
      </c>
      <c r="C2" s="220"/>
      <c r="D2" s="220"/>
      <c r="E2" s="220"/>
      <c r="F2" s="220"/>
      <c r="G2" s="220"/>
      <c r="H2" s="220"/>
      <c r="I2" s="22"/>
    </row>
    <row r="3" spans="2:9" x14ac:dyDescent="0.25">
      <c r="B3" s="239" t="s">
        <v>68</v>
      </c>
      <c r="C3" s="239"/>
      <c r="D3" s="239"/>
      <c r="E3" s="239"/>
      <c r="F3" s="239"/>
      <c r="G3" s="239"/>
      <c r="H3" s="239"/>
      <c r="I3" s="23"/>
    </row>
    <row r="4" spans="2:9" x14ac:dyDescent="0.25">
      <c r="B4" s="10"/>
      <c r="C4" s="10"/>
      <c r="D4" s="10"/>
      <c r="E4" s="10"/>
      <c r="F4" s="10"/>
      <c r="G4" s="10"/>
      <c r="H4" s="10"/>
      <c r="I4" s="10"/>
    </row>
    <row r="5" spans="2:9" x14ac:dyDescent="0.25">
      <c r="B5" s="10"/>
      <c r="C5" s="10"/>
      <c r="D5" s="10"/>
      <c r="E5" s="10"/>
      <c r="F5" s="10"/>
      <c r="G5" s="10"/>
      <c r="H5" s="10"/>
      <c r="I5" s="10"/>
    </row>
    <row r="6" spans="2:9" x14ac:dyDescent="0.25">
      <c r="B6" s="14"/>
      <c r="C6" s="123" t="s">
        <v>69</v>
      </c>
      <c r="D6" s="289" t="s">
        <v>70</v>
      </c>
      <c r="E6" s="289"/>
      <c r="F6" s="289"/>
      <c r="G6" s="10"/>
      <c r="H6" s="10"/>
      <c r="I6" s="10"/>
    </row>
    <row r="7" spans="2:9" x14ac:dyDescent="0.25">
      <c r="B7" s="14"/>
      <c r="C7" s="123" t="s">
        <v>71</v>
      </c>
      <c r="D7" s="289" t="s">
        <v>72</v>
      </c>
      <c r="E7" s="289"/>
      <c r="F7" s="289"/>
      <c r="G7" s="10"/>
      <c r="H7" s="10"/>
      <c r="I7" s="10"/>
    </row>
    <row r="8" spans="2:9" x14ac:dyDescent="0.25">
      <c r="B8" s="14"/>
      <c r="C8" s="123" t="s">
        <v>44</v>
      </c>
      <c r="D8" s="290"/>
      <c r="E8" s="290"/>
      <c r="F8" s="290"/>
      <c r="G8" s="10"/>
      <c r="H8" s="10"/>
      <c r="I8" s="10"/>
    </row>
    <row r="9" spans="2:9" x14ac:dyDescent="0.25">
      <c r="B9" s="14"/>
      <c r="C9" s="123" t="s">
        <v>73</v>
      </c>
      <c r="D9" s="290"/>
      <c r="E9" s="290"/>
      <c r="F9" s="290"/>
      <c r="G9" s="10"/>
      <c r="H9" s="10"/>
      <c r="I9" s="10"/>
    </row>
    <row r="10" spans="2:9" x14ac:dyDescent="0.25">
      <c r="B10" s="14"/>
      <c r="C10" s="123" t="s">
        <v>45</v>
      </c>
      <c r="D10" s="289">
        <v>1</v>
      </c>
      <c r="E10" s="289"/>
      <c r="F10" s="289"/>
      <c r="G10" s="10"/>
      <c r="H10" s="10"/>
      <c r="I10" s="10"/>
    </row>
    <row r="11" spans="2:9" x14ac:dyDescent="0.25">
      <c r="B11" s="14"/>
      <c r="C11" s="123" t="s">
        <v>46</v>
      </c>
      <c r="D11" s="289">
        <v>1</v>
      </c>
      <c r="E11" s="289"/>
      <c r="F11" s="289"/>
      <c r="G11" s="10"/>
      <c r="H11" s="10"/>
      <c r="I11" s="10"/>
    </row>
    <row r="12" spans="2:9" x14ac:dyDescent="0.25">
      <c r="B12" s="10"/>
      <c r="C12" s="10"/>
      <c r="D12" s="10"/>
      <c r="E12" s="10"/>
      <c r="F12" s="10"/>
      <c r="G12" s="10"/>
      <c r="H12" s="10"/>
      <c r="I12" s="10"/>
    </row>
    <row r="13" spans="2:9" x14ac:dyDescent="0.25">
      <c r="B13" s="124" t="s">
        <v>74</v>
      </c>
      <c r="C13" s="124"/>
      <c r="D13" s="241" t="s">
        <v>29</v>
      </c>
      <c r="E13" s="242"/>
      <c r="F13" s="243"/>
      <c r="G13" s="14"/>
      <c r="H13" s="14"/>
      <c r="I13" s="12"/>
    </row>
    <row r="14" spans="2:9" x14ac:dyDescent="0.25">
      <c r="B14" s="10"/>
      <c r="C14" s="10"/>
      <c r="D14" s="10"/>
      <c r="E14" s="10"/>
      <c r="F14" s="10"/>
      <c r="G14" s="10"/>
      <c r="H14" s="10"/>
      <c r="I14" s="14"/>
    </row>
    <row r="15" spans="2:9" x14ac:dyDescent="0.25">
      <c r="B15" s="247" t="s">
        <v>75</v>
      </c>
      <c r="C15" s="247"/>
      <c r="D15" s="247"/>
      <c r="E15" s="247"/>
      <c r="F15" s="247"/>
      <c r="G15" s="28"/>
      <c r="H15" s="28"/>
      <c r="I15" s="9"/>
    </row>
    <row r="16" spans="2:9" x14ac:dyDescent="0.25">
      <c r="B16" s="236">
        <v>1</v>
      </c>
      <c r="C16" s="237" t="s">
        <v>76</v>
      </c>
      <c r="D16" s="237"/>
      <c r="E16" s="237"/>
      <c r="F16" s="237"/>
      <c r="G16" s="28"/>
      <c r="H16" s="28"/>
      <c r="I16" s="9"/>
    </row>
    <row r="17" spans="2:9" x14ac:dyDescent="0.25">
      <c r="B17" s="236"/>
      <c r="C17" s="238" t="s">
        <v>77</v>
      </c>
      <c r="D17" s="238"/>
      <c r="E17" s="238"/>
      <c r="F17" s="238"/>
      <c r="G17" s="28"/>
      <c r="H17" s="28"/>
      <c r="I17" s="9"/>
    </row>
    <row r="18" spans="2:9" x14ac:dyDescent="0.25">
      <c r="B18" s="236">
        <v>2</v>
      </c>
      <c r="C18" s="237" t="s">
        <v>78</v>
      </c>
      <c r="D18" s="237"/>
      <c r="E18" s="237"/>
      <c r="F18" s="237"/>
      <c r="G18" s="28"/>
      <c r="H18" s="28"/>
      <c r="I18" s="9"/>
    </row>
    <row r="19" spans="2:9" x14ac:dyDescent="0.25">
      <c r="B19" s="236"/>
      <c r="C19" s="238"/>
      <c r="D19" s="238"/>
      <c r="E19" s="238"/>
      <c r="F19" s="238"/>
      <c r="G19" s="28"/>
      <c r="H19" s="28"/>
      <c r="I19" s="9"/>
    </row>
    <row r="20" spans="2:9" x14ac:dyDescent="0.25">
      <c r="B20" s="236">
        <v>3</v>
      </c>
      <c r="C20" s="237" t="s">
        <v>79</v>
      </c>
      <c r="D20" s="237"/>
      <c r="E20" s="237"/>
      <c r="F20" s="237"/>
      <c r="G20" s="28"/>
      <c r="H20" s="28"/>
      <c r="I20" s="9"/>
    </row>
    <row r="21" spans="2:9" x14ac:dyDescent="0.25">
      <c r="B21" s="236"/>
      <c r="C21" s="248">
        <v>60</v>
      </c>
      <c r="D21" s="248"/>
      <c r="E21" s="248"/>
      <c r="F21" s="248"/>
      <c r="G21" s="28"/>
      <c r="H21" s="28"/>
      <c r="I21" s="9"/>
    </row>
    <row r="22" spans="2:9" x14ac:dyDescent="0.25">
      <c r="B22" s="236">
        <v>4</v>
      </c>
      <c r="C22" s="237" t="s">
        <v>80</v>
      </c>
      <c r="D22" s="237"/>
      <c r="E22" s="237"/>
      <c r="F22" s="237"/>
      <c r="G22" s="28"/>
      <c r="H22" s="28"/>
      <c r="I22" s="9"/>
    </row>
    <row r="23" spans="2:9" x14ac:dyDescent="0.25">
      <c r="B23" s="236"/>
      <c r="C23" s="238"/>
      <c r="D23" s="238"/>
      <c r="E23" s="238"/>
      <c r="F23" s="238"/>
      <c r="G23" s="28"/>
      <c r="H23" s="28"/>
      <c r="I23" s="9"/>
    </row>
    <row r="24" spans="2:9" x14ac:dyDescent="0.25">
      <c r="B24" s="236">
        <v>5</v>
      </c>
      <c r="C24" s="237" t="s">
        <v>81</v>
      </c>
      <c r="D24" s="237"/>
      <c r="E24" s="237"/>
      <c r="F24" s="237"/>
      <c r="G24" s="28"/>
      <c r="H24" s="28"/>
      <c r="I24" s="9"/>
    </row>
    <row r="25" spans="2:9" x14ac:dyDescent="0.25">
      <c r="B25" s="236"/>
      <c r="C25" s="248" t="s">
        <v>65</v>
      </c>
      <c r="D25" s="248"/>
      <c r="E25" s="248"/>
      <c r="F25" s="248"/>
      <c r="G25" s="28"/>
      <c r="H25" s="28"/>
      <c r="I25" s="9"/>
    </row>
    <row r="26" spans="2:9" x14ac:dyDescent="0.25">
      <c r="B26" s="236">
        <v>6</v>
      </c>
      <c r="C26" s="237" t="s">
        <v>82</v>
      </c>
      <c r="D26" s="237"/>
      <c r="E26" s="237"/>
      <c r="F26" s="237"/>
      <c r="G26" s="28"/>
      <c r="H26" s="28"/>
      <c r="I26" s="9"/>
    </row>
    <row r="27" spans="2:9" x14ac:dyDescent="0.25">
      <c r="B27" s="236"/>
      <c r="C27" s="238"/>
      <c r="D27" s="238"/>
      <c r="E27" s="238"/>
      <c r="F27" s="238"/>
      <c r="G27" s="28"/>
      <c r="H27" s="28"/>
      <c r="I27" s="9"/>
    </row>
    <row r="28" spans="2:9" x14ac:dyDescent="0.25">
      <c r="B28" s="236">
        <v>7</v>
      </c>
      <c r="C28" s="237" t="s">
        <v>83</v>
      </c>
      <c r="D28" s="237"/>
      <c r="E28" s="237"/>
      <c r="F28" s="237"/>
      <c r="G28" s="28"/>
      <c r="H28" s="28"/>
      <c r="I28" s="9"/>
    </row>
    <row r="29" spans="2:9" x14ac:dyDescent="0.25">
      <c r="B29" s="236"/>
      <c r="C29" s="248" t="s">
        <v>84</v>
      </c>
      <c r="D29" s="248"/>
      <c r="E29" s="248"/>
      <c r="F29" s="248"/>
      <c r="G29" s="28"/>
      <c r="H29" s="28"/>
      <c r="I29" s="9"/>
    </row>
    <row r="30" spans="2:9" x14ac:dyDescent="0.25">
      <c r="B30" s="236">
        <v>8</v>
      </c>
      <c r="C30" s="237" t="s">
        <v>85</v>
      </c>
      <c r="D30" s="237"/>
      <c r="E30" s="237"/>
      <c r="F30" s="237"/>
      <c r="G30" s="28"/>
      <c r="H30" s="28"/>
      <c r="I30" s="9"/>
    </row>
    <row r="31" spans="2:9" x14ac:dyDescent="0.25">
      <c r="B31" s="236"/>
      <c r="C31" s="249"/>
      <c r="D31" s="249"/>
      <c r="E31" s="249"/>
      <c r="F31" s="249"/>
      <c r="G31" s="28"/>
      <c r="H31" s="28"/>
      <c r="I31" s="9"/>
    </row>
    <row r="32" spans="2:9" x14ac:dyDescent="0.25">
      <c r="B32" s="236">
        <v>9</v>
      </c>
      <c r="C32" s="237" t="s">
        <v>86</v>
      </c>
      <c r="D32" s="237"/>
      <c r="E32" s="237"/>
      <c r="F32" s="237"/>
      <c r="G32" s="28"/>
      <c r="H32" s="28"/>
      <c r="I32" s="9"/>
    </row>
    <row r="33" spans="2:9" x14ac:dyDescent="0.25">
      <c r="B33" s="236"/>
      <c r="C33" s="238"/>
      <c r="D33" s="238"/>
      <c r="E33" s="238"/>
      <c r="F33" s="238"/>
      <c r="G33" s="28"/>
      <c r="H33" s="28"/>
      <c r="I33" s="9"/>
    </row>
    <row r="34" spans="2:9" x14ac:dyDescent="0.25">
      <c r="B34" s="236">
        <v>10</v>
      </c>
      <c r="C34" s="237" t="s">
        <v>87</v>
      </c>
      <c r="D34" s="237"/>
      <c r="E34" s="237"/>
      <c r="F34" s="237"/>
      <c r="G34" s="28"/>
      <c r="H34" s="28"/>
      <c r="I34" s="9"/>
    </row>
    <row r="35" spans="2:9" x14ac:dyDescent="0.25">
      <c r="B35" s="236"/>
      <c r="C35" s="238"/>
      <c r="D35" s="238"/>
      <c r="E35" s="238"/>
      <c r="F35" s="238"/>
      <c r="G35" s="28"/>
      <c r="H35" s="28"/>
      <c r="I35" s="9"/>
    </row>
    <row r="36" spans="2:9" x14ac:dyDescent="0.25">
      <c r="B36" s="236">
        <v>11</v>
      </c>
      <c r="C36" s="237" t="s">
        <v>88</v>
      </c>
      <c r="D36" s="237"/>
      <c r="E36" s="237"/>
      <c r="F36" s="237"/>
      <c r="G36" s="28"/>
      <c r="H36" s="28"/>
      <c r="I36" s="9"/>
    </row>
    <row r="37" spans="2:9" x14ac:dyDescent="0.25">
      <c r="B37" s="236"/>
      <c r="C37" s="238"/>
      <c r="D37" s="238"/>
      <c r="E37" s="238"/>
      <c r="F37" s="238"/>
      <c r="G37" s="28"/>
      <c r="H37" s="28"/>
      <c r="I37" s="9"/>
    </row>
    <row r="38" spans="2:9" x14ac:dyDescent="0.25">
      <c r="B38" s="236">
        <v>12</v>
      </c>
      <c r="C38" s="237" t="s">
        <v>89</v>
      </c>
      <c r="D38" s="237"/>
      <c r="E38" s="237"/>
      <c r="F38" s="237"/>
      <c r="G38" s="28"/>
      <c r="H38" s="28"/>
      <c r="I38" s="9"/>
    </row>
    <row r="39" spans="2:9" x14ac:dyDescent="0.25">
      <c r="B39" s="236"/>
      <c r="C39" s="238"/>
      <c r="D39" s="238"/>
      <c r="E39" s="238"/>
      <c r="F39" s="238"/>
      <c r="G39" s="28"/>
      <c r="H39" s="28"/>
      <c r="I39" s="9"/>
    </row>
    <row r="40" spans="2:9" x14ac:dyDescent="0.25">
      <c r="B40" s="12"/>
      <c r="C40" s="12"/>
      <c r="D40" s="12"/>
      <c r="E40" s="12"/>
      <c r="F40" s="12"/>
      <c r="G40" s="12"/>
      <c r="H40" s="125" t="s">
        <v>90</v>
      </c>
      <c r="I40" s="14"/>
    </row>
    <row r="41" spans="2:9" x14ac:dyDescent="0.25">
      <c r="B41" s="254" t="s">
        <v>91</v>
      </c>
      <c r="C41" s="255"/>
      <c r="D41" s="255"/>
      <c r="E41" s="255"/>
      <c r="F41" s="255"/>
      <c r="G41" s="126"/>
      <c r="H41" s="127"/>
      <c r="I41" s="22"/>
    </row>
    <row r="42" spans="2:9" x14ac:dyDescent="0.25">
      <c r="B42" s="128">
        <v>1</v>
      </c>
      <c r="C42" s="231" t="s">
        <v>92</v>
      </c>
      <c r="D42" s="240"/>
      <c r="E42" s="240"/>
      <c r="F42" s="232"/>
      <c r="G42" s="29" t="s">
        <v>93</v>
      </c>
      <c r="H42" s="29" t="s">
        <v>94</v>
      </c>
      <c r="I42" s="22"/>
    </row>
    <row r="43" spans="2:9" ht="12.75" customHeight="1" x14ac:dyDescent="0.25">
      <c r="B43" s="129" t="s">
        <v>95</v>
      </c>
      <c r="C43" s="130" t="s">
        <v>96</v>
      </c>
      <c r="D43" s="244"/>
      <c r="E43" s="245"/>
      <c r="F43" s="246"/>
      <c r="G43" s="131"/>
      <c r="H43" s="132">
        <v>1858.68</v>
      </c>
      <c r="I43" s="24">
        <f>H43*H158</f>
        <v>8527.4680592592613</v>
      </c>
    </row>
    <row r="44" spans="2:9" x14ac:dyDescent="0.25">
      <c r="B44" s="129" t="s">
        <v>97</v>
      </c>
      <c r="C44" s="130" t="s">
        <v>98</v>
      </c>
      <c r="D44" s="244" t="s">
        <v>99</v>
      </c>
      <c r="E44" s="245"/>
      <c r="F44" s="246"/>
      <c r="G44" s="133"/>
      <c r="H44" s="134">
        <f>TRUNC(H$43*$G44,2)</f>
        <v>0</v>
      </c>
      <c r="I44" s="24"/>
    </row>
    <row r="45" spans="2:9" x14ac:dyDescent="0.25">
      <c r="B45" s="129" t="s">
        <v>100</v>
      </c>
      <c r="C45" s="135" t="s">
        <v>101</v>
      </c>
      <c r="D45" s="136" t="s">
        <v>102</v>
      </c>
      <c r="E45" s="137" t="s">
        <v>103</v>
      </c>
      <c r="F45" s="138">
        <v>1518</v>
      </c>
      <c r="G45" s="133"/>
      <c r="H45" s="134">
        <f>TRUNC(F$45*$G45,2)</f>
        <v>0</v>
      </c>
      <c r="I45" s="24"/>
    </row>
    <row r="46" spans="2:9" x14ac:dyDescent="0.25">
      <c r="B46" s="129" t="s">
        <v>104</v>
      </c>
      <c r="C46" s="135" t="s">
        <v>105</v>
      </c>
      <c r="D46" s="244" t="s">
        <v>106</v>
      </c>
      <c r="E46" s="245"/>
      <c r="F46" s="246"/>
      <c r="G46" s="139"/>
      <c r="H46" s="140">
        <f>TRUNC(((H$43+H44)*$G46)/220*8*15,2)</f>
        <v>0</v>
      </c>
      <c r="I46" s="24"/>
    </row>
    <row r="47" spans="2:9" x14ac:dyDescent="0.25">
      <c r="B47" s="141" t="s">
        <v>107</v>
      </c>
      <c r="C47" s="142" t="s">
        <v>108</v>
      </c>
      <c r="D47" s="251" t="s">
        <v>106</v>
      </c>
      <c r="E47" s="252"/>
      <c r="F47" s="253"/>
      <c r="G47" s="143"/>
      <c r="H47" s="144">
        <f>TRUNC(((H43+H44)*$G47)/220*1*15,2)</f>
        <v>0</v>
      </c>
      <c r="I47" s="27" t="s">
        <v>109</v>
      </c>
    </row>
    <row r="48" spans="2:9" x14ac:dyDescent="0.25">
      <c r="B48" s="145" t="s">
        <v>110</v>
      </c>
      <c r="C48" s="142" t="s">
        <v>111</v>
      </c>
      <c r="D48" s="251" t="s">
        <v>112</v>
      </c>
      <c r="E48" s="252"/>
      <c r="F48" s="253"/>
      <c r="G48" s="146"/>
      <c r="H48" s="144">
        <f>TRUNC($G$52*H52*(1+$G$48),2)</f>
        <v>0</v>
      </c>
      <c r="I48" s="27" t="s">
        <v>109</v>
      </c>
    </row>
    <row r="49" spans="2:9" x14ac:dyDescent="0.25">
      <c r="B49" s="129" t="s">
        <v>113</v>
      </c>
      <c r="C49" s="135" t="s">
        <v>114</v>
      </c>
      <c r="D49" s="244"/>
      <c r="E49" s="245"/>
      <c r="F49" s="246"/>
      <c r="G49" s="139"/>
      <c r="H49" s="147"/>
      <c r="I49" s="42"/>
    </row>
    <row r="50" spans="2:9" x14ac:dyDescent="0.25">
      <c r="B50" s="129" t="s">
        <v>115</v>
      </c>
      <c r="C50" s="231" t="s">
        <v>33</v>
      </c>
      <c r="D50" s="240"/>
      <c r="E50" s="240"/>
      <c r="F50" s="232"/>
      <c r="G50" s="148"/>
      <c r="H50" s="149">
        <f>SUM(H43:H49)</f>
        <v>1858.68</v>
      </c>
      <c r="I50" s="13"/>
    </row>
    <row r="51" spans="2:9" ht="23" x14ac:dyDescent="0.25">
      <c r="B51" s="22"/>
      <c r="C51" s="250" t="s">
        <v>116</v>
      </c>
      <c r="D51" s="250"/>
      <c r="E51" s="250"/>
      <c r="F51" s="250"/>
      <c r="G51" s="150" t="s">
        <v>117</v>
      </c>
      <c r="H51" s="151" t="s">
        <v>118</v>
      </c>
      <c r="I51" s="43"/>
    </row>
    <row r="52" spans="2:9" x14ac:dyDescent="0.25">
      <c r="B52" s="22"/>
      <c r="C52" s="250"/>
      <c r="D52" s="250"/>
      <c r="E52" s="250"/>
      <c r="F52" s="250"/>
      <c r="G52" s="152"/>
      <c r="H52" s="153">
        <f>IF($G$52="",0,TRUNC((H43+H44+H45)/220,2))</f>
        <v>0</v>
      </c>
      <c r="I52" s="44"/>
    </row>
    <row r="53" spans="2:9" x14ac:dyDescent="0.25">
      <c r="B53" s="22"/>
      <c r="C53" s="22"/>
      <c r="D53" s="22"/>
      <c r="E53" s="22"/>
      <c r="F53" s="22"/>
      <c r="G53" s="22"/>
      <c r="H53" s="13"/>
      <c r="I53" s="13"/>
    </row>
    <row r="54" spans="2:9" ht="12.75" customHeight="1" x14ac:dyDescent="0.25">
      <c r="B54" s="254" t="s">
        <v>119</v>
      </c>
      <c r="C54" s="255"/>
      <c r="D54" s="255"/>
      <c r="E54" s="255"/>
      <c r="F54" s="255"/>
      <c r="G54" s="126"/>
      <c r="H54" s="127"/>
      <c r="I54" s="22"/>
    </row>
    <row r="55" spans="2:9" x14ac:dyDescent="0.25">
      <c r="B55" s="257"/>
      <c r="C55" s="258"/>
      <c r="D55" s="258"/>
      <c r="E55" s="258"/>
      <c r="F55" s="258"/>
      <c r="G55" s="7"/>
      <c r="H55" s="7"/>
      <c r="I55" s="22"/>
    </row>
    <row r="56" spans="2:9" x14ac:dyDescent="0.25">
      <c r="B56" s="256" t="s">
        <v>120</v>
      </c>
      <c r="C56" s="256"/>
      <c r="D56" s="256"/>
      <c r="E56" s="256"/>
      <c r="F56" s="256"/>
      <c r="G56" s="7"/>
      <c r="H56" s="7"/>
      <c r="I56" s="22"/>
    </row>
    <row r="57" spans="2:9" x14ac:dyDescent="0.25">
      <c r="B57" s="29" t="s">
        <v>121</v>
      </c>
      <c r="C57" s="264" t="s">
        <v>122</v>
      </c>
      <c r="D57" s="265"/>
      <c r="E57" s="265"/>
      <c r="F57" s="266"/>
      <c r="G57" s="128" t="s">
        <v>93</v>
      </c>
      <c r="H57" s="128" t="s">
        <v>94</v>
      </c>
      <c r="I57" s="22"/>
    </row>
    <row r="58" spans="2:9" x14ac:dyDescent="0.25">
      <c r="B58" s="129" t="s">
        <v>95</v>
      </c>
      <c r="C58" s="130" t="s">
        <v>123</v>
      </c>
      <c r="D58" s="244" t="s">
        <v>124</v>
      </c>
      <c r="E58" s="245"/>
      <c r="F58" s="246"/>
      <c r="G58" s="32">
        <f>1/12</f>
        <v>8.3333333333333329E-2</v>
      </c>
      <c r="H58" s="33">
        <f>TRUNC((H$50*$G58),2)</f>
        <v>154.88999999999999</v>
      </c>
      <c r="I58" s="24"/>
    </row>
    <row r="59" spans="2:9" x14ac:dyDescent="0.25">
      <c r="B59" s="129" t="s">
        <v>97</v>
      </c>
      <c r="C59" s="130" t="s">
        <v>125</v>
      </c>
      <c r="D59" s="244" t="s">
        <v>126</v>
      </c>
      <c r="E59" s="245"/>
      <c r="F59" s="246"/>
      <c r="G59" s="154">
        <f>(1/12)+(1/3/12)</f>
        <v>0.1111111111111111</v>
      </c>
      <c r="H59" s="155">
        <f>TRUNC((H$50*$G59),2)</f>
        <v>206.52</v>
      </c>
      <c r="I59" s="24"/>
    </row>
    <row r="60" spans="2:9" x14ac:dyDescent="0.25">
      <c r="B60" s="129" t="s">
        <v>127</v>
      </c>
      <c r="C60" s="231" t="s">
        <v>33</v>
      </c>
      <c r="D60" s="240"/>
      <c r="E60" s="240"/>
      <c r="F60" s="232"/>
      <c r="G60" s="156">
        <f>TRUNC(SUM(G58:G59),4)</f>
        <v>0.19439999999999999</v>
      </c>
      <c r="H60" s="149">
        <f>SUM(H58:H59)</f>
        <v>361.40999999999997</v>
      </c>
      <c r="I60" s="13"/>
    </row>
    <row r="61" spans="2:9" x14ac:dyDescent="0.25">
      <c r="B61" s="267"/>
      <c r="C61" s="268"/>
      <c r="D61" s="268"/>
      <c r="E61" s="268"/>
      <c r="F61" s="268"/>
      <c r="G61" s="268"/>
      <c r="H61" s="269"/>
      <c r="I61" s="22"/>
    </row>
    <row r="62" spans="2:9" ht="30" customHeight="1" x14ac:dyDescent="0.25">
      <c r="B62" s="273" t="s">
        <v>128</v>
      </c>
      <c r="C62" s="274"/>
      <c r="D62" s="274"/>
      <c r="E62" s="274"/>
      <c r="F62" s="275"/>
      <c r="G62" s="30"/>
      <c r="H62" s="31"/>
      <c r="I62" s="25"/>
    </row>
    <row r="63" spans="2:9" x14ac:dyDescent="0.25">
      <c r="B63" s="128" t="s">
        <v>129</v>
      </c>
      <c r="C63" s="231" t="s">
        <v>130</v>
      </c>
      <c r="D63" s="240"/>
      <c r="E63" s="240"/>
      <c r="F63" s="232"/>
      <c r="G63" s="128" t="s">
        <v>93</v>
      </c>
      <c r="H63" s="128" t="s">
        <v>94</v>
      </c>
      <c r="I63" s="22"/>
    </row>
    <row r="64" spans="2:9" x14ac:dyDescent="0.25">
      <c r="B64" s="129" t="s">
        <v>95</v>
      </c>
      <c r="C64" s="130" t="s">
        <v>131</v>
      </c>
      <c r="D64" s="244" t="s">
        <v>132</v>
      </c>
      <c r="E64" s="245"/>
      <c r="F64" s="246"/>
      <c r="G64" s="154">
        <v>0.2</v>
      </c>
      <c r="H64" s="155">
        <f>TRUNC((H$50+H$60)*$G64,2)</f>
        <v>444.01</v>
      </c>
      <c r="I64" s="24"/>
    </row>
    <row r="65" spans="2:9" x14ac:dyDescent="0.25">
      <c r="B65" s="129" t="s">
        <v>97</v>
      </c>
      <c r="C65" s="157" t="s">
        <v>133</v>
      </c>
      <c r="D65" s="244" t="s">
        <v>134</v>
      </c>
      <c r="E65" s="245"/>
      <c r="F65" s="246"/>
      <c r="G65" s="154">
        <v>2.5000000000000001E-2</v>
      </c>
      <c r="H65" s="155">
        <f>TRUNC((H$50+H$60)*$G65,2)</f>
        <v>55.5</v>
      </c>
      <c r="I65" s="24"/>
    </row>
    <row r="66" spans="2:9" x14ac:dyDescent="0.25">
      <c r="B66" s="259" t="s">
        <v>100</v>
      </c>
      <c r="C66" s="261" t="s">
        <v>135</v>
      </c>
      <c r="D66" s="263" t="s">
        <v>136</v>
      </c>
      <c r="E66" s="204" t="s">
        <v>137</v>
      </c>
      <c r="F66" s="204" t="s">
        <v>138</v>
      </c>
      <c r="G66" s="270">
        <f>E67*F67</f>
        <v>0.03</v>
      </c>
      <c r="H66" s="272">
        <f>TRUNC((H$50+H$60)*$G66,2)</f>
        <v>66.599999999999994</v>
      </c>
      <c r="I66" s="42"/>
    </row>
    <row r="67" spans="2:9" x14ac:dyDescent="0.25">
      <c r="B67" s="260"/>
      <c r="C67" s="262"/>
      <c r="D67" s="263"/>
      <c r="E67" s="3">
        <v>0.03</v>
      </c>
      <c r="F67" s="4">
        <v>1</v>
      </c>
      <c r="G67" s="271"/>
      <c r="H67" s="272"/>
      <c r="I67" s="42"/>
    </row>
    <row r="68" spans="2:9" x14ac:dyDescent="0.25">
      <c r="B68" s="129" t="s">
        <v>104</v>
      </c>
      <c r="C68" s="130" t="s">
        <v>139</v>
      </c>
      <c r="D68" s="244" t="s">
        <v>140</v>
      </c>
      <c r="E68" s="245"/>
      <c r="F68" s="246"/>
      <c r="G68" s="154">
        <v>1.4999999999999999E-2</v>
      </c>
      <c r="H68" s="155">
        <f>TRUNC((H$50+H$60)*$G68,2)</f>
        <v>33.299999999999997</v>
      </c>
      <c r="I68" s="24"/>
    </row>
    <row r="69" spans="2:9" x14ac:dyDescent="0.25">
      <c r="B69" s="129" t="s">
        <v>107</v>
      </c>
      <c r="C69" s="130" t="s">
        <v>141</v>
      </c>
      <c r="D69" s="244" t="s">
        <v>142</v>
      </c>
      <c r="E69" s="245"/>
      <c r="F69" s="246"/>
      <c r="G69" s="154">
        <v>0.01</v>
      </c>
      <c r="H69" s="155">
        <f>TRUNC((H$50+H$60)*$G69,2)</f>
        <v>22.2</v>
      </c>
      <c r="I69" s="24"/>
    </row>
    <row r="70" spans="2:9" x14ac:dyDescent="0.25">
      <c r="B70" s="129" t="s">
        <v>110</v>
      </c>
      <c r="C70" s="130" t="s">
        <v>143</v>
      </c>
      <c r="D70" s="244" t="s">
        <v>144</v>
      </c>
      <c r="E70" s="245"/>
      <c r="F70" s="246"/>
      <c r="G70" s="154">
        <v>6.0000000000000001E-3</v>
      </c>
      <c r="H70" s="155">
        <f>TRUNC((H$50+H$60)*$G70,2)</f>
        <v>13.32</v>
      </c>
      <c r="I70" s="24"/>
    </row>
    <row r="71" spans="2:9" x14ac:dyDescent="0.25">
      <c r="B71" s="129" t="s">
        <v>113</v>
      </c>
      <c r="C71" s="130" t="s">
        <v>145</v>
      </c>
      <c r="D71" s="244" t="s">
        <v>146</v>
      </c>
      <c r="E71" s="245"/>
      <c r="F71" s="246"/>
      <c r="G71" s="154">
        <v>2E-3</v>
      </c>
      <c r="H71" s="155">
        <f>TRUNC((H$50+H$60)*$G71,2)</f>
        <v>4.4400000000000004</v>
      </c>
      <c r="I71" s="24"/>
    </row>
    <row r="72" spans="2:9" x14ac:dyDescent="0.25">
      <c r="B72" s="129" t="s">
        <v>147</v>
      </c>
      <c r="C72" s="130" t="s">
        <v>148</v>
      </c>
      <c r="D72" s="244" t="s">
        <v>149</v>
      </c>
      <c r="E72" s="245"/>
      <c r="F72" s="246"/>
      <c r="G72" s="154">
        <v>0.08</v>
      </c>
      <c r="H72" s="155">
        <f>TRUNC((H$50+H$60)*$G72,2)</f>
        <v>177.6</v>
      </c>
      <c r="I72" s="24"/>
    </row>
    <row r="73" spans="2:9" x14ac:dyDescent="0.25">
      <c r="B73" s="129" t="s">
        <v>150</v>
      </c>
      <c r="C73" s="231" t="s">
        <v>33</v>
      </c>
      <c r="D73" s="240"/>
      <c r="E73" s="240"/>
      <c r="F73" s="232"/>
      <c r="G73" s="80">
        <f>SUM(G64:G72)</f>
        <v>0.36800000000000005</v>
      </c>
      <c r="H73" s="149">
        <f>SUM(H64:H72)</f>
        <v>816.97000000000014</v>
      </c>
      <c r="I73" s="13"/>
    </row>
    <row r="74" spans="2:9" x14ac:dyDescent="0.25">
      <c r="B74" s="276"/>
      <c r="C74" s="277"/>
      <c r="D74" s="277"/>
      <c r="E74" s="277"/>
      <c r="F74" s="277"/>
      <c r="G74" s="277"/>
      <c r="H74" s="278"/>
      <c r="I74" s="25"/>
    </row>
    <row r="75" spans="2:9" ht="12.75" customHeight="1" x14ac:dyDescent="0.25">
      <c r="B75" s="273" t="s">
        <v>151</v>
      </c>
      <c r="C75" s="274"/>
      <c r="D75" s="274"/>
      <c r="E75" s="274"/>
      <c r="F75" s="275"/>
      <c r="G75" s="30"/>
      <c r="H75" s="31"/>
      <c r="I75" s="25"/>
    </row>
    <row r="76" spans="2:9" x14ac:dyDescent="0.25">
      <c r="B76" s="128" t="s">
        <v>152</v>
      </c>
      <c r="C76" s="231" t="s">
        <v>153</v>
      </c>
      <c r="D76" s="240"/>
      <c r="E76" s="240"/>
      <c r="F76" s="240"/>
      <c r="G76" s="81"/>
      <c r="H76" s="128" t="s">
        <v>94</v>
      </c>
      <c r="I76" s="22"/>
    </row>
    <row r="77" spans="2:9" ht="12.75" customHeight="1" x14ac:dyDescent="0.25">
      <c r="B77" s="129" t="s">
        <v>95</v>
      </c>
      <c r="C77" s="130" t="s">
        <v>154</v>
      </c>
      <c r="D77" s="136" t="s">
        <v>155</v>
      </c>
      <c r="E77" s="235" t="s">
        <v>156</v>
      </c>
      <c r="F77" s="235"/>
      <c r="G77" s="82">
        <v>8.5500000000000007</v>
      </c>
      <c r="H77" s="83">
        <f>IF((TRUNC((G77*2*22)-(H$43*6%),2))&lt;0,"0,00",(TRUNC((G77*2*22)-(H$43*6%),2)))</f>
        <v>264.67</v>
      </c>
      <c r="I77" s="45"/>
    </row>
    <row r="78" spans="2:9" ht="12.75" customHeight="1" x14ac:dyDescent="0.25">
      <c r="B78" s="129" t="s">
        <v>97</v>
      </c>
      <c r="C78" s="130" t="s">
        <v>157</v>
      </c>
      <c r="D78" s="158" t="s">
        <v>158</v>
      </c>
      <c r="E78" s="159"/>
      <c r="F78" s="159"/>
      <c r="G78" s="160"/>
      <c r="H78" s="83">
        <f>35*22-1%*(35*22)</f>
        <v>762.3</v>
      </c>
      <c r="I78" s="45"/>
    </row>
    <row r="79" spans="2:9" x14ac:dyDescent="0.25">
      <c r="B79" s="129" t="s">
        <v>100</v>
      </c>
      <c r="C79" s="130" t="s">
        <v>159</v>
      </c>
      <c r="D79" s="158"/>
      <c r="E79" s="159"/>
      <c r="F79" s="159"/>
      <c r="G79" s="160"/>
      <c r="H79" s="83">
        <f>285.22-(285.22*1%)</f>
        <v>282.36780000000005</v>
      </c>
      <c r="I79" s="45"/>
    </row>
    <row r="80" spans="2:9" s="14" customFormat="1" x14ac:dyDescent="0.25">
      <c r="B80" s="129" t="s">
        <v>104</v>
      </c>
      <c r="C80" s="130" t="s">
        <v>160</v>
      </c>
      <c r="D80" s="158"/>
      <c r="E80" s="159"/>
      <c r="F80" s="159"/>
      <c r="G80" s="160"/>
      <c r="H80" s="83">
        <v>272.32</v>
      </c>
      <c r="I80" s="45"/>
    </row>
    <row r="81" spans="2:9" s="14" customFormat="1" x14ac:dyDescent="0.25">
      <c r="B81" s="129" t="s">
        <v>107</v>
      </c>
      <c r="C81" s="130" t="s">
        <v>161</v>
      </c>
      <c r="D81" s="158"/>
      <c r="E81" s="159"/>
      <c r="F81" s="159"/>
      <c r="G81" s="160"/>
      <c r="H81" s="83">
        <v>15</v>
      </c>
      <c r="I81" s="45"/>
    </row>
    <row r="82" spans="2:9" s="14" customFormat="1" x14ac:dyDescent="0.25">
      <c r="B82" s="129" t="s">
        <v>110</v>
      </c>
      <c r="C82" s="130" t="s">
        <v>162</v>
      </c>
      <c r="D82" s="158"/>
      <c r="E82" s="159"/>
      <c r="F82" s="159"/>
      <c r="G82" s="160"/>
      <c r="H82" s="83">
        <f>H111/12</f>
        <v>14.154166666666667</v>
      </c>
      <c r="I82" s="45"/>
    </row>
    <row r="83" spans="2:9" s="14" customFormat="1" x14ac:dyDescent="0.25">
      <c r="B83" s="129" t="s">
        <v>113</v>
      </c>
      <c r="C83" s="130" t="s">
        <v>163</v>
      </c>
      <c r="D83" s="158"/>
      <c r="E83" s="159"/>
      <c r="F83" s="159"/>
      <c r="G83" s="160"/>
      <c r="H83" s="83">
        <f>H111/12</f>
        <v>14.154166666666667</v>
      </c>
      <c r="I83" s="45"/>
    </row>
    <row r="84" spans="2:9" s="14" customFormat="1" x14ac:dyDescent="0.25">
      <c r="B84" s="129" t="s">
        <v>147</v>
      </c>
      <c r="C84" s="130" t="s">
        <v>114</v>
      </c>
      <c r="D84" s="158"/>
      <c r="E84" s="159"/>
      <c r="F84" s="159"/>
      <c r="G84" s="160"/>
      <c r="H84" s="83"/>
      <c r="I84" s="45"/>
    </row>
    <row r="85" spans="2:9" x14ac:dyDescent="0.25">
      <c r="B85" s="129" t="s">
        <v>164</v>
      </c>
      <c r="C85" s="231" t="s">
        <v>33</v>
      </c>
      <c r="D85" s="240"/>
      <c r="E85" s="240"/>
      <c r="F85" s="240"/>
      <c r="G85" s="81"/>
      <c r="H85" s="149">
        <f>SUM(H77:H80)</f>
        <v>1581.6578</v>
      </c>
      <c r="I85" s="13"/>
    </row>
    <row r="86" spans="2:9" x14ac:dyDescent="0.25">
      <c r="B86" s="267"/>
      <c r="C86" s="268"/>
      <c r="D86" s="268"/>
      <c r="E86" s="268"/>
      <c r="F86" s="268"/>
      <c r="G86" s="268"/>
      <c r="H86" s="269"/>
      <c r="I86" s="22"/>
    </row>
    <row r="87" spans="2:9" x14ac:dyDescent="0.25">
      <c r="B87" s="280" t="s">
        <v>165</v>
      </c>
      <c r="C87" s="281"/>
      <c r="D87" s="281"/>
      <c r="E87" s="281"/>
      <c r="F87" s="281"/>
      <c r="G87" s="34"/>
      <c r="H87" s="34"/>
      <c r="I87" s="22"/>
    </row>
    <row r="88" spans="2:9" x14ac:dyDescent="0.25">
      <c r="B88" s="128">
        <v>2</v>
      </c>
      <c r="C88" s="231" t="s">
        <v>166</v>
      </c>
      <c r="D88" s="240"/>
      <c r="E88" s="240"/>
      <c r="F88" s="240"/>
      <c r="G88" s="81"/>
      <c r="H88" s="128" t="s">
        <v>94</v>
      </c>
      <c r="I88" s="22"/>
    </row>
    <row r="89" spans="2:9" x14ac:dyDescent="0.25">
      <c r="B89" s="129" t="s">
        <v>121</v>
      </c>
      <c r="C89" s="86" t="s">
        <v>122</v>
      </c>
      <c r="D89" s="158" t="s">
        <v>127</v>
      </c>
      <c r="E89" s="159"/>
      <c r="F89" s="159"/>
      <c r="G89" s="160"/>
      <c r="H89" s="155">
        <f>H60</f>
        <v>361.40999999999997</v>
      </c>
      <c r="I89" s="24"/>
    </row>
    <row r="90" spans="2:9" x14ac:dyDescent="0.25">
      <c r="B90" s="129" t="s">
        <v>129</v>
      </c>
      <c r="C90" s="86" t="s">
        <v>167</v>
      </c>
      <c r="D90" s="158" t="s">
        <v>150</v>
      </c>
      <c r="E90" s="159"/>
      <c r="F90" s="159"/>
      <c r="G90" s="160"/>
      <c r="H90" s="155">
        <f>H73</f>
        <v>816.97000000000014</v>
      </c>
      <c r="I90" s="24"/>
    </row>
    <row r="91" spans="2:9" x14ac:dyDescent="0.25">
      <c r="B91" s="129" t="s">
        <v>152</v>
      </c>
      <c r="C91" s="86" t="s">
        <v>153</v>
      </c>
      <c r="D91" s="158" t="s">
        <v>164</v>
      </c>
      <c r="E91" s="159"/>
      <c r="F91" s="159"/>
      <c r="G91" s="160"/>
      <c r="H91" s="155">
        <f>H85</f>
        <v>1581.6578</v>
      </c>
      <c r="I91" s="24"/>
    </row>
    <row r="92" spans="2:9" x14ac:dyDescent="0.25">
      <c r="B92" s="129" t="s">
        <v>168</v>
      </c>
      <c r="C92" s="231" t="s">
        <v>33</v>
      </c>
      <c r="D92" s="240"/>
      <c r="E92" s="240"/>
      <c r="F92" s="240"/>
      <c r="G92" s="81"/>
      <c r="H92" s="149">
        <f>SUM(H89:H91)</f>
        <v>2760.0378000000001</v>
      </c>
      <c r="I92" s="13"/>
    </row>
    <row r="93" spans="2:9" x14ac:dyDescent="0.25">
      <c r="B93" s="268"/>
      <c r="C93" s="268"/>
      <c r="D93" s="268"/>
      <c r="E93" s="268"/>
      <c r="F93" s="268"/>
      <c r="G93" s="268"/>
      <c r="H93" s="268"/>
      <c r="I93" s="22"/>
    </row>
    <row r="94" spans="2:9" x14ac:dyDescent="0.25">
      <c r="B94" s="22"/>
      <c r="C94" s="22"/>
      <c r="D94" s="22"/>
      <c r="E94" s="22"/>
      <c r="F94" s="22"/>
      <c r="G94" s="22"/>
      <c r="H94" s="22"/>
      <c r="I94" s="22"/>
    </row>
    <row r="95" spans="2:9" x14ac:dyDescent="0.25">
      <c r="B95" s="254" t="s">
        <v>169</v>
      </c>
      <c r="C95" s="255"/>
      <c r="D95" s="255"/>
      <c r="E95" s="255"/>
      <c r="F95" s="279"/>
      <c r="G95" s="126"/>
      <c r="H95" s="127"/>
      <c r="I95" s="22"/>
    </row>
    <row r="96" spans="2:9" x14ac:dyDescent="0.25">
      <c r="B96" s="128">
        <v>3</v>
      </c>
      <c r="C96" s="231" t="s">
        <v>170</v>
      </c>
      <c r="D96" s="240"/>
      <c r="E96" s="240"/>
      <c r="F96" s="232"/>
      <c r="G96" s="128" t="s">
        <v>93</v>
      </c>
      <c r="H96" s="128" t="s">
        <v>94</v>
      </c>
      <c r="I96" s="22"/>
    </row>
    <row r="97" spans="2:9" x14ac:dyDescent="0.25">
      <c r="B97" s="129" t="s">
        <v>95</v>
      </c>
      <c r="C97" s="87" t="s">
        <v>171</v>
      </c>
      <c r="D97" s="158" t="s">
        <v>172</v>
      </c>
      <c r="E97" s="159"/>
      <c r="F97" s="160"/>
      <c r="G97" s="88">
        <v>1</v>
      </c>
      <c r="H97" s="89">
        <f>TRUNC((H$98+H$99)*$G97,2)</f>
        <v>380.59</v>
      </c>
      <c r="I97" s="13"/>
    </row>
    <row r="98" spans="2:9" x14ac:dyDescent="0.25">
      <c r="B98" s="129" t="s">
        <v>97</v>
      </c>
      <c r="C98" s="130" t="s">
        <v>173</v>
      </c>
      <c r="D98" s="158" t="s">
        <v>174</v>
      </c>
      <c r="E98" s="159"/>
      <c r="F98" s="160"/>
      <c r="G98" s="90"/>
      <c r="H98" s="155">
        <f>TRUNC((H$50+H$60+H$72+H$85-H77)/12,2)</f>
        <v>309.55</v>
      </c>
      <c r="I98" s="24"/>
    </row>
    <row r="99" spans="2:9" x14ac:dyDescent="0.25">
      <c r="B99" s="129" t="s">
        <v>100</v>
      </c>
      <c r="C99" s="130" t="s">
        <v>175</v>
      </c>
      <c r="D99" s="244" t="s">
        <v>176</v>
      </c>
      <c r="E99" s="246"/>
      <c r="F99" s="91">
        <v>0.4</v>
      </c>
      <c r="G99" s="90"/>
      <c r="H99" s="155">
        <f>TRUNC(H$72*$F99,2)</f>
        <v>71.040000000000006</v>
      </c>
      <c r="I99" s="24"/>
    </row>
    <row r="100" spans="2:9" x14ac:dyDescent="0.25">
      <c r="B100" s="129" t="s">
        <v>104</v>
      </c>
      <c r="C100" s="87" t="s">
        <v>177</v>
      </c>
      <c r="D100" s="158" t="s">
        <v>178</v>
      </c>
      <c r="E100" s="159"/>
      <c r="F100" s="160"/>
      <c r="G100" s="88">
        <v>1</v>
      </c>
      <c r="H100" s="92">
        <f>IF($G100&gt;=1,(TRUNC(H$101*$G100,2)),"ERRO")</f>
        <v>71.040000000000006</v>
      </c>
      <c r="I100" s="46"/>
    </row>
    <row r="101" spans="2:9" x14ac:dyDescent="0.25">
      <c r="B101" s="129" t="s">
        <v>107</v>
      </c>
      <c r="C101" s="130" t="s">
        <v>179</v>
      </c>
      <c r="D101" s="244" t="s">
        <v>176</v>
      </c>
      <c r="E101" s="246"/>
      <c r="F101" s="91">
        <v>0.4</v>
      </c>
      <c r="G101" s="90"/>
      <c r="H101" s="155">
        <f>TRUNC(H$72*$F101,2)</f>
        <v>71.040000000000006</v>
      </c>
      <c r="I101" s="24"/>
    </row>
    <row r="102" spans="2:9" x14ac:dyDescent="0.25">
      <c r="B102" s="129" t="s">
        <v>110</v>
      </c>
      <c r="C102" s="87" t="s">
        <v>180</v>
      </c>
      <c r="D102" s="282" t="s">
        <v>181</v>
      </c>
      <c r="E102" s="283"/>
      <c r="F102" s="93">
        <v>12</v>
      </c>
      <c r="G102" s="93">
        <v>3</v>
      </c>
      <c r="H102" s="155">
        <f>TRUNC(((H$50+H$60+H$73)/30)*$G102/$F102,2)</f>
        <v>25.3</v>
      </c>
      <c r="I102" s="24"/>
    </row>
    <row r="103" spans="2:9" x14ac:dyDescent="0.25">
      <c r="B103" s="129" t="s">
        <v>182</v>
      </c>
      <c r="C103" s="231" t="s">
        <v>33</v>
      </c>
      <c r="D103" s="240"/>
      <c r="E103" s="240"/>
      <c r="F103" s="240"/>
      <c r="G103" s="81"/>
      <c r="H103" s="149">
        <f>H$97+H$100+H$102</f>
        <v>476.93</v>
      </c>
      <c r="I103" s="13"/>
    </row>
    <row r="104" spans="2:9" x14ac:dyDescent="0.25">
      <c r="B104" s="21"/>
      <c r="C104" s="21"/>
      <c r="D104" s="21"/>
      <c r="E104" s="21"/>
      <c r="F104" s="21"/>
      <c r="G104" s="21"/>
      <c r="H104" s="21"/>
      <c r="I104" s="21"/>
    </row>
    <row r="105" spans="2:9" x14ac:dyDescent="0.25">
      <c r="B105" s="22"/>
      <c r="C105" s="22"/>
      <c r="D105" s="22"/>
      <c r="E105" s="22"/>
      <c r="F105" s="22"/>
      <c r="G105" s="22"/>
      <c r="H105" s="22"/>
      <c r="I105" s="22"/>
    </row>
    <row r="106" spans="2:9" x14ac:dyDescent="0.25">
      <c r="B106" s="254" t="s">
        <v>183</v>
      </c>
      <c r="C106" s="255"/>
      <c r="D106" s="255"/>
      <c r="E106" s="255"/>
      <c r="F106" s="279"/>
      <c r="G106" s="126"/>
      <c r="H106" s="127"/>
      <c r="I106" s="22"/>
    </row>
    <row r="107" spans="2:9" x14ac:dyDescent="0.25">
      <c r="B107" s="284" t="s">
        <v>184</v>
      </c>
      <c r="C107" s="285"/>
      <c r="D107" s="285"/>
      <c r="E107" s="285"/>
      <c r="F107" s="285"/>
      <c r="G107" s="35"/>
      <c r="H107" s="36"/>
      <c r="I107" s="22"/>
    </row>
    <row r="108" spans="2:9" x14ac:dyDescent="0.25">
      <c r="B108" s="128" t="s">
        <v>185</v>
      </c>
      <c r="C108" s="231" t="s">
        <v>186</v>
      </c>
      <c r="D108" s="240"/>
      <c r="E108" s="240"/>
      <c r="F108" s="232"/>
      <c r="G108" s="128" t="s">
        <v>187</v>
      </c>
      <c r="H108" s="128" t="s">
        <v>94</v>
      </c>
      <c r="I108" s="22"/>
    </row>
    <row r="109" spans="2:9" x14ac:dyDescent="0.25">
      <c r="B109" s="129" t="s">
        <v>95</v>
      </c>
      <c r="C109" s="130" t="s">
        <v>188</v>
      </c>
      <c r="D109" s="158" t="s">
        <v>189</v>
      </c>
      <c r="E109" s="159"/>
      <c r="F109" s="160"/>
      <c r="G109" s="93">
        <v>30</v>
      </c>
      <c r="H109" s="155">
        <f>TRUNC((H$111*$G109)/12,2)</f>
        <v>424.62</v>
      </c>
      <c r="I109" s="24"/>
    </row>
    <row r="110" spans="2:9" ht="23" x14ac:dyDescent="0.25">
      <c r="B110" s="129" t="s">
        <v>97</v>
      </c>
      <c r="C110" s="95" t="s">
        <v>190</v>
      </c>
      <c r="D110" s="161" t="s">
        <v>191</v>
      </c>
      <c r="E110" s="162"/>
      <c r="F110" s="163"/>
      <c r="G110" s="99">
        <v>8</v>
      </c>
      <c r="H110" s="155">
        <f>TRUNC((H$111*$G110)/12,2)</f>
        <v>113.23</v>
      </c>
      <c r="I110" s="24"/>
    </row>
    <row r="111" spans="2:9" x14ac:dyDescent="0.25">
      <c r="B111" s="129" t="s">
        <v>100</v>
      </c>
      <c r="C111" s="130" t="s">
        <v>192</v>
      </c>
      <c r="D111" s="158" t="s">
        <v>193</v>
      </c>
      <c r="E111" s="159"/>
      <c r="F111" s="159"/>
      <c r="G111" s="85"/>
      <c r="H111" s="155">
        <f>TRUNC((H$50+H$92+H$103)/30,2)</f>
        <v>169.85</v>
      </c>
      <c r="I111" s="24"/>
    </row>
    <row r="112" spans="2:9" x14ac:dyDescent="0.25">
      <c r="B112" s="129" t="s">
        <v>194</v>
      </c>
      <c r="C112" s="231" t="s">
        <v>33</v>
      </c>
      <c r="D112" s="240"/>
      <c r="E112" s="240"/>
      <c r="F112" s="240"/>
      <c r="G112" s="81"/>
      <c r="H112" s="149">
        <f>TRUNC(H$109+H$110,2)</f>
        <v>537.85</v>
      </c>
      <c r="I112" s="13"/>
    </row>
    <row r="113" spans="2:9" x14ac:dyDescent="0.25">
      <c r="B113" s="15"/>
      <c r="C113" s="16"/>
      <c r="D113" s="16"/>
      <c r="E113" s="16"/>
      <c r="F113" s="16"/>
      <c r="G113" s="16"/>
      <c r="H113" s="17"/>
      <c r="I113" s="16"/>
    </row>
    <row r="114" spans="2:9" x14ac:dyDescent="0.25">
      <c r="B114" s="280" t="s">
        <v>195</v>
      </c>
      <c r="C114" s="281"/>
      <c r="D114" s="281"/>
      <c r="E114" s="281"/>
      <c r="F114" s="281"/>
      <c r="G114" s="37"/>
      <c r="H114" s="38"/>
      <c r="I114" s="22"/>
    </row>
    <row r="115" spans="2:9" x14ac:dyDescent="0.25">
      <c r="B115" s="128" t="s">
        <v>196</v>
      </c>
      <c r="C115" s="231" t="s">
        <v>197</v>
      </c>
      <c r="D115" s="240"/>
      <c r="E115" s="240"/>
      <c r="F115" s="232"/>
      <c r="G115" s="128" t="s">
        <v>187</v>
      </c>
      <c r="H115" s="128" t="s">
        <v>94</v>
      </c>
      <c r="I115" s="22"/>
    </row>
    <row r="116" spans="2:9" ht="23" x14ac:dyDescent="0.25">
      <c r="B116" s="129" t="s">
        <v>95</v>
      </c>
      <c r="C116" s="95" t="s">
        <v>198</v>
      </c>
      <c r="D116" s="158" t="s">
        <v>199</v>
      </c>
      <c r="E116" s="159"/>
      <c r="F116" s="159"/>
      <c r="G116" s="93"/>
      <c r="H116" s="155">
        <f>TRUNC(((H$50+H92+H103)/220)*(1+50%)*G116,2)</f>
        <v>0</v>
      </c>
      <c r="I116" s="24"/>
    </row>
    <row r="117" spans="2:9" x14ac:dyDescent="0.25">
      <c r="B117" s="129" t="s">
        <v>200</v>
      </c>
      <c r="C117" s="231" t="s">
        <v>33</v>
      </c>
      <c r="D117" s="240"/>
      <c r="E117" s="240"/>
      <c r="F117" s="240"/>
      <c r="G117" s="100"/>
      <c r="H117" s="149">
        <f>H116</f>
        <v>0</v>
      </c>
      <c r="I117" s="24"/>
    </row>
    <row r="118" spans="2:9" x14ac:dyDescent="0.25">
      <c r="B118" s="101"/>
      <c r="C118" s="186"/>
      <c r="D118" s="186"/>
      <c r="E118" s="186"/>
      <c r="F118" s="186"/>
      <c r="G118" s="22"/>
      <c r="H118" s="41"/>
      <c r="I118" s="47"/>
    </row>
    <row r="119" spans="2:9" x14ac:dyDescent="0.25">
      <c r="B119" s="280" t="s">
        <v>201</v>
      </c>
      <c r="C119" s="281"/>
      <c r="D119" s="281"/>
      <c r="E119" s="281"/>
      <c r="F119" s="281"/>
      <c r="G119" s="37"/>
      <c r="H119" s="38"/>
      <c r="I119" s="22"/>
    </row>
    <row r="120" spans="2:9" x14ac:dyDescent="0.25">
      <c r="B120" s="128">
        <v>4</v>
      </c>
      <c r="C120" s="231" t="s">
        <v>202</v>
      </c>
      <c r="D120" s="240"/>
      <c r="E120" s="240"/>
      <c r="F120" s="240"/>
      <c r="G120" s="232"/>
      <c r="H120" s="128" t="s">
        <v>94</v>
      </c>
      <c r="I120" s="22"/>
    </row>
    <row r="121" spans="2:9" x14ac:dyDescent="0.25">
      <c r="B121" s="129" t="s">
        <v>185</v>
      </c>
      <c r="C121" s="130" t="s">
        <v>203</v>
      </c>
      <c r="D121" s="158" t="s">
        <v>194</v>
      </c>
      <c r="E121" s="159"/>
      <c r="F121" s="159"/>
      <c r="G121" s="160"/>
      <c r="H121" s="155">
        <f>H112</f>
        <v>537.85</v>
      </c>
      <c r="I121" s="24"/>
    </row>
    <row r="122" spans="2:9" x14ac:dyDescent="0.25">
      <c r="B122" s="129" t="s">
        <v>196</v>
      </c>
      <c r="C122" s="130" t="s">
        <v>204</v>
      </c>
      <c r="D122" s="158" t="s">
        <v>200</v>
      </c>
      <c r="E122" s="159"/>
      <c r="F122" s="159"/>
      <c r="G122" s="160"/>
      <c r="H122" s="155">
        <f>H117</f>
        <v>0</v>
      </c>
      <c r="I122" s="24"/>
    </row>
    <row r="123" spans="2:9" x14ac:dyDescent="0.25">
      <c r="B123" s="129" t="s">
        <v>205</v>
      </c>
      <c r="C123" s="231" t="s">
        <v>33</v>
      </c>
      <c r="D123" s="240"/>
      <c r="E123" s="240"/>
      <c r="F123" s="240"/>
      <c r="G123" s="81"/>
      <c r="H123" s="149">
        <f>SUM(H121:H122)</f>
        <v>537.85</v>
      </c>
      <c r="I123" s="13"/>
    </row>
    <row r="124" spans="2:9" x14ac:dyDescent="0.25">
      <c r="B124" s="22"/>
      <c r="C124" s="22"/>
      <c r="D124" s="22"/>
      <c r="E124" s="22"/>
      <c r="F124" s="22"/>
      <c r="G124" s="22"/>
      <c r="H124" s="22"/>
      <c r="I124" s="22"/>
    </row>
    <row r="125" spans="2:9" x14ac:dyDescent="0.25">
      <c r="B125" s="22"/>
      <c r="C125" s="22"/>
      <c r="D125" s="22"/>
      <c r="E125" s="22"/>
      <c r="F125" s="22"/>
      <c r="G125" s="22"/>
      <c r="H125" s="22"/>
      <c r="I125" s="22"/>
    </row>
    <row r="126" spans="2:9" x14ac:dyDescent="0.25">
      <c r="B126" s="254" t="s">
        <v>206</v>
      </c>
      <c r="C126" s="255"/>
      <c r="D126" s="255"/>
      <c r="E126" s="255"/>
      <c r="F126" s="279"/>
      <c r="G126" s="126"/>
      <c r="H126" s="127"/>
      <c r="I126" s="22"/>
    </row>
    <row r="127" spans="2:9" x14ac:dyDescent="0.25">
      <c r="B127" s="128">
        <v>5</v>
      </c>
      <c r="C127" s="292" t="s">
        <v>207</v>
      </c>
      <c r="D127" s="293"/>
      <c r="E127" s="293"/>
      <c r="F127" s="293"/>
      <c r="G127" s="294"/>
      <c r="H127" s="128" t="s">
        <v>94</v>
      </c>
      <c r="I127" s="22"/>
    </row>
    <row r="128" spans="2:9" x14ac:dyDescent="0.25">
      <c r="B128" s="129" t="s">
        <v>95</v>
      </c>
      <c r="C128" s="102" t="s">
        <v>208</v>
      </c>
      <c r="D128" s="103"/>
      <c r="E128" s="103"/>
      <c r="F128" s="103"/>
      <c r="G128" s="104"/>
      <c r="H128" s="140">
        <v>26.52</v>
      </c>
      <c r="I128" s="24"/>
    </row>
    <row r="129" spans="2:9" x14ac:dyDescent="0.25">
      <c r="B129" s="129" t="s">
        <v>97</v>
      </c>
      <c r="C129" s="102" t="s">
        <v>209</v>
      </c>
      <c r="D129" s="103"/>
      <c r="E129" s="103"/>
      <c r="F129" s="103"/>
      <c r="G129" s="104"/>
      <c r="H129" s="140"/>
      <c r="I129" s="24"/>
    </row>
    <row r="130" spans="2:9" x14ac:dyDescent="0.25">
      <c r="B130" s="129" t="s">
        <v>100</v>
      </c>
      <c r="C130" s="102" t="s">
        <v>210</v>
      </c>
      <c r="D130" s="103"/>
      <c r="E130" s="103"/>
      <c r="F130" s="103"/>
      <c r="G130" s="104"/>
      <c r="H130" s="140">
        <f>'Demais componentes'!F9</f>
        <v>671.00025925925922</v>
      </c>
      <c r="I130" s="24"/>
    </row>
    <row r="131" spans="2:9" x14ac:dyDescent="0.25">
      <c r="B131" s="129" t="s">
        <v>104</v>
      </c>
      <c r="C131" s="102" t="s">
        <v>114</v>
      </c>
      <c r="D131" s="103"/>
      <c r="E131" s="103"/>
      <c r="F131" s="103"/>
      <c r="G131" s="104"/>
      <c r="H131" s="140"/>
      <c r="I131" s="24"/>
    </row>
    <row r="132" spans="2:9" x14ac:dyDescent="0.25">
      <c r="B132" s="129" t="s">
        <v>211</v>
      </c>
      <c r="C132" s="231" t="s">
        <v>33</v>
      </c>
      <c r="D132" s="240"/>
      <c r="E132" s="240"/>
      <c r="F132" s="240"/>
      <c r="G132" s="81"/>
      <c r="H132" s="149">
        <f>SUM(H128:H131)</f>
        <v>697.52025925925921</v>
      </c>
      <c r="I132" s="13"/>
    </row>
    <row r="133" spans="2:9" x14ac:dyDescent="0.25">
      <c r="B133" s="22"/>
      <c r="C133" s="22"/>
      <c r="D133" s="22"/>
      <c r="E133" s="22"/>
      <c r="F133" s="22"/>
      <c r="G133" s="18"/>
      <c r="H133" s="13"/>
      <c r="I133" s="13"/>
    </row>
    <row r="134" spans="2:9" x14ac:dyDescent="0.25">
      <c r="B134" s="22"/>
      <c r="C134" s="22"/>
      <c r="D134" s="22"/>
      <c r="E134" s="22"/>
      <c r="F134" s="22"/>
      <c r="G134" s="22"/>
      <c r="H134" s="22"/>
      <c r="I134" s="22"/>
    </row>
    <row r="135" spans="2:9" x14ac:dyDescent="0.25">
      <c r="B135" s="254" t="s">
        <v>212</v>
      </c>
      <c r="C135" s="255"/>
      <c r="D135" s="255"/>
      <c r="E135" s="255"/>
      <c r="F135" s="279"/>
      <c r="G135" s="126"/>
      <c r="H135" s="127"/>
      <c r="I135" s="22"/>
    </row>
    <row r="136" spans="2:9" x14ac:dyDescent="0.25">
      <c r="B136" s="128">
        <v>6</v>
      </c>
      <c r="C136" s="231" t="s">
        <v>213</v>
      </c>
      <c r="D136" s="240"/>
      <c r="E136" s="240"/>
      <c r="F136" s="232"/>
      <c r="G136" s="128" t="s">
        <v>93</v>
      </c>
      <c r="H136" s="128" t="s">
        <v>94</v>
      </c>
      <c r="I136" s="22"/>
    </row>
    <row r="137" spans="2:9" x14ac:dyDescent="0.25">
      <c r="B137" s="129" t="s">
        <v>95</v>
      </c>
      <c r="C137" s="130" t="s">
        <v>214</v>
      </c>
      <c r="D137" s="244" t="s">
        <v>215</v>
      </c>
      <c r="E137" s="245"/>
      <c r="F137" s="246"/>
      <c r="G137" s="105">
        <v>0.05</v>
      </c>
      <c r="H137" s="155">
        <f>TRUNC(H$154*$G137,2)</f>
        <v>316.55</v>
      </c>
      <c r="I137" s="24"/>
    </row>
    <row r="138" spans="2:9" x14ac:dyDescent="0.25">
      <c r="B138" s="129" t="s">
        <v>97</v>
      </c>
      <c r="C138" s="130" t="s">
        <v>216</v>
      </c>
      <c r="D138" s="244" t="s">
        <v>217</v>
      </c>
      <c r="E138" s="245"/>
      <c r="F138" s="246"/>
      <c r="G138" s="105">
        <v>0.1</v>
      </c>
      <c r="H138" s="155">
        <f>TRUNC((H$154+H$137)*$G138,2)</f>
        <v>664.75</v>
      </c>
      <c r="I138" s="24"/>
    </row>
    <row r="139" spans="2:9" x14ac:dyDescent="0.25">
      <c r="B139" s="129" t="s">
        <v>100</v>
      </c>
      <c r="C139" s="130" t="s">
        <v>218</v>
      </c>
      <c r="D139" s="244" t="s">
        <v>219</v>
      </c>
      <c r="E139" s="245"/>
      <c r="F139" s="246"/>
      <c r="G139" s="106">
        <f>1-(G140+G141+G142)</f>
        <v>0.85749999999999993</v>
      </c>
      <c r="H139" s="79">
        <f>TRUNC(((H$154+H$137+H$138)/$G139),2)</f>
        <v>8527.48</v>
      </c>
      <c r="I139" s="42"/>
    </row>
    <row r="140" spans="2:9" x14ac:dyDescent="0.25">
      <c r="B140" s="129" t="s">
        <v>220</v>
      </c>
      <c r="C140" s="130" t="s">
        <v>221</v>
      </c>
      <c r="D140" s="244" t="s">
        <v>222</v>
      </c>
      <c r="E140" s="245"/>
      <c r="F140" s="246"/>
      <c r="G140" s="107">
        <v>1.6500000000000001E-2</v>
      </c>
      <c r="H140" s="155">
        <f>TRUNC(H$139*$G140,2)</f>
        <v>140.69999999999999</v>
      </c>
      <c r="I140" s="24"/>
    </row>
    <row r="141" spans="2:9" x14ac:dyDescent="0.25">
      <c r="B141" s="129" t="s">
        <v>223</v>
      </c>
      <c r="C141" s="130" t="s">
        <v>224</v>
      </c>
      <c r="D141" s="244" t="s">
        <v>222</v>
      </c>
      <c r="E141" s="245"/>
      <c r="F141" s="246"/>
      <c r="G141" s="107">
        <v>7.5999999999999998E-2</v>
      </c>
      <c r="H141" s="155">
        <f>TRUNC(H$139*$G141,2)</f>
        <v>648.08000000000004</v>
      </c>
      <c r="I141" s="24"/>
    </row>
    <row r="142" spans="2:9" x14ac:dyDescent="0.25">
      <c r="B142" s="129" t="s">
        <v>225</v>
      </c>
      <c r="C142" s="130" t="s">
        <v>226</v>
      </c>
      <c r="D142" s="244" t="s">
        <v>222</v>
      </c>
      <c r="E142" s="245"/>
      <c r="F142" s="246"/>
      <c r="G142" s="107">
        <v>0.05</v>
      </c>
      <c r="H142" s="155">
        <f>TRUNC(H$139*$G142,2)</f>
        <v>426.37</v>
      </c>
      <c r="I142" s="24"/>
    </row>
    <row r="143" spans="2:9" x14ac:dyDescent="0.25">
      <c r="B143" s="129" t="s">
        <v>227</v>
      </c>
      <c r="C143" s="108" t="s">
        <v>33</v>
      </c>
      <c r="D143" s="288" t="s">
        <v>228</v>
      </c>
      <c r="E143" s="288"/>
      <c r="F143" s="288"/>
      <c r="G143" s="109"/>
      <c r="H143" s="149">
        <f>SUM(H137:H142)-H139</f>
        <v>2196.4500000000007</v>
      </c>
      <c r="I143" s="13"/>
    </row>
    <row r="144" spans="2:9" x14ac:dyDescent="0.25">
      <c r="B144" s="11"/>
      <c r="C144" s="11"/>
      <c r="D144" s="11"/>
      <c r="E144" s="11"/>
      <c r="F144" s="11"/>
      <c r="G144" s="11"/>
      <c r="H144" s="19"/>
      <c r="I144" s="19"/>
    </row>
    <row r="145" spans="2:9" x14ac:dyDescent="0.25">
      <c r="B145" s="291" t="s">
        <v>229</v>
      </c>
      <c r="C145" s="291"/>
      <c r="D145" s="291"/>
      <c r="E145" s="291"/>
      <c r="F145" s="291"/>
      <c r="G145" s="291"/>
      <c r="H145" s="291"/>
      <c r="I145" s="20"/>
    </row>
    <row r="146" spans="2:9" x14ac:dyDescent="0.25">
      <c r="B146" s="20"/>
      <c r="C146" s="20"/>
      <c r="D146" s="20"/>
      <c r="E146" s="20"/>
      <c r="F146" s="20"/>
      <c r="G146" s="20"/>
      <c r="H146" s="20"/>
      <c r="I146" s="20"/>
    </row>
    <row r="147" spans="2:9" x14ac:dyDescent="0.25">
      <c r="B147" s="254" t="s">
        <v>230</v>
      </c>
      <c r="C147" s="255"/>
      <c r="D147" s="255"/>
      <c r="E147" s="255"/>
      <c r="F147" s="255"/>
      <c r="G147" s="110"/>
      <c r="H147" s="127"/>
      <c r="I147" s="22"/>
    </row>
    <row r="148" spans="2:9" ht="12.75" customHeight="1" x14ac:dyDescent="0.25">
      <c r="B148" s="39"/>
      <c r="C148" s="286" t="s">
        <v>231</v>
      </c>
      <c r="D148" s="287"/>
      <c r="E148" s="287"/>
      <c r="F148" s="287"/>
      <c r="G148" s="40"/>
      <c r="H148" s="29" t="s">
        <v>94</v>
      </c>
      <c r="I148" s="22"/>
    </row>
    <row r="149" spans="2:9" x14ac:dyDescent="0.25">
      <c r="B149" s="129" t="s">
        <v>95</v>
      </c>
      <c r="C149" s="95" t="s">
        <v>232</v>
      </c>
      <c r="D149" s="158" t="s">
        <v>115</v>
      </c>
      <c r="E149" s="159"/>
      <c r="F149" s="159"/>
      <c r="G149" s="160"/>
      <c r="H149" s="155">
        <f>H50</f>
        <v>1858.68</v>
      </c>
      <c r="I149" s="24"/>
    </row>
    <row r="150" spans="2:9" ht="23" x14ac:dyDescent="0.25">
      <c r="B150" s="129" t="s">
        <v>97</v>
      </c>
      <c r="C150" s="95" t="s">
        <v>233</v>
      </c>
      <c r="D150" s="158" t="s">
        <v>168</v>
      </c>
      <c r="E150" s="159"/>
      <c r="F150" s="159"/>
      <c r="G150" s="160"/>
      <c r="H150" s="155">
        <f>H92</f>
        <v>2760.0378000000001</v>
      </c>
      <c r="I150" s="24"/>
    </row>
    <row r="151" spans="2:9" x14ac:dyDescent="0.25">
      <c r="B151" s="129" t="s">
        <v>100</v>
      </c>
      <c r="C151" s="95" t="s">
        <v>234</v>
      </c>
      <c r="D151" s="158" t="s">
        <v>182</v>
      </c>
      <c r="E151" s="159"/>
      <c r="F151" s="159"/>
      <c r="G151" s="160"/>
      <c r="H151" s="155">
        <f>H103</f>
        <v>476.93</v>
      </c>
      <c r="I151" s="24"/>
    </row>
    <row r="152" spans="2:9" ht="23" x14ac:dyDescent="0.25">
      <c r="B152" s="129" t="s">
        <v>104</v>
      </c>
      <c r="C152" s="95" t="s">
        <v>235</v>
      </c>
      <c r="D152" s="158" t="s">
        <v>205</v>
      </c>
      <c r="E152" s="159"/>
      <c r="F152" s="159"/>
      <c r="G152" s="160"/>
      <c r="H152" s="155">
        <f>H123</f>
        <v>537.85</v>
      </c>
      <c r="I152" s="24"/>
    </row>
    <row r="153" spans="2:9" x14ac:dyDescent="0.25">
      <c r="B153" s="129" t="s">
        <v>107</v>
      </c>
      <c r="C153" s="95" t="s">
        <v>236</v>
      </c>
      <c r="D153" s="158" t="s">
        <v>211</v>
      </c>
      <c r="E153" s="159"/>
      <c r="F153" s="159"/>
      <c r="G153" s="160"/>
      <c r="H153" s="155">
        <f>H132</f>
        <v>697.52025925925921</v>
      </c>
      <c r="I153" s="24"/>
    </row>
    <row r="154" spans="2:9" x14ac:dyDescent="0.25">
      <c r="B154" s="94" t="s">
        <v>110</v>
      </c>
      <c r="C154" s="87" t="s">
        <v>237</v>
      </c>
      <c r="D154" s="164" t="s">
        <v>238</v>
      </c>
      <c r="E154" s="165"/>
      <c r="F154" s="165"/>
      <c r="G154" s="166"/>
      <c r="H154" s="89">
        <f>SUM(H149:H153)</f>
        <v>6331.0180592592606</v>
      </c>
      <c r="I154" s="13"/>
    </row>
    <row r="155" spans="2:9" x14ac:dyDescent="0.25">
      <c r="B155" s="129" t="s">
        <v>113</v>
      </c>
      <c r="C155" s="130" t="s">
        <v>239</v>
      </c>
      <c r="D155" s="158" t="s">
        <v>227</v>
      </c>
      <c r="E155" s="159"/>
      <c r="F155" s="159"/>
      <c r="G155" s="160"/>
      <c r="H155" s="155">
        <f>H143</f>
        <v>2196.4500000000007</v>
      </c>
      <c r="I155" s="24"/>
    </row>
    <row r="156" spans="2:9" x14ac:dyDescent="0.25">
      <c r="B156" s="129" t="s">
        <v>240</v>
      </c>
      <c r="C156" s="116" t="s">
        <v>241</v>
      </c>
      <c r="D156" s="117" t="s">
        <v>242</v>
      </c>
      <c r="E156" s="118"/>
      <c r="F156" s="118"/>
      <c r="G156" s="109"/>
      <c r="H156" s="167">
        <f>SUM(H154:H155)</f>
        <v>8527.4680592592613</v>
      </c>
      <c r="I156" s="48"/>
    </row>
    <row r="157" spans="2:9" ht="12.75" customHeight="1" x14ac:dyDescent="0.25">
      <c r="B157" s="14"/>
      <c r="C157" s="14"/>
      <c r="D157" s="14"/>
      <c r="E157" s="14"/>
      <c r="F157" s="14"/>
      <c r="G157" s="14"/>
      <c r="H157" s="121"/>
      <c r="I157" s="121"/>
    </row>
    <row r="158" spans="2:9" x14ac:dyDescent="0.25">
      <c r="B158" s="14"/>
      <c r="C158" s="14"/>
      <c r="D158" s="14"/>
      <c r="E158" s="14"/>
      <c r="F158" s="14"/>
      <c r="G158" s="122" t="s">
        <v>243</v>
      </c>
      <c r="H158" s="187">
        <f>(H156)/H43</f>
        <v>4.5879161874336951</v>
      </c>
      <c r="I158" s="14"/>
    </row>
  </sheetData>
  <mergeCells count="120">
    <mergeCell ref="D142:F142"/>
    <mergeCell ref="D143:F143"/>
    <mergeCell ref="B145:H145"/>
    <mergeCell ref="B147:F147"/>
    <mergeCell ref="C148:F148"/>
    <mergeCell ref="C136:F136"/>
    <mergeCell ref="D137:F137"/>
    <mergeCell ref="D138:F138"/>
    <mergeCell ref="D139:F139"/>
    <mergeCell ref="D140:F140"/>
    <mergeCell ref="D141:F141"/>
    <mergeCell ref="C120:G120"/>
    <mergeCell ref="C123:F123"/>
    <mergeCell ref="B126:F126"/>
    <mergeCell ref="C127:G127"/>
    <mergeCell ref="C132:F132"/>
    <mergeCell ref="B135:F135"/>
    <mergeCell ref="C108:F108"/>
    <mergeCell ref="C112:F112"/>
    <mergeCell ref="B114:F114"/>
    <mergeCell ref="C115:F115"/>
    <mergeCell ref="C117:F117"/>
    <mergeCell ref="B119:F119"/>
    <mergeCell ref="D99:E99"/>
    <mergeCell ref="D101:E101"/>
    <mergeCell ref="D102:E102"/>
    <mergeCell ref="C103:F103"/>
    <mergeCell ref="B106:F106"/>
    <mergeCell ref="B107:F107"/>
    <mergeCell ref="B87:F87"/>
    <mergeCell ref="C88:F88"/>
    <mergeCell ref="C92:F92"/>
    <mergeCell ref="B93:H93"/>
    <mergeCell ref="B95:F95"/>
    <mergeCell ref="C96:F96"/>
    <mergeCell ref="B74:H74"/>
    <mergeCell ref="B75:F75"/>
    <mergeCell ref="C76:F76"/>
    <mergeCell ref="E77:F77"/>
    <mergeCell ref="C85:F85"/>
    <mergeCell ref="B86:H86"/>
    <mergeCell ref="D68:F68"/>
    <mergeCell ref="D69:F69"/>
    <mergeCell ref="D70:F70"/>
    <mergeCell ref="D71:F71"/>
    <mergeCell ref="D72:F72"/>
    <mergeCell ref="C73:F73"/>
    <mergeCell ref="D65:F65"/>
    <mergeCell ref="B66:B67"/>
    <mergeCell ref="C66:C67"/>
    <mergeCell ref="D66:D67"/>
    <mergeCell ref="G66:G67"/>
    <mergeCell ref="H66:H67"/>
    <mergeCell ref="D59:F59"/>
    <mergeCell ref="C60:F60"/>
    <mergeCell ref="B61:H61"/>
    <mergeCell ref="B62:F62"/>
    <mergeCell ref="C63:F63"/>
    <mergeCell ref="D64:F64"/>
    <mergeCell ref="C51:F52"/>
    <mergeCell ref="B54:F54"/>
    <mergeCell ref="B55:F55"/>
    <mergeCell ref="B56:F56"/>
    <mergeCell ref="C57:F57"/>
    <mergeCell ref="D58:F58"/>
    <mergeCell ref="D44:F44"/>
    <mergeCell ref="D46:F46"/>
    <mergeCell ref="D47:F47"/>
    <mergeCell ref="D48:F48"/>
    <mergeCell ref="D49:F49"/>
    <mergeCell ref="C50:F50"/>
    <mergeCell ref="B38:B39"/>
    <mergeCell ref="C38:F38"/>
    <mergeCell ref="C39:F39"/>
    <mergeCell ref="B41:F41"/>
    <mergeCell ref="C42:F42"/>
    <mergeCell ref="D43:F43"/>
    <mergeCell ref="B34:B35"/>
    <mergeCell ref="C34:F34"/>
    <mergeCell ref="C35:F35"/>
    <mergeCell ref="B36:B37"/>
    <mergeCell ref="C36:F36"/>
    <mergeCell ref="C37:F37"/>
    <mergeCell ref="B30:B31"/>
    <mergeCell ref="C30:F30"/>
    <mergeCell ref="C31:F31"/>
    <mergeCell ref="B32:B33"/>
    <mergeCell ref="C32:F32"/>
    <mergeCell ref="C33:F33"/>
    <mergeCell ref="B26:B27"/>
    <mergeCell ref="C26:F26"/>
    <mergeCell ref="C27:F27"/>
    <mergeCell ref="B28:B29"/>
    <mergeCell ref="C28:F28"/>
    <mergeCell ref="C29:F29"/>
    <mergeCell ref="B22:B23"/>
    <mergeCell ref="C22:F22"/>
    <mergeCell ref="C23:F23"/>
    <mergeCell ref="B24:B25"/>
    <mergeCell ref="C24:F24"/>
    <mergeCell ref="C25:F25"/>
    <mergeCell ref="B18:B19"/>
    <mergeCell ref="C18:F18"/>
    <mergeCell ref="C19:F19"/>
    <mergeCell ref="B20:B21"/>
    <mergeCell ref="C20:F20"/>
    <mergeCell ref="C21:F21"/>
    <mergeCell ref="D10:F10"/>
    <mergeCell ref="D11:F11"/>
    <mergeCell ref="D13:F13"/>
    <mergeCell ref="B15:F15"/>
    <mergeCell ref="B16:B17"/>
    <mergeCell ref="C16:F16"/>
    <mergeCell ref="C17:F17"/>
    <mergeCell ref="B2:H2"/>
    <mergeCell ref="B3:H3"/>
    <mergeCell ref="D6:F6"/>
    <mergeCell ref="D7:F7"/>
    <mergeCell ref="D8:F8"/>
    <mergeCell ref="D9:F9"/>
  </mergeCells>
  <dataValidations count="11">
    <dataValidation type="list" allowBlank="1" showInputMessage="1" showErrorMessage="1" sqref="G44" xr:uid="{42A780CC-F460-4B6C-8D9E-F36DE1603F01}">
      <formula1>"0%, 30%"</formula1>
    </dataValidation>
    <dataValidation type="list" allowBlank="1" showInputMessage="1" showErrorMessage="1" sqref="G45" xr:uid="{E02D5FF0-42DB-4762-8948-18D74651A321}">
      <formula1>"0%, 10%, 20%, 40%"</formula1>
    </dataValidation>
    <dataValidation type="list" allowBlank="1" showInputMessage="1" showErrorMessage="1" sqref="E67" xr:uid="{C8D29A34-ACE8-4786-9884-2EB0F79C5307}">
      <formula1>"1%, 2%, 3%"</formula1>
    </dataValidation>
    <dataValidation type="list" allowBlank="1" showInputMessage="1" showErrorMessage="1" sqref="G46:G47" xr:uid="{565465BA-95F5-4973-99A0-DFE8C922396D}">
      <formula1>"0, 20%"</formula1>
    </dataValidation>
    <dataValidation type="list" allowBlank="1" showInputMessage="1" showErrorMessage="1" sqref="G141" xr:uid="{FDFB6424-5AC6-4A17-82EB-66290A21474B}">
      <mc:AlternateContent xmlns:x12ac="http://schemas.microsoft.com/office/spreadsheetml/2011/1/ac" xmlns:mc="http://schemas.openxmlformats.org/markup-compatibility/2006">
        <mc:Choice Requires="x12ac">
          <x12ac:list>3%," 7,6%"</x12ac:list>
        </mc:Choice>
        <mc:Fallback>
          <formula1>"3%, 7,6%"</formula1>
        </mc:Fallback>
      </mc:AlternateContent>
    </dataValidation>
    <dataValidation type="list" allowBlank="1" showInputMessage="1" showErrorMessage="1" sqref="G140" xr:uid="{8DEC4B1C-3560-40A4-A94C-12F60462761A}">
      <mc:AlternateContent xmlns:x12ac="http://schemas.microsoft.com/office/spreadsheetml/2011/1/ac" xmlns:mc="http://schemas.openxmlformats.org/markup-compatibility/2006">
        <mc:Choice Requires="x12ac">
          <x12ac:list>"0,65%","1,65%"</x12ac:list>
        </mc:Choice>
        <mc:Fallback>
          <formula1>"0,65%,1,65%"</formula1>
        </mc:Fallback>
      </mc:AlternateContent>
    </dataValidation>
    <dataValidation type="list" allowBlank="1" showInputMessage="1" showErrorMessage="1" sqref="G48" xr:uid="{76231C3D-FAAB-43A5-80F0-51348FBA325F}">
      <formula1>"0, 50%, 100%"</formula1>
    </dataValidation>
    <dataValidation type="whole" allowBlank="1" showInputMessage="1" showErrorMessage="1" errorTitle="Valor errado" error="Quantidade fixa de dias. Prencher com 30" sqref="G109" xr:uid="{4F0D75A8-F01E-4802-8572-77D1438D66E2}">
      <formula1>30</formula1>
      <formula2>30</formula2>
    </dataValidation>
    <dataValidation type="list" operator="equal" allowBlank="1" showInputMessage="1" showErrorMessage="1" errorTitle="Valor errado" error="Percentual fixo. Preencher com 40%." sqref="F99 F101" xr:uid="{69B535FA-8921-4FB8-A353-82E92C0AFD7F}">
      <formula1>"40%"</formula1>
    </dataValidation>
    <dataValidation type="custom" allowBlank="1" showInputMessage="1" showErrorMessage="1" sqref="G139" xr:uid="{C66E2D38-1D4D-47C8-BC1B-C879DF64C3DF}">
      <formula1>1-(G140+G141+G142)</formula1>
    </dataValidation>
    <dataValidation type="list" allowBlank="1" showInputMessage="1" showErrorMessage="1" sqref="G102" xr:uid="{5DC8E64D-C5EF-43C5-ABEB-5D5BEEB63117}">
      <formula1>"3,6,9,12,15"</formula1>
    </dataValidation>
  </dataValidations>
  <pageMargins left="0.511811024" right="0.511811024" top="0.78740157499999996" bottom="0.78740157499999996" header="0.31496062000000002" footer="0.31496062000000002"/>
  <pageSetup paperSize="9" scale="77" fitToHeight="0" orientation="portrait" horizontalDpi="4294967293" verticalDpi="4294967293" r:id="rId1"/>
  <rowBreaks count="2" manualBreakCount="2">
    <brk id="73" max="7" man="1"/>
    <brk id="143" max="7"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0D9A5-59BB-4891-8121-A09AC956DCE3}">
  <sheetPr>
    <pageSetUpPr fitToPage="1"/>
  </sheetPr>
  <dimension ref="B1:I156"/>
  <sheetViews>
    <sheetView topLeftCell="B1" zoomScaleNormal="100" workbookViewId="0">
      <selection activeCell="H1" sqref="H1"/>
    </sheetView>
  </sheetViews>
  <sheetFormatPr defaultColWidth="9.1796875" defaultRowHeight="12.5" x14ac:dyDescent="0.25"/>
  <cols>
    <col min="1" max="1" width="3.54296875" style="8" customWidth="1"/>
    <col min="2" max="2" width="8.26953125" style="8" customWidth="1"/>
    <col min="3" max="3" width="39.1796875" style="8" customWidth="1"/>
    <col min="4" max="4" width="29.1796875" style="8" customWidth="1"/>
    <col min="5" max="6" width="8.54296875" style="8" customWidth="1"/>
    <col min="7" max="7" width="9.1796875" style="8"/>
    <col min="8" max="9" width="15.26953125" style="8" customWidth="1"/>
    <col min="10" max="16384" width="9.1796875" style="8"/>
  </cols>
  <sheetData>
    <row r="1" spans="2:9" x14ac:dyDescent="0.25">
      <c r="B1" s="14"/>
      <c r="C1" s="49"/>
      <c r="D1" s="14"/>
      <c r="E1" s="14"/>
      <c r="F1" s="14"/>
      <c r="G1" s="14"/>
      <c r="H1" s="14"/>
      <c r="I1" s="14"/>
    </row>
    <row r="2" spans="2:9" x14ac:dyDescent="0.25">
      <c r="B2" s="220" t="s">
        <v>20</v>
      </c>
      <c r="C2" s="220"/>
      <c r="D2" s="220"/>
      <c r="E2" s="220"/>
      <c r="F2" s="220"/>
      <c r="G2" s="220"/>
      <c r="H2" s="220"/>
      <c r="I2" s="22"/>
    </row>
    <row r="3" spans="2:9" x14ac:dyDescent="0.25">
      <c r="B3" s="239" t="s">
        <v>68</v>
      </c>
      <c r="C3" s="239"/>
      <c r="D3" s="239"/>
      <c r="E3" s="239"/>
      <c r="F3" s="239"/>
      <c r="G3" s="239"/>
      <c r="H3" s="239"/>
      <c r="I3" s="23"/>
    </row>
    <row r="4" spans="2:9" x14ac:dyDescent="0.25">
      <c r="B4" s="10"/>
      <c r="C4" s="10"/>
      <c r="D4" s="10"/>
      <c r="E4" s="10"/>
      <c r="F4" s="10"/>
      <c r="G4" s="10"/>
      <c r="H4" s="10"/>
      <c r="I4" s="10"/>
    </row>
    <row r="5" spans="2:9" x14ac:dyDescent="0.25">
      <c r="B5" s="10"/>
      <c r="C5" s="10"/>
      <c r="D5" s="10"/>
      <c r="E5" s="10"/>
      <c r="F5" s="10"/>
      <c r="G5" s="10"/>
      <c r="H5" s="10"/>
      <c r="I5" s="10"/>
    </row>
    <row r="6" spans="2:9" x14ac:dyDescent="0.25">
      <c r="B6" s="14"/>
      <c r="C6" s="123" t="s">
        <v>69</v>
      </c>
      <c r="D6" s="289" t="s">
        <v>70</v>
      </c>
      <c r="E6" s="289"/>
      <c r="F6" s="289"/>
      <c r="G6" s="10"/>
      <c r="H6" s="10"/>
      <c r="I6" s="10"/>
    </row>
    <row r="7" spans="2:9" x14ac:dyDescent="0.25">
      <c r="B7" s="14"/>
      <c r="C7" s="123" t="s">
        <v>71</v>
      </c>
      <c r="D7" s="289" t="s">
        <v>72</v>
      </c>
      <c r="E7" s="289"/>
      <c r="F7" s="289"/>
      <c r="G7" s="10"/>
      <c r="H7" s="10"/>
      <c r="I7" s="10"/>
    </row>
    <row r="8" spans="2:9" x14ac:dyDescent="0.25">
      <c r="B8" s="14"/>
      <c r="C8" s="123" t="s">
        <v>44</v>
      </c>
      <c r="D8" s="290"/>
      <c r="E8" s="290"/>
      <c r="F8" s="290"/>
      <c r="G8" s="10"/>
      <c r="H8" s="10"/>
      <c r="I8" s="10"/>
    </row>
    <row r="9" spans="2:9" x14ac:dyDescent="0.25">
      <c r="B9" s="14"/>
      <c r="C9" s="123" t="s">
        <v>73</v>
      </c>
      <c r="D9" s="290"/>
      <c r="E9" s="290"/>
      <c r="F9" s="290"/>
      <c r="G9" s="10"/>
      <c r="H9" s="10"/>
      <c r="I9" s="10"/>
    </row>
    <row r="10" spans="2:9" x14ac:dyDescent="0.25">
      <c r="B10" s="14"/>
      <c r="C10" s="123" t="s">
        <v>45</v>
      </c>
      <c r="D10" s="289">
        <v>1</v>
      </c>
      <c r="E10" s="289"/>
      <c r="F10" s="289"/>
      <c r="G10" s="10"/>
      <c r="H10" s="10"/>
      <c r="I10" s="10"/>
    </row>
    <row r="11" spans="2:9" x14ac:dyDescent="0.25">
      <c r="B11" s="14"/>
      <c r="C11" s="123" t="s">
        <v>46</v>
      </c>
      <c r="D11" s="289">
        <v>1</v>
      </c>
      <c r="E11" s="289"/>
      <c r="F11" s="289"/>
      <c r="G11" s="10"/>
      <c r="H11" s="10"/>
      <c r="I11" s="10"/>
    </row>
    <row r="12" spans="2:9" x14ac:dyDescent="0.25">
      <c r="B12" s="10"/>
      <c r="C12" s="10"/>
      <c r="D12" s="10"/>
      <c r="E12" s="10"/>
      <c r="F12" s="10"/>
      <c r="G12" s="10"/>
      <c r="H12" s="10"/>
      <c r="I12" s="10"/>
    </row>
    <row r="13" spans="2:9" x14ac:dyDescent="0.25">
      <c r="B13" s="124" t="s">
        <v>74</v>
      </c>
      <c r="C13" s="124"/>
      <c r="D13" s="241" t="s">
        <v>30</v>
      </c>
      <c r="E13" s="242"/>
      <c r="F13" s="243"/>
      <c r="G13" s="14"/>
      <c r="H13" s="14"/>
      <c r="I13" s="12"/>
    </row>
    <row r="14" spans="2:9" x14ac:dyDescent="0.25">
      <c r="B14" s="10"/>
      <c r="C14" s="10"/>
      <c r="D14" s="10"/>
      <c r="E14" s="10"/>
      <c r="F14" s="10"/>
      <c r="G14" s="10"/>
      <c r="H14" s="10"/>
      <c r="I14" s="14"/>
    </row>
    <row r="15" spans="2:9" x14ac:dyDescent="0.25">
      <c r="B15" s="247" t="s">
        <v>75</v>
      </c>
      <c r="C15" s="247"/>
      <c r="D15" s="247"/>
      <c r="E15" s="247"/>
      <c r="F15" s="247"/>
      <c r="G15" s="28"/>
      <c r="H15" s="28"/>
      <c r="I15" s="9"/>
    </row>
    <row r="16" spans="2:9" x14ac:dyDescent="0.25">
      <c r="B16" s="236">
        <v>1</v>
      </c>
      <c r="C16" s="237" t="s">
        <v>76</v>
      </c>
      <c r="D16" s="237"/>
      <c r="E16" s="237"/>
      <c r="F16" s="237"/>
      <c r="G16" s="28"/>
      <c r="H16" s="28"/>
      <c r="I16" s="9"/>
    </row>
    <row r="17" spans="2:9" x14ac:dyDescent="0.25">
      <c r="B17" s="236"/>
      <c r="C17" s="238" t="s">
        <v>77</v>
      </c>
      <c r="D17" s="238"/>
      <c r="E17" s="238"/>
      <c r="F17" s="238"/>
      <c r="G17" s="28"/>
      <c r="H17" s="28"/>
      <c r="I17" s="9"/>
    </row>
    <row r="18" spans="2:9" x14ac:dyDescent="0.25">
      <c r="B18" s="236">
        <v>2</v>
      </c>
      <c r="C18" s="237" t="s">
        <v>78</v>
      </c>
      <c r="D18" s="237"/>
      <c r="E18" s="237"/>
      <c r="F18" s="237"/>
      <c r="G18" s="28"/>
      <c r="H18" s="28"/>
      <c r="I18" s="9"/>
    </row>
    <row r="19" spans="2:9" x14ac:dyDescent="0.25">
      <c r="B19" s="236"/>
      <c r="C19" s="238"/>
      <c r="D19" s="238"/>
      <c r="E19" s="238"/>
      <c r="F19" s="238"/>
      <c r="G19" s="28"/>
      <c r="H19" s="28"/>
      <c r="I19" s="9"/>
    </row>
    <row r="20" spans="2:9" x14ac:dyDescent="0.25">
      <c r="B20" s="236">
        <v>3</v>
      </c>
      <c r="C20" s="237" t="s">
        <v>79</v>
      </c>
      <c r="D20" s="237"/>
      <c r="E20" s="237"/>
      <c r="F20" s="237"/>
      <c r="G20" s="28"/>
      <c r="H20" s="28"/>
      <c r="I20" s="9"/>
    </row>
    <row r="21" spans="2:9" x14ac:dyDescent="0.25">
      <c r="B21" s="236"/>
      <c r="C21" s="248">
        <v>60</v>
      </c>
      <c r="D21" s="248"/>
      <c r="E21" s="248"/>
      <c r="F21" s="248"/>
      <c r="G21" s="28"/>
      <c r="H21" s="28"/>
      <c r="I21" s="9"/>
    </row>
    <row r="22" spans="2:9" x14ac:dyDescent="0.25">
      <c r="B22" s="236">
        <v>4</v>
      </c>
      <c r="C22" s="237" t="s">
        <v>80</v>
      </c>
      <c r="D22" s="237"/>
      <c r="E22" s="237"/>
      <c r="F22" s="237"/>
      <c r="G22" s="28"/>
      <c r="H22" s="28"/>
      <c r="I22" s="9"/>
    </row>
    <row r="23" spans="2:9" x14ac:dyDescent="0.25">
      <c r="B23" s="236"/>
      <c r="C23" s="238"/>
      <c r="D23" s="238"/>
      <c r="E23" s="238"/>
      <c r="F23" s="238"/>
      <c r="G23" s="28"/>
      <c r="H23" s="28"/>
      <c r="I23" s="9"/>
    </row>
    <row r="24" spans="2:9" x14ac:dyDescent="0.25">
      <c r="B24" s="236">
        <v>5</v>
      </c>
      <c r="C24" s="237" t="s">
        <v>81</v>
      </c>
      <c r="D24" s="237"/>
      <c r="E24" s="237"/>
      <c r="F24" s="237"/>
      <c r="G24" s="28"/>
      <c r="H24" s="28"/>
      <c r="I24" s="9"/>
    </row>
    <row r="25" spans="2:9" x14ac:dyDescent="0.25">
      <c r="B25" s="236"/>
      <c r="C25" s="248" t="s">
        <v>66</v>
      </c>
      <c r="D25" s="248"/>
      <c r="E25" s="248"/>
      <c r="F25" s="248"/>
      <c r="G25" s="28"/>
      <c r="H25" s="28"/>
      <c r="I25" s="9"/>
    </row>
    <row r="26" spans="2:9" x14ac:dyDescent="0.25">
      <c r="B26" s="236">
        <v>6</v>
      </c>
      <c r="C26" s="237" t="s">
        <v>82</v>
      </c>
      <c r="D26" s="237"/>
      <c r="E26" s="237"/>
      <c r="F26" s="237"/>
      <c r="G26" s="28"/>
      <c r="H26" s="28"/>
      <c r="I26" s="9"/>
    </row>
    <row r="27" spans="2:9" x14ac:dyDescent="0.25">
      <c r="B27" s="236"/>
      <c r="C27" s="238"/>
      <c r="D27" s="238"/>
      <c r="E27" s="238"/>
      <c r="F27" s="238"/>
      <c r="G27" s="28"/>
      <c r="H27" s="28"/>
      <c r="I27" s="9"/>
    </row>
    <row r="28" spans="2:9" x14ac:dyDescent="0.25">
      <c r="B28" s="236">
        <v>7</v>
      </c>
      <c r="C28" s="237" t="s">
        <v>83</v>
      </c>
      <c r="D28" s="237"/>
      <c r="E28" s="237"/>
      <c r="F28" s="237"/>
      <c r="G28" s="28"/>
      <c r="H28" s="28"/>
      <c r="I28" s="9"/>
    </row>
    <row r="29" spans="2:9" x14ac:dyDescent="0.25">
      <c r="B29" s="236"/>
      <c r="C29" s="248" t="s">
        <v>84</v>
      </c>
      <c r="D29" s="248"/>
      <c r="E29" s="248"/>
      <c r="F29" s="248"/>
      <c r="G29" s="28"/>
      <c r="H29" s="28"/>
      <c r="I29" s="9"/>
    </row>
    <row r="30" spans="2:9" x14ac:dyDescent="0.25">
      <c r="B30" s="236">
        <v>8</v>
      </c>
      <c r="C30" s="237" t="s">
        <v>85</v>
      </c>
      <c r="D30" s="237"/>
      <c r="E30" s="237"/>
      <c r="F30" s="237"/>
      <c r="G30" s="28"/>
      <c r="H30" s="28"/>
      <c r="I30" s="9"/>
    </row>
    <row r="31" spans="2:9" x14ac:dyDescent="0.25">
      <c r="B31" s="236"/>
      <c r="C31" s="249"/>
      <c r="D31" s="249"/>
      <c r="E31" s="249"/>
      <c r="F31" s="249"/>
      <c r="G31" s="28"/>
      <c r="H31" s="28"/>
      <c r="I31" s="9"/>
    </row>
    <row r="32" spans="2:9" x14ac:dyDescent="0.25">
      <c r="B32" s="236">
        <v>9</v>
      </c>
      <c r="C32" s="237" t="s">
        <v>86</v>
      </c>
      <c r="D32" s="237"/>
      <c r="E32" s="237"/>
      <c r="F32" s="237"/>
      <c r="G32" s="28"/>
      <c r="H32" s="28"/>
      <c r="I32" s="9"/>
    </row>
    <row r="33" spans="2:9" x14ac:dyDescent="0.25">
      <c r="B33" s="236"/>
      <c r="C33" s="238"/>
      <c r="D33" s="238"/>
      <c r="E33" s="238"/>
      <c r="F33" s="238"/>
      <c r="G33" s="28"/>
      <c r="H33" s="28"/>
      <c r="I33" s="9"/>
    </row>
    <row r="34" spans="2:9" x14ac:dyDescent="0.25">
      <c r="B34" s="236">
        <v>10</v>
      </c>
      <c r="C34" s="237" t="s">
        <v>87</v>
      </c>
      <c r="D34" s="237"/>
      <c r="E34" s="237"/>
      <c r="F34" s="237"/>
      <c r="G34" s="28"/>
      <c r="H34" s="28"/>
      <c r="I34" s="9"/>
    </row>
    <row r="35" spans="2:9" x14ac:dyDescent="0.25">
      <c r="B35" s="236"/>
      <c r="C35" s="238"/>
      <c r="D35" s="238"/>
      <c r="E35" s="238"/>
      <c r="F35" s="238"/>
      <c r="G35" s="28"/>
      <c r="H35" s="28"/>
      <c r="I35" s="9"/>
    </row>
    <row r="36" spans="2:9" x14ac:dyDescent="0.25">
      <c r="B36" s="236">
        <v>11</v>
      </c>
      <c r="C36" s="237" t="s">
        <v>88</v>
      </c>
      <c r="D36" s="237"/>
      <c r="E36" s="237"/>
      <c r="F36" s="237"/>
      <c r="G36" s="28"/>
      <c r="H36" s="28"/>
      <c r="I36" s="9"/>
    </row>
    <row r="37" spans="2:9" x14ac:dyDescent="0.25">
      <c r="B37" s="236"/>
      <c r="C37" s="238"/>
      <c r="D37" s="238"/>
      <c r="E37" s="238"/>
      <c r="F37" s="238"/>
      <c r="G37" s="28"/>
      <c r="H37" s="28"/>
      <c r="I37" s="9"/>
    </row>
    <row r="38" spans="2:9" x14ac:dyDescent="0.25">
      <c r="B38" s="236">
        <v>12</v>
      </c>
      <c r="C38" s="237" t="s">
        <v>89</v>
      </c>
      <c r="D38" s="237"/>
      <c r="E38" s="237"/>
      <c r="F38" s="237"/>
      <c r="G38" s="28"/>
      <c r="H38" s="28"/>
      <c r="I38" s="9"/>
    </row>
    <row r="39" spans="2:9" x14ac:dyDescent="0.25">
      <c r="B39" s="236"/>
      <c r="C39" s="238"/>
      <c r="D39" s="238"/>
      <c r="E39" s="238"/>
      <c r="F39" s="238"/>
      <c r="G39" s="28"/>
      <c r="H39" s="28"/>
      <c r="I39" s="9"/>
    </row>
    <row r="40" spans="2:9" x14ac:dyDescent="0.25">
      <c r="B40" s="12"/>
      <c r="C40" s="12"/>
      <c r="D40" s="12"/>
      <c r="E40" s="12"/>
      <c r="F40" s="12"/>
      <c r="G40" s="12"/>
      <c r="H40" s="125" t="s">
        <v>90</v>
      </c>
      <c r="I40" s="14"/>
    </row>
    <row r="41" spans="2:9" x14ac:dyDescent="0.25">
      <c r="B41" s="254" t="s">
        <v>91</v>
      </c>
      <c r="C41" s="255"/>
      <c r="D41" s="255"/>
      <c r="E41" s="255"/>
      <c r="F41" s="255"/>
      <c r="G41" s="126"/>
      <c r="H41" s="127"/>
      <c r="I41" s="22"/>
    </row>
    <row r="42" spans="2:9" x14ac:dyDescent="0.25">
      <c r="B42" s="128">
        <v>1</v>
      </c>
      <c r="C42" s="231" t="s">
        <v>92</v>
      </c>
      <c r="D42" s="240"/>
      <c r="E42" s="240"/>
      <c r="F42" s="232"/>
      <c r="G42" s="29" t="s">
        <v>93</v>
      </c>
      <c r="H42" s="29" t="s">
        <v>94</v>
      </c>
      <c r="I42" s="22"/>
    </row>
    <row r="43" spans="2:9" ht="12.75" customHeight="1" x14ac:dyDescent="0.25">
      <c r="B43" s="129" t="s">
        <v>95</v>
      </c>
      <c r="C43" s="130" t="s">
        <v>96</v>
      </c>
      <c r="D43" s="244"/>
      <c r="E43" s="245"/>
      <c r="F43" s="246"/>
      <c r="G43" s="131"/>
      <c r="H43" s="132">
        <v>2352.04</v>
      </c>
      <c r="I43" s="24"/>
    </row>
    <row r="44" spans="2:9" x14ac:dyDescent="0.25">
      <c r="B44" s="129" t="s">
        <v>97</v>
      </c>
      <c r="C44" s="130" t="s">
        <v>98</v>
      </c>
      <c r="D44" s="244" t="s">
        <v>99</v>
      </c>
      <c r="E44" s="245"/>
      <c r="F44" s="246"/>
      <c r="G44" s="133"/>
      <c r="H44" s="134">
        <f>TRUNC(H$43*$G44,2)</f>
        <v>0</v>
      </c>
      <c r="I44" s="24"/>
    </row>
    <row r="45" spans="2:9" x14ac:dyDescent="0.25">
      <c r="B45" s="129" t="s">
        <v>100</v>
      </c>
      <c r="C45" s="135" t="s">
        <v>101</v>
      </c>
      <c r="D45" s="136" t="s">
        <v>102</v>
      </c>
      <c r="E45" s="137" t="s">
        <v>103</v>
      </c>
      <c r="F45" s="138">
        <v>1518</v>
      </c>
      <c r="G45" s="133"/>
      <c r="H45" s="134">
        <f>TRUNC(F$45*$G45,2)</f>
        <v>0</v>
      </c>
      <c r="I45" s="24"/>
    </row>
    <row r="46" spans="2:9" x14ac:dyDescent="0.25">
      <c r="B46" s="129" t="s">
        <v>104</v>
      </c>
      <c r="C46" s="135" t="s">
        <v>105</v>
      </c>
      <c r="D46" s="244" t="s">
        <v>106</v>
      </c>
      <c r="E46" s="245"/>
      <c r="F46" s="246"/>
      <c r="G46" s="139"/>
      <c r="H46" s="140">
        <f>TRUNC(((H$43+H44)*$G46)/220*8*15,2)</f>
        <v>0</v>
      </c>
      <c r="I46" s="24"/>
    </row>
    <row r="47" spans="2:9" x14ac:dyDescent="0.25">
      <c r="B47" s="141" t="s">
        <v>107</v>
      </c>
      <c r="C47" s="142" t="s">
        <v>108</v>
      </c>
      <c r="D47" s="251" t="s">
        <v>106</v>
      </c>
      <c r="E47" s="252"/>
      <c r="F47" s="253"/>
      <c r="G47" s="143"/>
      <c r="H47" s="144">
        <f>TRUNC(((H43+H44)*$G47)/220*1*15,2)</f>
        <v>0</v>
      </c>
      <c r="I47" s="27" t="s">
        <v>109</v>
      </c>
    </row>
    <row r="48" spans="2:9" x14ac:dyDescent="0.25">
      <c r="B48" s="145" t="s">
        <v>110</v>
      </c>
      <c r="C48" s="142" t="s">
        <v>111</v>
      </c>
      <c r="D48" s="251" t="s">
        <v>112</v>
      </c>
      <c r="E48" s="252"/>
      <c r="F48" s="253"/>
      <c r="G48" s="146"/>
      <c r="H48" s="144">
        <f>TRUNC($G$52*H52*(1+$G$48),2)</f>
        <v>0</v>
      </c>
      <c r="I48" s="27" t="s">
        <v>109</v>
      </c>
    </row>
    <row r="49" spans="2:9" x14ac:dyDescent="0.25">
      <c r="B49" s="129" t="s">
        <v>113</v>
      </c>
      <c r="C49" s="135" t="s">
        <v>114</v>
      </c>
      <c r="D49" s="244"/>
      <c r="E49" s="245"/>
      <c r="F49" s="246"/>
      <c r="G49" s="139"/>
      <c r="H49" s="147"/>
      <c r="I49" s="42"/>
    </row>
    <row r="50" spans="2:9" x14ac:dyDescent="0.25">
      <c r="B50" s="129" t="s">
        <v>115</v>
      </c>
      <c r="C50" s="231" t="s">
        <v>33</v>
      </c>
      <c r="D50" s="240"/>
      <c r="E50" s="240"/>
      <c r="F50" s="232"/>
      <c r="G50" s="148"/>
      <c r="H50" s="149">
        <f>SUM(H43:H49)</f>
        <v>2352.04</v>
      </c>
      <c r="I50" s="13"/>
    </row>
    <row r="51" spans="2:9" ht="23" x14ac:dyDescent="0.25">
      <c r="B51" s="22"/>
      <c r="C51" s="250" t="s">
        <v>116</v>
      </c>
      <c r="D51" s="250"/>
      <c r="E51" s="250"/>
      <c r="F51" s="250"/>
      <c r="G51" s="150" t="s">
        <v>117</v>
      </c>
      <c r="H51" s="151" t="s">
        <v>118</v>
      </c>
      <c r="I51" s="43"/>
    </row>
    <row r="52" spans="2:9" x14ac:dyDescent="0.25">
      <c r="B52" s="22"/>
      <c r="C52" s="250"/>
      <c r="D52" s="250"/>
      <c r="E52" s="250"/>
      <c r="F52" s="250"/>
      <c r="G52" s="152"/>
      <c r="H52" s="153">
        <f>IF($G$52="",0,TRUNC((H43+H44+H45)/220,2))</f>
        <v>0</v>
      </c>
      <c r="I52" s="44"/>
    </row>
    <row r="53" spans="2:9" x14ac:dyDescent="0.25">
      <c r="B53" s="22"/>
      <c r="C53" s="22"/>
      <c r="D53" s="22"/>
      <c r="E53" s="22"/>
      <c r="F53" s="22"/>
      <c r="G53" s="22"/>
      <c r="H53" s="13"/>
      <c r="I53" s="13"/>
    </row>
    <row r="54" spans="2:9" ht="12.75" customHeight="1" x14ac:dyDescent="0.25">
      <c r="B54" s="254" t="s">
        <v>119</v>
      </c>
      <c r="C54" s="255"/>
      <c r="D54" s="255"/>
      <c r="E54" s="255"/>
      <c r="F54" s="255"/>
      <c r="G54" s="126"/>
      <c r="H54" s="127"/>
      <c r="I54" s="22"/>
    </row>
    <row r="55" spans="2:9" x14ac:dyDescent="0.25">
      <c r="B55" s="267"/>
      <c r="C55" s="268"/>
      <c r="D55" s="268"/>
      <c r="E55" s="268"/>
      <c r="F55" s="268"/>
      <c r="G55" s="34"/>
      <c r="H55" s="34"/>
      <c r="I55" s="22"/>
    </row>
    <row r="56" spans="2:9" x14ac:dyDescent="0.25">
      <c r="B56" s="295" t="s">
        <v>120</v>
      </c>
      <c r="C56" s="295"/>
      <c r="D56" s="295"/>
      <c r="E56" s="295"/>
      <c r="F56" s="295"/>
      <c r="G56" s="34"/>
      <c r="H56" s="34"/>
      <c r="I56" s="22"/>
    </row>
    <row r="57" spans="2:9" x14ac:dyDescent="0.25">
      <c r="B57" s="29" t="s">
        <v>121</v>
      </c>
      <c r="C57" s="264" t="s">
        <v>122</v>
      </c>
      <c r="D57" s="265"/>
      <c r="E57" s="265"/>
      <c r="F57" s="266"/>
      <c r="G57" s="128" t="s">
        <v>93</v>
      </c>
      <c r="H57" s="128" t="s">
        <v>94</v>
      </c>
      <c r="I57" s="22"/>
    </row>
    <row r="58" spans="2:9" x14ac:dyDescent="0.25">
      <c r="B58" s="129" t="s">
        <v>95</v>
      </c>
      <c r="C58" s="130" t="s">
        <v>123</v>
      </c>
      <c r="D58" s="244" t="s">
        <v>124</v>
      </c>
      <c r="E58" s="245"/>
      <c r="F58" s="246"/>
      <c r="G58" s="32">
        <f>1/12</f>
        <v>8.3333333333333329E-2</v>
      </c>
      <c r="H58" s="33">
        <f>TRUNC((H$50*$G58),2)</f>
        <v>196</v>
      </c>
      <c r="I58" s="24"/>
    </row>
    <row r="59" spans="2:9" x14ac:dyDescent="0.25">
      <c r="B59" s="129" t="s">
        <v>97</v>
      </c>
      <c r="C59" s="130" t="s">
        <v>125</v>
      </c>
      <c r="D59" s="244" t="s">
        <v>126</v>
      </c>
      <c r="E59" s="245"/>
      <c r="F59" s="246"/>
      <c r="G59" s="154">
        <f>(1/12)+(1/3/12)</f>
        <v>0.1111111111111111</v>
      </c>
      <c r="H59" s="155">
        <f>TRUNC((H$50*$G59),2)</f>
        <v>261.33</v>
      </c>
      <c r="I59" s="24"/>
    </row>
    <row r="60" spans="2:9" x14ac:dyDescent="0.25">
      <c r="B60" s="129" t="s">
        <v>127</v>
      </c>
      <c r="C60" s="231" t="s">
        <v>33</v>
      </c>
      <c r="D60" s="240"/>
      <c r="E60" s="240"/>
      <c r="F60" s="232"/>
      <c r="G60" s="156">
        <f>TRUNC(SUM(G58:G59),4)</f>
        <v>0.19439999999999999</v>
      </c>
      <c r="H60" s="149">
        <f>SUM(H58:H59)</f>
        <v>457.33</v>
      </c>
      <c r="I60" s="13"/>
    </row>
    <row r="61" spans="2:9" x14ac:dyDescent="0.25">
      <c r="B61" s="267"/>
      <c r="C61" s="268"/>
      <c r="D61" s="268"/>
      <c r="E61" s="268"/>
      <c r="F61" s="268"/>
      <c r="G61" s="268"/>
      <c r="H61" s="269"/>
      <c r="I61" s="22"/>
    </row>
    <row r="62" spans="2:9" ht="30" customHeight="1" x14ac:dyDescent="0.25">
      <c r="B62" s="273" t="s">
        <v>128</v>
      </c>
      <c r="C62" s="274"/>
      <c r="D62" s="274"/>
      <c r="E62" s="274"/>
      <c r="F62" s="275"/>
      <c r="G62" s="30"/>
      <c r="H62" s="31"/>
      <c r="I62" s="25"/>
    </row>
    <row r="63" spans="2:9" x14ac:dyDescent="0.25">
      <c r="B63" s="128" t="s">
        <v>129</v>
      </c>
      <c r="C63" s="231" t="s">
        <v>130</v>
      </c>
      <c r="D63" s="240"/>
      <c r="E63" s="240"/>
      <c r="F63" s="232"/>
      <c r="G63" s="128" t="s">
        <v>93</v>
      </c>
      <c r="H63" s="128" t="s">
        <v>94</v>
      </c>
      <c r="I63" s="22"/>
    </row>
    <row r="64" spans="2:9" x14ac:dyDescent="0.25">
      <c r="B64" s="129" t="s">
        <v>95</v>
      </c>
      <c r="C64" s="130" t="s">
        <v>131</v>
      </c>
      <c r="D64" s="244" t="s">
        <v>132</v>
      </c>
      <c r="E64" s="245"/>
      <c r="F64" s="246"/>
      <c r="G64" s="154">
        <v>0.2</v>
      </c>
      <c r="H64" s="155">
        <f>TRUNC((H$50+H$60)*$G64,2)</f>
        <v>561.87</v>
      </c>
      <c r="I64" s="24"/>
    </row>
    <row r="65" spans="2:9" x14ac:dyDescent="0.25">
      <c r="B65" s="129" t="s">
        <v>97</v>
      </c>
      <c r="C65" s="157" t="s">
        <v>133</v>
      </c>
      <c r="D65" s="244" t="s">
        <v>134</v>
      </c>
      <c r="E65" s="245"/>
      <c r="F65" s="246"/>
      <c r="G65" s="154">
        <v>2.5000000000000001E-2</v>
      </c>
      <c r="H65" s="155">
        <f>TRUNC((H$50+H$60)*$G65,2)</f>
        <v>70.23</v>
      </c>
      <c r="I65" s="24"/>
    </row>
    <row r="66" spans="2:9" x14ac:dyDescent="0.25">
      <c r="B66" s="259" t="s">
        <v>100</v>
      </c>
      <c r="C66" s="261" t="s">
        <v>135</v>
      </c>
      <c r="D66" s="263" t="s">
        <v>136</v>
      </c>
      <c r="E66" s="204" t="s">
        <v>137</v>
      </c>
      <c r="F66" s="204" t="s">
        <v>138</v>
      </c>
      <c r="G66" s="270">
        <f>E67*F67</f>
        <v>0.03</v>
      </c>
      <c r="H66" s="272">
        <f>TRUNC((H$50+H$60)*$G66,2)</f>
        <v>84.28</v>
      </c>
      <c r="I66" s="42"/>
    </row>
    <row r="67" spans="2:9" x14ac:dyDescent="0.25">
      <c r="B67" s="260"/>
      <c r="C67" s="262"/>
      <c r="D67" s="263"/>
      <c r="E67" s="3">
        <v>0.03</v>
      </c>
      <c r="F67" s="4">
        <v>1</v>
      </c>
      <c r="G67" s="271"/>
      <c r="H67" s="272"/>
      <c r="I67" s="42"/>
    </row>
    <row r="68" spans="2:9" x14ac:dyDescent="0.25">
      <c r="B68" s="129" t="s">
        <v>104</v>
      </c>
      <c r="C68" s="130" t="s">
        <v>139</v>
      </c>
      <c r="D68" s="244" t="s">
        <v>140</v>
      </c>
      <c r="E68" s="245"/>
      <c r="F68" s="246"/>
      <c r="G68" s="154">
        <v>1.4999999999999999E-2</v>
      </c>
      <c r="H68" s="155">
        <f>TRUNC((H$50+H$60)*$G68,2)</f>
        <v>42.14</v>
      </c>
      <c r="I68" s="24"/>
    </row>
    <row r="69" spans="2:9" x14ac:dyDescent="0.25">
      <c r="B69" s="129" t="s">
        <v>107</v>
      </c>
      <c r="C69" s="130" t="s">
        <v>141</v>
      </c>
      <c r="D69" s="244" t="s">
        <v>142</v>
      </c>
      <c r="E69" s="245"/>
      <c r="F69" s="246"/>
      <c r="G69" s="154">
        <v>0.01</v>
      </c>
      <c r="H69" s="155">
        <f>TRUNC((H$50+H$60)*$G69,2)</f>
        <v>28.09</v>
      </c>
      <c r="I69" s="24"/>
    </row>
    <row r="70" spans="2:9" x14ac:dyDescent="0.25">
      <c r="B70" s="129" t="s">
        <v>110</v>
      </c>
      <c r="C70" s="130" t="s">
        <v>143</v>
      </c>
      <c r="D70" s="244" t="s">
        <v>144</v>
      </c>
      <c r="E70" s="245"/>
      <c r="F70" s="246"/>
      <c r="G70" s="154">
        <v>6.0000000000000001E-3</v>
      </c>
      <c r="H70" s="155">
        <f>TRUNC((H$50+H$60)*$G70,2)</f>
        <v>16.850000000000001</v>
      </c>
      <c r="I70" s="24"/>
    </row>
    <row r="71" spans="2:9" x14ac:dyDescent="0.25">
      <c r="B71" s="129" t="s">
        <v>113</v>
      </c>
      <c r="C71" s="130" t="s">
        <v>145</v>
      </c>
      <c r="D71" s="244" t="s">
        <v>146</v>
      </c>
      <c r="E71" s="245"/>
      <c r="F71" s="246"/>
      <c r="G71" s="154">
        <v>2E-3</v>
      </c>
      <c r="H71" s="155">
        <f>TRUNC((H$50+H$60)*$G71,2)</f>
        <v>5.61</v>
      </c>
      <c r="I71" s="24"/>
    </row>
    <row r="72" spans="2:9" x14ac:dyDescent="0.25">
      <c r="B72" s="129" t="s">
        <v>147</v>
      </c>
      <c r="C72" s="130" t="s">
        <v>148</v>
      </c>
      <c r="D72" s="244" t="s">
        <v>149</v>
      </c>
      <c r="E72" s="245"/>
      <c r="F72" s="246"/>
      <c r="G72" s="154">
        <v>0.08</v>
      </c>
      <c r="H72" s="155">
        <f>TRUNC((H$50+H$60)*$G72,2)</f>
        <v>224.74</v>
      </c>
      <c r="I72" s="24"/>
    </row>
    <row r="73" spans="2:9" x14ac:dyDescent="0.25">
      <c r="B73" s="129" t="s">
        <v>150</v>
      </c>
      <c r="C73" s="231" t="s">
        <v>33</v>
      </c>
      <c r="D73" s="240"/>
      <c r="E73" s="240"/>
      <c r="F73" s="232"/>
      <c r="G73" s="80">
        <f>SUM(G64:G72)</f>
        <v>0.36800000000000005</v>
      </c>
      <c r="H73" s="149">
        <f>SUM(H64:H72)</f>
        <v>1033.81</v>
      </c>
      <c r="I73" s="13"/>
    </row>
    <row r="74" spans="2:9" x14ac:dyDescent="0.25">
      <c r="B74" s="276"/>
      <c r="C74" s="277"/>
      <c r="D74" s="277"/>
      <c r="E74" s="277"/>
      <c r="F74" s="277"/>
      <c r="G74" s="277"/>
      <c r="H74" s="278"/>
      <c r="I74" s="25"/>
    </row>
    <row r="75" spans="2:9" ht="12.75" customHeight="1" x14ac:dyDescent="0.25">
      <c r="B75" s="273" t="s">
        <v>151</v>
      </c>
      <c r="C75" s="274"/>
      <c r="D75" s="274"/>
      <c r="E75" s="274"/>
      <c r="F75" s="275"/>
      <c r="G75" s="30"/>
      <c r="H75" s="31"/>
      <c r="I75" s="25"/>
    </row>
    <row r="76" spans="2:9" x14ac:dyDescent="0.25">
      <c r="B76" s="128" t="s">
        <v>152</v>
      </c>
      <c r="C76" s="231" t="s">
        <v>153</v>
      </c>
      <c r="D76" s="240"/>
      <c r="E76" s="240"/>
      <c r="F76" s="240"/>
      <c r="G76" s="81"/>
      <c r="H76" s="128" t="s">
        <v>94</v>
      </c>
      <c r="I76" s="22"/>
    </row>
    <row r="77" spans="2:9" ht="12.75" customHeight="1" x14ac:dyDescent="0.25">
      <c r="B77" s="129" t="s">
        <v>95</v>
      </c>
      <c r="C77" s="130" t="s">
        <v>154</v>
      </c>
      <c r="D77" s="136" t="s">
        <v>155</v>
      </c>
      <c r="E77" s="235" t="s">
        <v>156</v>
      </c>
      <c r="F77" s="235"/>
      <c r="G77" s="82">
        <v>10.71</v>
      </c>
      <c r="H77" s="83">
        <f>IF((TRUNC((G77*2*22)-(H$43*6%),2))&lt;0,"0,00",(TRUNC((G77*2*22)-(H$43*6%),2)))</f>
        <v>330.11</v>
      </c>
      <c r="I77" s="45"/>
    </row>
    <row r="78" spans="2:9" ht="12.75" customHeight="1" x14ac:dyDescent="0.25">
      <c r="B78" s="129" t="s">
        <v>97</v>
      </c>
      <c r="C78" s="130" t="s">
        <v>157</v>
      </c>
      <c r="D78" s="158" t="s">
        <v>158</v>
      </c>
      <c r="E78" s="159"/>
      <c r="F78" s="159"/>
      <c r="G78" s="160"/>
      <c r="H78" s="83">
        <f>30*22</f>
        <v>660</v>
      </c>
      <c r="I78" s="45"/>
    </row>
    <row r="79" spans="2:9" x14ac:dyDescent="0.25">
      <c r="B79" s="129" t="s">
        <v>100</v>
      </c>
      <c r="C79" s="130" t="s">
        <v>244</v>
      </c>
      <c r="D79" s="158"/>
      <c r="E79" s="159"/>
      <c r="F79" s="159"/>
      <c r="G79" s="160"/>
      <c r="H79" s="83">
        <v>186.18</v>
      </c>
      <c r="I79" s="45"/>
    </row>
    <row r="80" spans="2:9" s="14" customFormat="1" x14ac:dyDescent="0.25">
      <c r="B80" s="129" t="s">
        <v>104</v>
      </c>
      <c r="C80" s="130" t="s">
        <v>160</v>
      </c>
      <c r="D80" s="158"/>
      <c r="E80" s="159"/>
      <c r="F80" s="159"/>
      <c r="G80" s="160"/>
      <c r="H80" s="83">
        <f>(H43*(1+4.76794%))*40%</f>
        <v>985.67354239040003</v>
      </c>
      <c r="I80" s="45"/>
    </row>
    <row r="81" spans="2:9" s="14" customFormat="1" x14ac:dyDescent="0.25">
      <c r="B81" s="129" t="s">
        <v>107</v>
      </c>
      <c r="C81" s="130" t="s">
        <v>245</v>
      </c>
      <c r="D81" s="158"/>
      <c r="E81" s="159"/>
      <c r="F81" s="159"/>
      <c r="G81" s="160"/>
      <c r="H81" s="83">
        <f>(13.36+12.42+16.97)/3</f>
        <v>14.25</v>
      </c>
      <c r="I81" s="45"/>
    </row>
    <row r="82" spans="2:9" s="14" customFormat="1" x14ac:dyDescent="0.25">
      <c r="B82" s="129" t="s">
        <v>147</v>
      </c>
      <c r="C82" s="130" t="s">
        <v>114</v>
      </c>
      <c r="D82" s="158"/>
      <c r="E82" s="159"/>
      <c r="F82" s="159"/>
      <c r="G82" s="160"/>
      <c r="H82" s="83"/>
      <c r="I82" s="45"/>
    </row>
    <row r="83" spans="2:9" x14ac:dyDescent="0.25">
      <c r="B83" s="129" t="s">
        <v>164</v>
      </c>
      <c r="C83" s="231" t="s">
        <v>33</v>
      </c>
      <c r="D83" s="240"/>
      <c r="E83" s="240"/>
      <c r="F83" s="240"/>
      <c r="G83" s="81"/>
      <c r="H83" s="149">
        <f>SUM(H77:H80)</f>
        <v>2161.9635423904001</v>
      </c>
      <c r="I83" s="13"/>
    </row>
    <row r="84" spans="2:9" x14ac:dyDescent="0.25">
      <c r="B84" s="267"/>
      <c r="C84" s="268"/>
      <c r="D84" s="268"/>
      <c r="E84" s="268"/>
      <c r="F84" s="268"/>
      <c r="G84" s="268"/>
      <c r="H84" s="269"/>
      <c r="I84" s="22"/>
    </row>
    <row r="85" spans="2:9" x14ac:dyDescent="0.25">
      <c r="B85" s="280" t="s">
        <v>165</v>
      </c>
      <c r="C85" s="281"/>
      <c r="D85" s="281"/>
      <c r="E85" s="281"/>
      <c r="F85" s="281"/>
      <c r="G85" s="34"/>
      <c r="H85" s="34"/>
      <c r="I85" s="22"/>
    </row>
    <row r="86" spans="2:9" x14ac:dyDescent="0.25">
      <c r="B86" s="128">
        <v>2</v>
      </c>
      <c r="C86" s="231" t="s">
        <v>166</v>
      </c>
      <c r="D86" s="240"/>
      <c r="E86" s="240"/>
      <c r="F86" s="240"/>
      <c r="G86" s="81"/>
      <c r="H86" s="128" t="s">
        <v>94</v>
      </c>
      <c r="I86" s="22"/>
    </row>
    <row r="87" spans="2:9" x14ac:dyDescent="0.25">
      <c r="B87" s="129" t="s">
        <v>121</v>
      </c>
      <c r="C87" s="86" t="s">
        <v>122</v>
      </c>
      <c r="D87" s="158" t="s">
        <v>127</v>
      </c>
      <c r="E87" s="159"/>
      <c r="F87" s="159"/>
      <c r="G87" s="160"/>
      <c r="H87" s="155">
        <f>H60</f>
        <v>457.33</v>
      </c>
      <c r="I87" s="24"/>
    </row>
    <row r="88" spans="2:9" x14ac:dyDescent="0.25">
      <c r="B88" s="129" t="s">
        <v>129</v>
      </c>
      <c r="C88" s="86" t="s">
        <v>167</v>
      </c>
      <c r="D88" s="158" t="s">
        <v>150</v>
      </c>
      <c r="E88" s="159"/>
      <c r="F88" s="159"/>
      <c r="G88" s="160"/>
      <c r="H88" s="155">
        <f>H73</f>
        <v>1033.81</v>
      </c>
      <c r="I88" s="24"/>
    </row>
    <row r="89" spans="2:9" x14ac:dyDescent="0.25">
      <c r="B89" s="129" t="s">
        <v>152</v>
      </c>
      <c r="C89" s="86" t="s">
        <v>153</v>
      </c>
      <c r="D89" s="158" t="s">
        <v>164</v>
      </c>
      <c r="E89" s="159"/>
      <c r="F89" s="159"/>
      <c r="G89" s="160"/>
      <c r="H89" s="155">
        <f>H83</f>
        <v>2161.9635423904001</v>
      </c>
      <c r="I89" s="24"/>
    </row>
    <row r="90" spans="2:9" x14ac:dyDescent="0.25">
      <c r="B90" s="129" t="s">
        <v>168</v>
      </c>
      <c r="C90" s="231" t="s">
        <v>33</v>
      </c>
      <c r="D90" s="240"/>
      <c r="E90" s="240"/>
      <c r="F90" s="240"/>
      <c r="G90" s="81"/>
      <c r="H90" s="149">
        <f>SUM(H87:H89)</f>
        <v>3653.1035423904</v>
      </c>
      <c r="I90" s="13"/>
    </row>
    <row r="91" spans="2:9" x14ac:dyDescent="0.25">
      <c r="B91" s="268"/>
      <c r="C91" s="268"/>
      <c r="D91" s="268"/>
      <c r="E91" s="268"/>
      <c r="F91" s="268"/>
      <c r="G91" s="268"/>
      <c r="H91" s="268"/>
      <c r="I91" s="22"/>
    </row>
    <row r="92" spans="2:9" x14ac:dyDescent="0.25">
      <c r="B92" s="22"/>
      <c r="C92" s="22"/>
      <c r="D92" s="22"/>
      <c r="E92" s="22"/>
      <c r="F92" s="22"/>
      <c r="G92" s="22"/>
      <c r="H92" s="22"/>
      <c r="I92" s="22"/>
    </row>
    <row r="93" spans="2:9" x14ac:dyDescent="0.25">
      <c r="B93" s="254" t="s">
        <v>169</v>
      </c>
      <c r="C93" s="255"/>
      <c r="D93" s="255"/>
      <c r="E93" s="255"/>
      <c r="F93" s="279"/>
      <c r="G93" s="126"/>
      <c r="H93" s="127"/>
      <c r="I93" s="22"/>
    </row>
    <row r="94" spans="2:9" x14ac:dyDescent="0.25">
      <c r="B94" s="128">
        <v>3</v>
      </c>
      <c r="C94" s="231" t="s">
        <v>170</v>
      </c>
      <c r="D94" s="240"/>
      <c r="E94" s="240"/>
      <c r="F94" s="232"/>
      <c r="G94" s="128" t="s">
        <v>93</v>
      </c>
      <c r="H94" s="128" t="s">
        <v>94</v>
      </c>
      <c r="I94" s="22"/>
    </row>
    <row r="95" spans="2:9" x14ac:dyDescent="0.25">
      <c r="B95" s="129" t="s">
        <v>95</v>
      </c>
      <c r="C95" s="87" t="s">
        <v>171</v>
      </c>
      <c r="D95" s="158" t="s">
        <v>172</v>
      </c>
      <c r="E95" s="159"/>
      <c r="F95" s="160"/>
      <c r="G95" s="88">
        <v>1</v>
      </c>
      <c r="H95" s="89">
        <f>TRUNC((H$96+H$97)*$G95,2)</f>
        <v>495.38</v>
      </c>
      <c r="I95" s="13"/>
    </row>
    <row r="96" spans="2:9" x14ac:dyDescent="0.25">
      <c r="B96" s="129" t="s">
        <v>97</v>
      </c>
      <c r="C96" s="130" t="s">
        <v>173</v>
      </c>
      <c r="D96" s="158" t="s">
        <v>174</v>
      </c>
      <c r="E96" s="159"/>
      <c r="F96" s="160"/>
      <c r="G96" s="90"/>
      <c r="H96" s="155">
        <f>TRUNC((H$50+H$60+H$72+H$83-H77)/12,2)</f>
        <v>405.49</v>
      </c>
      <c r="I96" s="24"/>
    </row>
    <row r="97" spans="2:9" x14ac:dyDescent="0.25">
      <c r="B97" s="129" t="s">
        <v>100</v>
      </c>
      <c r="C97" s="130" t="s">
        <v>175</v>
      </c>
      <c r="D97" s="244" t="s">
        <v>176</v>
      </c>
      <c r="E97" s="246"/>
      <c r="F97" s="91">
        <v>0.4</v>
      </c>
      <c r="G97" s="90"/>
      <c r="H97" s="155">
        <f>TRUNC(H$72*$F97,2)</f>
        <v>89.89</v>
      </c>
      <c r="I97" s="24"/>
    </row>
    <row r="98" spans="2:9" x14ac:dyDescent="0.25">
      <c r="B98" s="129" t="s">
        <v>104</v>
      </c>
      <c r="C98" s="87" t="s">
        <v>177</v>
      </c>
      <c r="D98" s="158" t="s">
        <v>178</v>
      </c>
      <c r="E98" s="159"/>
      <c r="F98" s="160"/>
      <c r="G98" s="88">
        <v>1</v>
      </c>
      <c r="H98" s="92">
        <f>IF($G98&gt;=1,(TRUNC(H$99*$G98,2)),"ERRO")</f>
        <v>89.89</v>
      </c>
      <c r="I98" s="46"/>
    </row>
    <row r="99" spans="2:9" x14ac:dyDescent="0.25">
      <c r="B99" s="129" t="s">
        <v>107</v>
      </c>
      <c r="C99" s="130" t="s">
        <v>179</v>
      </c>
      <c r="D99" s="244" t="s">
        <v>176</v>
      </c>
      <c r="E99" s="246"/>
      <c r="F99" s="91">
        <v>0.4</v>
      </c>
      <c r="G99" s="90"/>
      <c r="H99" s="155">
        <f>TRUNC(H$72*$F99,2)</f>
        <v>89.89</v>
      </c>
      <c r="I99" s="24"/>
    </row>
    <row r="100" spans="2:9" x14ac:dyDescent="0.25">
      <c r="B100" s="129" t="s">
        <v>110</v>
      </c>
      <c r="C100" s="87" t="s">
        <v>180</v>
      </c>
      <c r="D100" s="282" t="s">
        <v>181</v>
      </c>
      <c r="E100" s="283"/>
      <c r="F100" s="93">
        <v>12</v>
      </c>
      <c r="G100" s="93">
        <v>3</v>
      </c>
      <c r="H100" s="155">
        <f>TRUNC(((H$50+H$60+H$73)/30)*$G100/$F100,2)</f>
        <v>32.020000000000003</v>
      </c>
      <c r="I100" s="24"/>
    </row>
    <row r="101" spans="2:9" x14ac:dyDescent="0.25">
      <c r="B101" s="129" t="s">
        <v>182</v>
      </c>
      <c r="C101" s="231" t="s">
        <v>33</v>
      </c>
      <c r="D101" s="240"/>
      <c r="E101" s="240"/>
      <c r="F101" s="240"/>
      <c r="G101" s="81"/>
      <c r="H101" s="149">
        <f>H$95+H$98+H$100</f>
        <v>617.29</v>
      </c>
      <c r="I101" s="13"/>
    </row>
    <row r="102" spans="2:9" x14ac:dyDescent="0.25">
      <c r="B102" s="21"/>
      <c r="C102" s="21"/>
      <c r="D102" s="21"/>
      <c r="E102" s="21"/>
      <c r="F102" s="21"/>
      <c r="G102" s="21"/>
      <c r="H102" s="21"/>
      <c r="I102" s="21"/>
    </row>
    <row r="103" spans="2:9" x14ac:dyDescent="0.25">
      <c r="B103" s="22"/>
      <c r="C103" s="22"/>
      <c r="D103" s="22"/>
      <c r="E103" s="22"/>
      <c r="F103" s="22"/>
      <c r="G103" s="22"/>
      <c r="H103" s="22"/>
      <c r="I103" s="22"/>
    </row>
    <row r="104" spans="2:9" x14ac:dyDescent="0.25">
      <c r="B104" s="254" t="s">
        <v>183</v>
      </c>
      <c r="C104" s="255"/>
      <c r="D104" s="255"/>
      <c r="E104" s="255"/>
      <c r="F104" s="279"/>
      <c r="G104" s="126"/>
      <c r="H104" s="127"/>
      <c r="I104" s="22"/>
    </row>
    <row r="105" spans="2:9" x14ac:dyDescent="0.25">
      <c r="B105" s="284" t="s">
        <v>184</v>
      </c>
      <c r="C105" s="285"/>
      <c r="D105" s="285"/>
      <c r="E105" s="285"/>
      <c r="F105" s="285"/>
      <c r="G105" s="35"/>
      <c r="H105" s="36"/>
      <c r="I105" s="22"/>
    </row>
    <row r="106" spans="2:9" x14ac:dyDescent="0.25">
      <c r="B106" s="128" t="s">
        <v>185</v>
      </c>
      <c r="C106" s="231" t="s">
        <v>186</v>
      </c>
      <c r="D106" s="240"/>
      <c r="E106" s="240"/>
      <c r="F106" s="232"/>
      <c r="G106" s="128" t="s">
        <v>187</v>
      </c>
      <c r="H106" s="128" t="s">
        <v>94</v>
      </c>
      <c r="I106" s="22"/>
    </row>
    <row r="107" spans="2:9" x14ac:dyDescent="0.25">
      <c r="B107" s="129" t="s">
        <v>95</v>
      </c>
      <c r="C107" s="130" t="s">
        <v>188</v>
      </c>
      <c r="D107" s="158" t="s">
        <v>189</v>
      </c>
      <c r="E107" s="159"/>
      <c r="F107" s="160"/>
      <c r="G107" s="93">
        <v>30</v>
      </c>
      <c r="H107" s="155">
        <f>TRUNC((H$109*$G107)/12,2)</f>
        <v>551.85</v>
      </c>
      <c r="I107" s="24"/>
    </row>
    <row r="108" spans="2:9" ht="23" x14ac:dyDescent="0.25">
      <c r="B108" s="129" t="s">
        <v>97</v>
      </c>
      <c r="C108" s="95" t="s">
        <v>190</v>
      </c>
      <c r="D108" s="161" t="s">
        <v>191</v>
      </c>
      <c r="E108" s="162"/>
      <c r="F108" s="163"/>
      <c r="G108" s="99">
        <v>8</v>
      </c>
      <c r="H108" s="155">
        <f>TRUNC((H$109*$G108)/12,2)</f>
        <v>147.16</v>
      </c>
      <c r="I108" s="24"/>
    </row>
    <row r="109" spans="2:9" x14ac:dyDescent="0.25">
      <c r="B109" s="129" t="s">
        <v>100</v>
      </c>
      <c r="C109" s="130" t="s">
        <v>192</v>
      </c>
      <c r="D109" s="158" t="s">
        <v>193</v>
      </c>
      <c r="E109" s="159"/>
      <c r="F109" s="159"/>
      <c r="G109" s="85"/>
      <c r="H109" s="155">
        <f>TRUNC((H$50+H$90+H$101)/30,2)</f>
        <v>220.74</v>
      </c>
      <c r="I109" s="24"/>
    </row>
    <row r="110" spans="2:9" x14ac:dyDescent="0.25">
      <c r="B110" s="129" t="s">
        <v>194</v>
      </c>
      <c r="C110" s="231" t="s">
        <v>33</v>
      </c>
      <c r="D110" s="240"/>
      <c r="E110" s="240"/>
      <c r="F110" s="240"/>
      <c r="G110" s="81"/>
      <c r="H110" s="149">
        <f>TRUNC(H$107+H$108,2)</f>
        <v>699.01</v>
      </c>
      <c r="I110" s="13"/>
    </row>
    <row r="111" spans="2:9" x14ac:dyDescent="0.25">
      <c r="B111" s="15"/>
      <c r="C111" s="16"/>
      <c r="D111" s="16"/>
      <c r="E111" s="16"/>
      <c r="F111" s="16"/>
      <c r="G111" s="16"/>
      <c r="H111" s="17"/>
      <c r="I111" s="16"/>
    </row>
    <row r="112" spans="2:9" x14ac:dyDescent="0.25">
      <c r="B112" s="280" t="s">
        <v>195</v>
      </c>
      <c r="C112" s="281"/>
      <c r="D112" s="281"/>
      <c r="E112" s="281"/>
      <c r="F112" s="281"/>
      <c r="G112" s="37"/>
      <c r="H112" s="38"/>
      <c r="I112" s="22"/>
    </row>
    <row r="113" spans="2:9" x14ac:dyDescent="0.25">
      <c r="B113" s="128" t="s">
        <v>196</v>
      </c>
      <c r="C113" s="231" t="s">
        <v>197</v>
      </c>
      <c r="D113" s="240"/>
      <c r="E113" s="240"/>
      <c r="F113" s="232"/>
      <c r="G113" s="128" t="s">
        <v>187</v>
      </c>
      <c r="H113" s="128" t="s">
        <v>94</v>
      </c>
      <c r="I113" s="22"/>
    </row>
    <row r="114" spans="2:9" ht="23" x14ac:dyDescent="0.25">
      <c r="B114" s="129" t="s">
        <v>95</v>
      </c>
      <c r="C114" s="95" t="s">
        <v>198</v>
      </c>
      <c r="D114" s="158" t="s">
        <v>199</v>
      </c>
      <c r="E114" s="159"/>
      <c r="F114" s="159"/>
      <c r="G114" s="93"/>
      <c r="H114" s="155">
        <f>TRUNC(((H$50+H90+H101)/220)*(1+50%)*G114,2)</f>
        <v>0</v>
      </c>
      <c r="I114" s="24"/>
    </row>
    <row r="115" spans="2:9" x14ac:dyDescent="0.25">
      <c r="B115" s="129" t="s">
        <v>200</v>
      </c>
      <c r="C115" s="231" t="s">
        <v>33</v>
      </c>
      <c r="D115" s="240"/>
      <c r="E115" s="240"/>
      <c r="F115" s="240"/>
      <c r="G115" s="100"/>
      <c r="H115" s="149">
        <f>H114</f>
        <v>0</v>
      </c>
      <c r="I115" s="24"/>
    </row>
    <row r="116" spans="2:9" x14ac:dyDescent="0.25">
      <c r="B116" s="101"/>
      <c r="C116" s="186"/>
      <c r="D116" s="186"/>
      <c r="E116" s="186"/>
      <c r="F116" s="186"/>
      <c r="G116" s="22"/>
      <c r="H116" s="41"/>
      <c r="I116" s="47"/>
    </row>
    <row r="117" spans="2:9" x14ac:dyDescent="0.25">
      <c r="B117" s="280" t="s">
        <v>201</v>
      </c>
      <c r="C117" s="281"/>
      <c r="D117" s="281"/>
      <c r="E117" s="281"/>
      <c r="F117" s="281"/>
      <c r="G117" s="37"/>
      <c r="H117" s="38"/>
      <c r="I117" s="22"/>
    </row>
    <row r="118" spans="2:9" x14ac:dyDescent="0.25">
      <c r="B118" s="128">
        <v>4</v>
      </c>
      <c r="C118" s="231" t="s">
        <v>202</v>
      </c>
      <c r="D118" s="240"/>
      <c r="E118" s="240"/>
      <c r="F118" s="240"/>
      <c r="G118" s="232"/>
      <c r="H118" s="128" t="s">
        <v>94</v>
      </c>
      <c r="I118" s="22"/>
    </row>
    <row r="119" spans="2:9" x14ac:dyDescent="0.25">
      <c r="B119" s="129" t="s">
        <v>185</v>
      </c>
      <c r="C119" s="130" t="s">
        <v>203</v>
      </c>
      <c r="D119" s="158" t="s">
        <v>194</v>
      </c>
      <c r="E119" s="159"/>
      <c r="F119" s="159"/>
      <c r="G119" s="160"/>
      <c r="H119" s="155">
        <f>H110</f>
        <v>699.01</v>
      </c>
      <c r="I119" s="24"/>
    </row>
    <row r="120" spans="2:9" x14ac:dyDescent="0.25">
      <c r="B120" s="129" t="s">
        <v>196</v>
      </c>
      <c r="C120" s="130" t="s">
        <v>204</v>
      </c>
      <c r="D120" s="158" t="s">
        <v>200</v>
      </c>
      <c r="E120" s="159"/>
      <c r="F120" s="159"/>
      <c r="G120" s="160"/>
      <c r="H120" s="155">
        <f>H115</f>
        <v>0</v>
      </c>
      <c r="I120" s="24"/>
    </row>
    <row r="121" spans="2:9" x14ac:dyDescent="0.25">
      <c r="B121" s="129" t="s">
        <v>205</v>
      </c>
      <c r="C121" s="231" t="s">
        <v>33</v>
      </c>
      <c r="D121" s="240"/>
      <c r="E121" s="240"/>
      <c r="F121" s="240"/>
      <c r="G121" s="81"/>
      <c r="H121" s="149">
        <f>SUM(H119:H120)</f>
        <v>699.01</v>
      </c>
      <c r="I121" s="13"/>
    </row>
    <row r="122" spans="2:9" x14ac:dyDescent="0.25">
      <c r="B122" s="22"/>
      <c r="C122" s="22"/>
      <c r="D122" s="22"/>
      <c r="E122" s="22"/>
      <c r="F122" s="22"/>
      <c r="G122" s="22"/>
      <c r="H122" s="22"/>
      <c r="I122" s="22"/>
    </row>
    <row r="123" spans="2:9" x14ac:dyDescent="0.25">
      <c r="B123" s="22"/>
      <c r="C123" s="22"/>
      <c r="D123" s="22"/>
      <c r="E123" s="22"/>
      <c r="F123" s="22"/>
      <c r="G123" s="22"/>
      <c r="H123" s="22"/>
      <c r="I123" s="22"/>
    </row>
    <row r="124" spans="2:9" x14ac:dyDescent="0.25">
      <c r="B124" s="254" t="s">
        <v>206</v>
      </c>
      <c r="C124" s="255"/>
      <c r="D124" s="255"/>
      <c r="E124" s="255"/>
      <c r="F124" s="279"/>
      <c r="G124" s="126"/>
      <c r="H124" s="127"/>
      <c r="I124" s="22"/>
    </row>
    <row r="125" spans="2:9" x14ac:dyDescent="0.25">
      <c r="B125" s="128">
        <v>5</v>
      </c>
      <c r="C125" s="292" t="s">
        <v>207</v>
      </c>
      <c r="D125" s="293"/>
      <c r="E125" s="293"/>
      <c r="F125" s="293"/>
      <c r="G125" s="294"/>
      <c r="H125" s="128" t="s">
        <v>94</v>
      </c>
      <c r="I125" s="22"/>
    </row>
    <row r="126" spans="2:9" x14ac:dyDescent="0.25">
      <c r="B126" s="129" t="s">
        <v>95</v>
      </c>
      <c r="C126" s="102" t="s">
        <v>208</v>
      </c>
      <c r="D126" s="103"/>
      <c r="E126" s="103"/>
      <c r="F126" s="103"/>
      <c r="G126" s="104"/>
      <c r="H126" s="140">
        <v>26.52</v>
      </c>
      <c r="I126" s="24"/>
    </row>
    <row r="127" spans="2:9" x14ac:dyDescent="0.25">
      <c r="B127" s="129" t="s">
        <v>97</v>
      </c>
      <c r="C127" s="102" t="s">
        <v>209</v>
      </c>
      <c r="D127" s="103"/>
      <c r="E127" s="103"/>
      <c r="F127" s="103"/>
      <c r="G127" s="104"/>
      <c r="H127" s="140"/>
      <c r="I127" s="24"/>
    </row>
    <row r="128" spans="2:9" x14ac:dyDescent="0.25">
      <c r="B128" s="129" t="s">
        <v>100</v>
      </c>
      <c r="C128" s="102" t="s">
        <v>210</v>
      </c>
      <c r="D128" s="103"/>
      <c r="E128" s="103"/>
      <c r="F128" s="103"/>
      <c r="G128" s="104"/>
      <c r="H128" s="140">
        <f>'Demais componentes'!F9</f>
        <v>671.00025925925922</v>
      </c>
      <c r="I128" s="24"/>
    </row>
    <row r="129" spans="2:9" x14ac:dyDescent="0.25">
      <c r="B129" s="129" t="s">
        <v>104</v>
      </c>
      <c r="C129" s="102" t="s">
        <v>114</v>
      </c>
      <c r="D129" s="103"/>
      <c r="E129" s="103"/>
      <c r="F129" s="103"/>
      <c r="G129" s="104"/>
      <c r="H129" s="140"/>
      <c r="I129" s="24"/>
    </row>
    <row r="130" spans="2:9" x14ac:dyDescent="0.25">
      <c r="B130" s="129" t="s">
        <v>211</v>
      </c>
      <c r="C130" s="231" t="s">
        <v>33</v>
      </c>
      <c r="D130" s="240"/>
      <c r="E130" s="240"/>
      <c r="F130" s="240"/>
      <c r="G130" s="81"/>
      <c r="H130" s="149">
        <f>SUM(H126:H129)</f>
        <v>697.52025925925921</v>
      </c>
      <c r="I130" s="13"/>
    </row>
    <row r="131" spans="2:9" x14ac:dyDescent="0.25">
      <c r="B131" s="22"/>
      <c r="C131" s="22"/>
      <c r="D131" s="22"/>
      <c r="E131" s="22"/>
      <c r="F131" s="22"/>
      <c r="G131" s="18"/>
      <c r="H131" s="13"/>
      <c r="I131" s="13"/>
    </row>
    <row r="132" spans="2:9" x14ac:dyDescent="0.25">
      <c r="B132" s="22"/>
      <c r="C132" s="22"/>
      <c r="D132" s="22"/>
      <c r="E132" s="22"/>
      <c r="F132" s="22"/>
      <c r="G132" s="22"/>
      <c r="H132" s="22"/>
      <c r="I132" s="22"/>
    </row>
    <row r="133" spans="2:9" x14ac:dyDescent="0.25">
      <c r="B133" s="254" t="s">
        <v>212</v>
      </c>
      <c r="C133" s="255"/>
      <c r="D133" s="255"/>
      <c r="E133" s="255"/>
      <c r="F133" s="279"/>
      <c r="G133" s="126"/>
      <c r="H133" s="127"/>
      <c r="I133" s="22"/>
    </row>
    <row r="134" spans="2:9" x14ac:dyDescent="0.25">
      <c r="B134" s="128">
        <v>6</v>
      </c>
      <c r="C134" s="231" t="s">
        <v>213</v>
      </c>
      <c r="D134" s="240"/>
      <c r="E134" s="240"/>
      <c r="F134" s="232"/>
      <c r="G134" s="128" t="s">
        <v>93</v>
      </c>
      <c r="H134" s="128" t="s">
        <v>94</v>
      </c>
      <c r="I134" s="22"/>
    </row>
    <row r="135" spans="2:9" x14ac:dyDescent="0.25">
      <c r="B135" s="129" t="s">
        <v>95</v>
      </c>
      <c r="C135" s="130" t="s">
        <v>214</v>
      </c>
      <c r="D135" s="244" t="s">
        <v>215</v>
      </c>
      <c r="E135" s="245"/>
      <c r="F135" s="246"/>
      <c r="G135" s="105">
        <v>0.05</v>
      </c>
      <c r="H135" s="155">
        <f>TRUNC(H$152*$G135,2)</f>
        <v>400.94</v>
      </c>
      <c r="I135" s="24"/>
    </row>
    <row r="136" spans="2:9" x14ac:dyDescent="0.25">
      <c r="B136" s="129" t="s">
        <v>97</v>
      </c>
      <c r="C136" s="130" t="s">
        <v>216</v>
      </c>
      <c r="D136" s="244" t="s">
        <v>217</v>
      </c>
      <c r="E136" s="245"/>
      <c r="F136" s="246"/>
      <c r="G136" s="105">
        <v>0.1</v>
      </c>
      <c r="H136" s="155">
        <f>TRUNC((H$152+H$135)*$G136,2)</f>
        <v>841.99</v>
      </c>
      <c r="I136" s="24"/>
    </row>
    <row r="137" spans="2:9" x14ac:dyDescent="0.25">
      <c r="B137" s="129" t="s">
        <v>100</v>
      </c>
      <c r="C137" s="130" t="s">
        <v>218</v>
      </c>
      <c r="D137" s="244" t="s">
        <v>219</v>
      </c>
      <c r="E137" s="245"/>
      <c r="F137" s="246"/>
      <c r="G137" s="106">
        <f>1-(G138+G139+G140)</f>
        <v>0.87850000000000006</v>
      </c>
      <c r="H137" s="79">
        <f>TRUNC(((H$152+H$135+H$136)/$G137),2)</f>
        <v>10542.85</v>
      </c>
      <c r="I137" s="42"/>
    </row>
    <row r="138" spans="2:9" x14ac:dyDescent="0.25">
      <c r="B138" s="129" t="s">
        <v>220</v>
      </c>
      <c r="C138" s="130" t="s">
        <v>221</v>
      </c>
      <c r="D138" s="244" t="s">
        <v>222</v>
      </c>
      <c r="E138" s="245"/>
      <c r="F138" s="246"/>
      <c r="G138" s="107">
        <v>1.6500000000000001E-2</v>
      </c>
      <c r="H138" s="155">
        <f>TRUNC(H$137*$G138,2)</f>
        <v>173.95</v>
      </c>
      <c r="I138" s="24"/>
    </row>
    <row r="139" spans="2:9" x14ac:dyDescent="0.25">
      <c r="B139" s="129" t="s">
        <v>223</v>
      </c>
      <c r="C139" s="130" t="s">
        <v>224</v>
      </c>
      <c r="D139" s="244" t="s">
        <v>222</v>
      </c>
      <c r="E139" s="245"/>
      <c r="F139" s="246"/>
      <c r="G139" s="107">
        <v>7.5999999999999998E-2</v>
      </c>
      <c r="H139" s="155">
        <f>TRUNC(H$137*$G139,2)</f>
        <v>801.25</v>
      </c>
      <c r="I139" s="24"/>
    </row>
    <row r="140" spans="2:9" x14ac:dyDescent="0.25">
      <c r="B140" s="129" t="s">
        <v>225</v>
      </c>
      <c r="C140" s="130" t="s">
        <v>226</v>
      </c>
      <c r="D140" s="244" t="s">
        <v>222</v>
      </c>
      <c r="E140" s="245"/>
      <c r="F140" s="246"/>
      <c r="G140" s="107">
        <v>2.9000000000000001E-2</v>
      </c>
      <c r="H140" s="155">
        <f>TRUNC(H$137*$G140,2)</f>
        <v>305.74</v>
      </c>
      <c r="I140" s="24"/>
    </row>
    <row r="141" spans="2:9" x14ac:dyDescent="0.25">
      <c r="B141" s="129" t="s">
        <v>227</v>
      </c>
      <c r="C141" s="108" t="s">
        <v>33</v>
      </c>
      <c r="D141" s="288" t="s">
        <v>228</v>
      </c>
      <c r="E141" s="288"/>
      <c r="F141" s="288"/>
      <c r="G141" s="109"/>
      <c r="H141" s="149">
        <f>SUM(H135:H140)-H137</f>
        <v>2523.8700000000008</v>
      </c>
      <c r="I141" s="13"/>
    </row>
    <row r="142" spans="2:9" x14ac:dyDescent="0.25">
      <c r="B142" s="11"/>
      <c r="C142" s="11"/>
      <c r="D142" s="11"/>
      <c r="E142" s="11"/>
      <c r="F142" s="11"/>
      <c r="G142" s="11"/>
      <c r="H142" s="19"/>
      <c r="I142" s="19"/>
    </row>
    <row r="143" spans="2:9" x14ac:dyDescent="0.25">
      <c r="B143" s="291" t="s">
        <v>229</v>
      </c>
      <c r="C143" s="291"/>
      <c r="D143" s="291"/>
      <c r="E143" s="291"/>
      <c r="F143" s="291"/>
      <c r="G143" s="291"/>
      <c r="H143" s="291"/>
      <c r="I143" s="20"/>
    </row>
    <row r="144" spans="2:9" x14ac:dyDescent="0.25">
      <c r="B144" s="20"/>
      <c r="C144" s="20"/>
      <c r="D144" s="20"/>
      <c r="E144" s="20"/>
      <c r="F144" s="20"/>
      <c r="G144" s="20"/>
      <c r="H144" s="20"/>
      <c r="I144" s="20"/>
    </row>
    <row r="145" spans="2:9" x14ac:dyDescent="0.25">
      <c r="B145" s="254" t="s">
        <v>230</v>
      </c>
      <c r="C145" s="255"/>
      <c r="D145" s="255"/>
      <c r="E145" s="255"/>
      <c r="F145" s="255"/>
      <c r="G145" s="110"/>
      <c r="H145" s="127"/>
      <c r="I145" s="22"/>
    </row>
    <row r="146" spans="2:9" ht="12.75" customHeight="1" x14ac:dyDescent="0.25">
      <c r="B146" s="39"/>
      <c r="C146" s="286" t="s">
        <v>231</v>
      </c>
      <c r="D146" s="287"/>
      <c r="E146" s="287"/>
      <c r="F146" s="287"/>
      <c r="G146" s="40"/>
      <c r="H146" s="29" t="s">
        <v>94</v>
      </c>
      <c r="I146" s="22"/>
    </row>
    <row r="147" spans="2:9" x14ac:dyDescent="0.25">
      <c r="B147" s="129" t="s">
        <v>95</v>
      </c>
      <c r="C147" s="95" t="s">
        <v>232</v>
      </c>
      <c r="D147" s="158" t="s">
        <v>115</v>
      </c>
      <c r="E147" s="159"/>
      <c r="F147" s="159"/>
      <c r="G147" s="160"/>
      <c r="H147" s="155">
        <f>H50</f>
        <v>2352.04</v>
      </c>
      <c r="I147" s="24"/>
    </row>
    <row r="148" spans="2:9" ht="23" x14ac:dyDescent="0.25">
      <c r="B148" s="129" t="s">
        <v>97</v>
      </c>
      <c r="C148" s="95" t="s">
        <v>233</v>
      </c>
      <c r="D148" s="158" t="s">
        <v>168</v>
      </c>
      <c r="E148" s="159"/>
      <c r="F148" s="159"/>
      <c r="G148" s="160"/>
      <c r="H148" s="155">
        <f>H90</f>
        <v>3653.1035423904</v>
      </c>
      <c r="I148" s="24"/>
    </row>
    <row r="149" spans="2:9" x14ac:dyDescent="0.25">
      <c r="B149" s="129" t="s">
        <v>100</v>
      </c>
      <c r="C149" s="95" t="s">
        <v>234</v>
      </c>
      <c r="D149" s="158" t="s">
        <v>182</v>
      </c>
      <c r="E149" s="159"/>
      <c r="F149" s="159"/>
      <c r="G149" s="160"/>
      <c r="H149" s="155">
        <f>H101</f>
        <v>617.29</v>
      </c>
      <c r="I149" s="24"/>
    </row>
    <row r="150" spans="2:9" ht="23" x14ac:dyDescent="0.25">
      <c r="B150" s="129" t="s">
        <v>104</v>
      </c>
      <c r="C150" s="95" t="s">
        <v>235</v>
      </c>
      <c r="D150" s="158" t="s">
        <v>205</v>
      </c>
      <c r="E150" s="159"/>
      <c r="F150" s="159"/>
      <c r="G150" s="160"/>
      <c r="H150" s="155">
        <f>H121</f>
        <v>699.01</v>
      </c>
      <c r="I150" s="24"/>
    </row>
    <row r="151" spans="2:9" x14ac:dyDescent="0.25">
      <c r="B151" s="129" t="s">
        <v>107</v>
      </c>
      <c r="C151" s="95" t="s">
        <v>236</v>
      </c>
      <c r="D151" s="158" t="s">
        <v>211</v>
      </c>
      <c r="E151" s="159"/>
      <c r="F151" s="159"/>
      <c r="G151" s="160"/>
      <c r="H151" s="155">
        <f>H130</f>
        <v>697.52025925925921</v>
      </c>
      <c r="I151" s="24"/>
    </row>
    <row r="152" spans="2:9" x14ac:dyDescent="0.25">
      <c r="B152" s="94" t="s">
        <v>110</v>
      </c>
      <c r="C152" s="87" t="s">
        <v>237</v>
      </c>
      <c r="D152" s="164" t="s">
        <v>238</v>
      </c>
      <c r="E152" s="165"/>
      <c r="F152" s="165"/>
      <c r="G152" s="166"/>
      <c r="H152" s="89">
        <f>SUM(H147:H151)</f>
        <v>8018.9638016496601</v>
      </c>
      <c r="I152" s="13"/>
    </row>
    <row r="153" spans="2:9" x14ac:dyDescent="0.25">
      <c r="B153" s="129" t="s">
        <v>113</v>
      </c>
      <c r="C153" s="130" t="s">
        <v>239</v>
      </c>
      <c r="D153" s="158" t="s">
        <v>227</v>
      </c>
      <c r="E153" s="159"/>
      <c r="F153" s="159"/>
      <c r="G153" s="160"/>
      <c r="H153" s="155">
        <f>H141</f>
        <v>2523.8700000000008</v>
      </c>
      <c r="I153" s="24"/>
    </row>
    <row r="154" spans="2:9" x14ac:dyDescent="0.25">
      <c r="B154" s="129" t="s">
        <v>240</v>
      </c>
      <c r="C154" s="116" t="s">
        <v>241</v>
      </c>
      <c r="D154" s="117" t="s">
        <v>242</v>
      </c>
      <c r="E154" s="118"/>
      <c r="F154" s="118"/>
      <c r="G154" s="109"/>
      <c r="H154" s="167">
        <f>SUM(H152:H153)</f>
        <v>10542.83380164966</v>
      </c>
      <c r="I154" s="48"/>
    </row>
    <row r="155" spans="2:9" ht="12.75" customHeight="1" x14ac:dyDescent="0.25">
      <c r="B155" s="14"/>
      <c r="C155" s="14"/>
      <c r="D155" s="14"/>
      <c r="E155" s="14"/>
      <c r="F155" s="14"/>
      <c r="G155" s="14"/>
      <c r="H155" s="121"/>
      <c r="I155" s="121"/>
    </row>
    <row r="156" spans="2:9" x14ac:dyDescent="0.25">
      <c r="B156" s="14"/>
      <c r="C156" s="14"/>
      <c r="D156" s="14"/>
      <c r="E156" s="14"/>
      <c r="F156" s="14"/>
      <c r="G156" s="122" t="s">
        <v>243</v>
      </c>
      <c r="H156" s="187">
        <f>(H154)/H43</f>
        <v>4.482421132995043</v>
      </c>
      <c r="I156" s="14"/>
    </row>
  </sheetData>
  <mergeCells count="120">
    <mergeCell ref="D140:F140"/>
    <mergeCell ref="D141:F141"/>
    <mergeCell ref="B143:H143"/>
    <mergeCell ref="B145:F145"/>
    <mergeCell ref="C146:F146"/>
    <mergeCell ref="C134:F134"/>
    <mergeCell ref="D135:F135"/>
    <mergeCell ref="D136:F136"/>
    <mergeCell ref="D137:F137"/>
    <mergeCell ref="D138:F138"/>
    <mergeCell ref="D139:F139"/>
    <mergeCell ref="C118:G118"/>
    <mergeCell ref="C121:F121"/>
    <mergeCell ref="B124:F124"/>
    <mergeCell ref="C125:G125"/>
    <mergeCell ref="C130:F130"/>
    <mergeCell ref="B133:F133"/>
    <mergeCell ref="C106:F106"/>
    <mergeCell ref="C110:F110"/>
    <mergeCell ref="B112:F112"/>
    <mergeCell ref="C113:F113"/>
    <mergeCell ref="C115:F115"/>
    <mergeCell ref="B117:F117"/>
    <mergeCell ref="D97:E97"/>
    <mergeCell ref="D99:E99"/>
    <mergeCell ref="D100:E100"/>
    <mergeCell ref="C101:F101"/>
    <mergeCell ref="B104:F104"/>
    <mergeCell ref="B105:F105"/>
    <mergeCell ref="B85:F85"/>
    <mergeCell ref="C86:F86"/>
    <mergeCell ref="C90:F90"/>
    <mergeCell ref="B91:H91"/>
    <mergeCell ref="B93:F93"/>
    <mergeCell ref="C94:F94"/>
    <mergeCell ref="B74:H74"/>
    <mergeCell ref="B75:F75"/>
    <mergeCell ref="C76:F76"/>
    <mergeCell ref="E77:F77"/>
    <mergeCell ref="C83:F83"/>
    <mergeCell ref="B84:H84"/>
    <mergeCell ref="D68:F68"/>
    <mergeCell ref="D69:F69"/>
    <mergeCell ref="D70:F70"/>
    <mergeCell ref="D71:F71"/>
    <mergeCell ref="D72:F72"/>
    <mergeCell ref="C73:F73"/>
    <mergeCell ref="D65:F65"/>
    <mergeCell ref="B66:B67"/>
    <mergeCell ref="C66:C67"/>
    <mergeCell ref="D66:D67"/>
    <mergeCell ref="G66:G67"/>
    <mergeCell ref="H66:H67"/>
    <mergeCell ref="D59:F59"/>
    <mergeCell ref="C60:F60"/>
    <mergeCell ref="B61:H61"/>
    <mergeCell ref="B62:F62"/>
    <mergeCell ref="C63:F63"/>
    <mergeCell ref="D64:F64"/>
    <mergeCell ref="C51:F52"/>
    <mergeCell ref="B54:F54"/>
    <mergeCell ref="B55:F55"/>
    <mergeCell ref="B56:F56"/>
    <mergeCell ref="C57:F57"/>
    <mergeCell ref="D58:F58"/>
    <mergeCell ref="D44:F44"/>
    <mergeCell ref="D46:F46"/>
    <mergeCell ref="D47:F47"/>
    <mergeCell ref="D48:F48"/>
    <mergeCell ref="D49:F49"/>
    <mergeCell ref="C50:F50"/>
    <mergeCell ref="B38:B39"/>
    <mergeCell ref="C38:F38"/>
    <mergeCell ref="C39:F39"/>
    <mergeCell ref="B41:F41"/>
    <mergeCell ref="C42:F42"/>
    <mergeCell ref="D43:F43"/>
    <mergeCell ref="B34:B35"/>
    <mergeCell ref="C34:F34"/>
    <mergeCell ref="C35:F35"/>
    <mergeCell ref="B36:B37"/>
    <mergeCell ref="C36:F36"/>
    <mergeCell ref="C37:F37"/>
    <mergeCell ref="B30:B31"/>
    <mergeCell ref="C30:F30"/>
    <mergeCell ref="C31:F31"/>
    <mergeCell ref="B32:B33"/>
    <mergeCell ref="C32:F32"/>
    <mergeCell ref="C33:F33"/>
    <mergeCell ref="B26:B27"/>
    <mergeCell ref="C26:F26"/>
    <mergeCell ref="C27:F27"/>
    <mergeCell ref="B28:B29"/>
    <mergeCell ref="C28:F28"/>
    <mergeCell ref="C29:F29"/>
    <mergeCell ref="B22:B23"/>
    <mergeCell ref="C22:F22"/>
    <mergeCell ref="C23:F23"/>
    <mergeCell ref="B24:B25"/>
    <mergeCell ref="C24:F24"/>
    <mergeCell ref="C25:F25"/>
    <mergeCell ref="B18:B19"/>
    <mergeCell ref="C18:F18"/>
    <mergeCell ref="C19:F19"/>
    <mergeCell ref="B20:B21"/>
    <mergeCell ref="C20:F20"/>
    <mergeCell ref="C21:F21"/>
    <mergeCell ref="D10:F10"/>
    <mergeCell ref="D11:F11"/>
    <mergeCell ref="D13:F13"/>
    <mergeCell ref="B15:F15"/>
    <mergeCell ref="B16:B17"/>
    <mergeCell ref="C16:F16"/>
    <mergeCell ref="C17:F17"/>
    <mergeCell ref="B2:H2"/>
    <mergeCell ref="B3:H3"/>
    <mergeCell ref="D6:F6"/>
    <mergeCell ref="D7:F7"/>
    <mergeCell ref="D8:F8"/>
    <mergeCell ref="D9:F9"/>
  </mergeCells>
  <dataValidations disablePrompts="1" count="11">
    <dataValidation type="list" allowBlank="1" showInputMessage="1" showErrorMessage="1" sqref="G100" xr:uid="{9D5A9137-71E5-4EE9-A5C4-F713C076AABC}">
      <formula1>"3,6,9,12,15"</formula1>
    </dataValidation>
    <dataValidation type="custom" allowBlank="1" showInputMessage="1" showErrorMessage="1" sqref="G137" xr:uid="{ED17A185-41A3-441B-8E88-CBC5CD235BAA}">
      <formula1>1-(G138+G139+G140)</formula1>
    </dataValidation>
    <dataValidation type="list" operator="equal" allowBlank="1" showInputMessage="1" showErrorMessage="1" errorTitle="Valor errado" error="Percentual fixo. Preencher com 40%." sqref="F97 F99" xr:uid="{5D12142F-2720-48A4-99B7-612DB82DC4B0}">
      <formula1>"40%"</formula1>
    </dataValidation>
    <dataValidation type="whole" allowBlank="1" showInputMessage="1" showErrorMessage="1" errorTitle="Valor errado" error="Quantidade fixa de dias. Prencher com 30" sqref="G107" xr:uid="{925A5698-3946-446A-A1E8-DE4DD558636A}">
      <formula1>30</formula1>
      <formula2>30</formula2>
    </dataValidation>
    <dataValidation type="list" allowBlank="1" showInputMessage="1" showErrorMessage="1" sqref="G48" xr:uid="{3997FCFF-1D18-49B5-891C-831763D00812}">
      <formula1>"0, 50%, 100%"</formula1>
    </dataValidation>
    <dataValidation type="list" allowBlank="1" showInputMessage="1" showErrorMessage="1" sqref="G138" xr:uid="{A407F184-FC77-47C2-9E2E-3677BA723707}">
      <mc:AlternateContent xmlns:x12ac="http://schemas.microsoft.com/office/spreadsheetml/2011/1/ac" xmlns:mc="http://schemas.openxmlformats.org/markup-compatibility/2006">
        <mc:Choice Requires="x12ac">
          <x12ac:list>"0,65%","1,65%"</x12ac:list>
        </mc:Choice>
        <mc:Fallback>
          <formula1>"0,65%,1,65%"</formula1>
        </mc:Fallback>
      </mc:AlternateContent>
    </dataValidation>
    <dataValidation type="list" allowBlank="1" showInputMessage="1" showErrorMessage="1" sqref="G139" xr:uid="{549A35D1-A9BF-4010-8871-43256A386C66}">
      <mc:AlternateContent xmlns:x12ac="http://schemas.microsoft.com/office/spreadsheetml/2011/1/ac" xmlns:mc="http://schemas.openxmlformats.org/markup-compatibility/2006">
        <mc:Choice Requires="x12ac">
          <x12ac:list>3%," 7,6%"</x12ac:list>
        </mc:Choice>
        <mc:Fallback>
          <formula1>"3%, 7,6%"</formula1>
        </mc:Fallback>
      </mc:AlternateContent>
    </dataValidation>
    <dataValidation type="list" allowBlank="1" showInputMessage="1" showErrorMessage="1" sqref="G46:G47" xr:uid="{74036BB0-832F-47B0-B240-56887FDDF2B6}">
      <formula1>"0, 20%"</formula1>
    </dataValidation>
    <dataValidation type="list" allowBlank="1" showInputMessage="1" showErrorMessage="1" sqref="E67" xr:uid="{0A86B4C4-4EC5-4474-B95F-6D44FF61FDF2}">
      <formula1>"1%, 2%, 3%"</formula1>
    </dataValidation>
    <dataValidation type="list" allowBlank="1" showInputMessage="1" showErrorMessage="1" sqref="G45" xr:uid="{5C624395-346B-41BF-9B6E-FA0C29294EBE}">
      <formula1>"0%, 10%, 20%, 40%"</formula1>
    </dataValidation>
    <dataValidation type="list" allowBlank="1" showInputMessage="1" showErrorMessage="1" sqref="G44" xr:uid="{E7D58DB7-7F84-48C0-9D7C-900E8D4BC9B2}">
      <formula1>"0%, 30%"</formula1>
    </dataValidation>
  </dataValidations>
  <pageMargins left="0.511811024" right="0.511811024" top="0.78740157499999996" bottom="0.78740157499999996" header="0.31496062000000002" footer="0.31496062000000002"/>
  <pageSetup paperSize="9" scale="77" fitToHeight="0" orientation="portrait" horizontalDpi="4294967293" verticalDpi="4294967293" r:id="rId1"/>
  <rowBreaks count="2" manualBreakCount="2">
    <brk id="73" max="7" man="1"/>
    <brk id="141" max="7"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0995B-26E3-42A2-AF74-808E834FFD13}">
  <sheetPr>
    <pageSetUpPr fitToPage="1"/>
  </sheetPr>
  <dimension ref="B1:I158"/>
  <sheetViews>
    <sheetView topLeftCell="B1" zoomScaleNormal="100" workbookViewId="0">
      <selection activeCell="H1" sqref="H1"/>
    </sheetView>
  </sheetViews>
  <sheetFormatPr defaultColWidth="9.1796875" defaultRowHeight="12.5" x14ac:dyDescent="0.25"/>
  <cols>
    <col min="1" max="1" width="3.54296875" style="8" customWidth="1"/>
    <col min="2" max="2" width="8.26953125" style="8" customWidth="1"/>
    <col min="3" max="3" width="39.1796875" style="8" customWidth="1"/>
    <col min="4" max="4" width="29.1796875" style="8" customWidth="1"/>
    <col min="5" max="6" width="8.54296875" style="8" customWidth="1"/>
    <col min="7" max="7" width="9.1796875" style="8"/>
    <col min="8" max="9" width="15.26953125" style="8" customWidth="1"/>
    <col min="10" max="16384" width="9.1796875" style="8"/>
  </cols>
  <sheetData>
    <row r="1" spans="2:9" x14ac:dyDescent="0.25">
      <c r="B1" s="14"/>
      <c r="C1" s="49"/>
      <c r="D1" s="14"/>
      <c r="E1" s="14"/>
      <c r="F1" s="14"/>
      <c r="G1" s="14"/>
      <c r="H1" s="14"/>
      <c r="I1" s="14"/>
    </row>
    <row r="2" spans="2:9" x14ac:dyDescent="0.25">
      <c r="B2" s="220" t="s">
        <v>20</v>
      </c>
      <c r="C2" s="220"/>
      <c r="D2" s="220"/>
      <c r="E2" s="220"/>
      <c r="F2" s="220"/>
      <c r="G2" s="220"/>
      <c r="H2" s="220"/>
      <c r="I2" s="22"/>
    </row>
    <row r="3" spans="2:9" x14ac:dyDescent="0.25">
      <c r="B3" s="239" t="s">
        <v>68</v>
      </c>
      <c r="C3" s="239"/>
      <c r="D3" s="239"/>
      <c r="E3" s="239"/>
      <c r="F3" s="239"/>
      <c r="G3" s="239"/>
      <c r="H3" s="239"/>
      <c r="I3" s="23"/>
    </row>
    <row r="4" spans="2:9" x14ac:dyDescent="0.25">
      <c r="B4" s="10"/>
      <c r="C4" s="10"/>
      <c r="D4" s="10"/>
      <c r="E4" s="10"/>
      <c r="F4" s="10"/>
      <c r="G4" s="10"/>
      <c r="H4" s="10"/>
      <c r="I4" s="10"/>
    </row>
    <row r="5" spans="2:9" x14ac:dyDescent="0.25">
      <c r="B5" s="10"/>
      <c r="C5" s="10"/>
      <c r="D5" s="10"/>
      <c r="E5" s="10"/>
      <c r="F5" s="10"/>
      <c r="G5" s="10"/>
      <c r="H5" s="10"/>
      <c r="I5" s="10"/>
    </row>
    <row r="6" spans="2:9" x14ac:dyDescent="0.25">
      <c r="B6" s="14"/>
      <c r="C6" s="123" t="s">
        <v>69</v>
      </c>
      <c r="D6" s="289" t="s">
        <v>70</v>
      </c>
      <c r="E6" s="289"/>
      <c r="F6" s="289"/>
      <c r="G6" s="10"/>
      <c r="H6" s="10"/>
      <c r="I6" s="10"/>
    </row>
    <row r="7" spans="2:9" x14ac:dyDescent="0.25">
      <c r="B7" s="14"/>
      <c r="C7" s="123" t="s">
        <v>71</v>
      </c>
      <c r="D7" s="289" t="s">
        <v>72</v>
      </c>
      <c r="E7" s="289"/>
      <c r="F7" s="289"/>
      <c r="G7" s="10"/>
      <c r="H7" s="10"/>
      <c r="I7" s="10"/>
    </row>
    <row r="8" spans="2:9" x14ac:dyDescent="0.25">
      <c r="B8" s="14"/>
      <c r="C8" s="123" t="s">
        <v>44</v>
      </c>
      <c r="D8" s="290"/>
      <c r="E8" s="290"/>
      <c r="F8" s="290"/>
      <c r="G8" s="10"/>
      <c r="H8" s="10"/>
      <c r="I8" s="10"/>
    </row>
    <row r="9" spans="2:9" x14ac:dyDescent="0.25">
      <c r="B9" s="14"/>
      <c r="C9" s="123" t="s">
        <v>73</v>
      </c>
      <c r="D9" s="290"/>
      <c r="E9" s="290"/>
      <c r="F9" s="290"/>
      <c r="G9" s="10"/>
      <c r="H9" s="10"/>
      <c r="I9" s="10"/>
    </row>
    <row r="10" spans="2:9" x14ac:dyDescent="0.25">
      <c r="B10" s="14"/>
      <c r="C10" s="123" t="s">
        <v>45</v>
      </c>
      <c r="D10" s="289">
        <v>1</v>
      </c>
      <c r="E10" s="289"/>
      <c r="F10" s="289"/>
      <c r="G10" s="10"/>
      <c r="H10" s="10"/>
      <c r="I10" s="10"/>
    </row>
    <row r="11" spans="2:9" x14ac:dyDescent="0.25">
      <c r="B11" s="14"/>
      <c r="C11" s="123" t="s">
        <v>46</v>
      </c>
      <c r="D11" s="289">
        <v>1</v>
      </c>
      <c r="E11" s="289"/>
      <c r="F11" s="289"/>
      <c r="G11" s="10"/>
      <c r="H11" s="10"/>
      <c r="I11" s="10"/>
    </row>
    <row r="12" spans="2:9" x14ac:dyDescent="0.25">
      <c r="B12" s="10"/>
      <c r="C12" s="10"/>
      <c r="D12" s="10"/>
      <c r="E12" s="10"/>
      <c r="F12" s="10"/>
      <c r="G12" s="10"/>
      <c r="H12" s="10"/>
      <c r="I12" s="10"/>
    </row>
    <row r="13" spans="2:9" x14ac:dyDescent="0.25">
      <c r="B13" s="124" t="s">
        <v>74</v>
      </c>
      <c r="C13" s="124"/>
      <c r="D13" s="241" t="s">
        <v>31</v>
      </c>
      <c r="E13" s="242"/>
      <c r="F13" s="243"/>
      <c r="G13" s="14"/>
      <c r="H13" s="14"/>
      <c r="I13" s="12"/>
    </row>
    <row r="14" spans="2:9" x14ac:dyDescent="0.25">
      <c r="B14" s="10"/>
      <c r="C14" s="10"/>
      <c r="D14" s="10"/>
      <c r="E14" s="10"/>
      <c r="F14" s="10"/>
      <c r="G14" s="10"/>
      <c r="H14" s="10"/>
      <c r="I14" s="14"/>
    </row>
    <row r="15" spans="2:9" x14ac:dyDescent="0.25">
      <c r="B15" s="247" t="s">
        <v>75</v>
      </c>
      <c r="C15" s="247"/>
      <c r="D15" s="247"/>
      <c r="E15" s="247"/>
      <c r="F15" s="247"/>
      <c r="G15" s="28"/>
      <c r="H15" s="28"/>
      <c r="I15" s="9"/>
    </row>
    <row r="16" spans="2:9" x14ac:dyDescent="0.25">
      <c r="B16" s="236">
        <v>1</v>
      </c>
      <c r="C16" s="237" t="s">
        <v>76</v>
      </c>
      <c r="D16" s="237"/>
      <c r="E16" s="237"/>
      <c r="F16" s="237"/>
      <c r="G16" s="28"/>
      <c r="H16" s="28"/>
      <c r="I16" s="9"/>
    </row>
    <row r="17" spans="2:9" x14ac:dyDescent="0.25">
      <c r="B17" s="236"/>
      <c r="C17" s="238" t="s">
        <v>77</v>
      </c>
      <c r="D17" s="238"/>
      <c r="E17" s="238"/>
      <c r="F17" s="238"/>
      <c r="G17" s="28"/>
      <c r="H17" s="28"/>
      <c r="I17" s="9"/>
    </row>
    <row r="18" spans="2:9" x14ac:dyDescent="0.25">
      <c r="B18" s="236">
        <v>2</v>
      </c>
      <c r="C18" s="237" t="s">
        <v>78</v>
      </c>
      <c r="D18" s="237"/>
      <c r="E18" s="237"/>
      <c r="F18" s="237"/>
      <c r="G18" s="28"/>
      <c r="H18" s="28"/>
      <c r="I18" s="9"/>
    </row>
    <row r="19" spans="2:9" x14ac:dyDescent="0.25">
      <c r="B19" s="236"/>
      <c r="C19" s="238"/>
      <c r="D19" s="238"/>
      <c r="E19" s="238"/>
      <c r="F19" s="238"/>
      <c r="G19" s="28"/>
      <c r="H19" s="28"/>
      <c r="I19" s="9"/>
    </row>
    <row r="20" spans="2:9" x14ac:dyDescent="0.25">
      <c r="B20" s="236">
        <v>3</v>
      </c>
      <c r="C20" s="237" t="s">
        <v>79</v>
      </c>
      <c r="D20" s="237"/>
      <c r="E20" s="237"/>
      <c r="F20" s="237"/>
      <c r="G20" s="28"/>
      <c r="H20" s="28"/>
      <c r="I20" s="9"/>
    </row>
    <row r="21" spans="2:9" x14ac:dyDescent="0.25">
      <c r="B21" s="236"/>
      <c r="C21" s="248">
        <v>60</v>
      </c>
      <c r="D21" s="248"/>
      <c r="E21" s="248"/>
      <c r="F21" s="248"/>
      <c r="G21" s="28"/>
      <c r="H21" s="28"/>
      <c r="I21" s="9"/>
    </row>
    <row r="22" spans="2:9" x14ac:dyDescent="0.25">
      <c r="B22" s="236">
        <v>4</v>
      </c>
      <c r="C22" s="237" t="s">
        <v>80</v>
      </c>
      <c r="D22" s="237"/>
      <c r="E22" s="237"/>
      <c r="F22" s="237"/>
      <c r="G22" s="28"/>
      <c r="H22" s="28"/>
      <c r="I22" s="9"/>
    </row>
    <row r="23" spans="2:9" x14ac:dyDescent="0.25">
      <c r="B23" s="236"/>
      <c r="C23" s="238"/>
      <c r="D23" s="238"/>
      <c r="E23" s="238"/>
      <c r="F23" s="238"/>
      <c r="G23" s="28"/>
      <c r="H23" s="28"/>
      <c r="I23" s="9"/>
    </row>
    <row r="24" spans="2:9" x14ac:dyDescent="0.25">
      <c r="B24" s="236">
        <v>5</v>
      </c>
      <c r="C24" s="237" t="s">
        <v>81</v>
      </c>
      <c r="D24" s="237"/>
      <c r="E24" s="237"/>
      <c r="F24" s="237"/>
      <c r="G24" s="28"/>
      <c r="H24" s="28"/>
      <c r="I24" s="9"/>
    </row>
    <row r="25" spans="2:9" x14ac:dyDescent="0.25">
      <c r="B25" s="236"/>
      <c r="C25" s="248" t="s">
        <v>67</v>
      </c>
      <c r="D25" s="248"/>
      <c r="E25" s="248"/>
      <c r="F25" s="248"/>
      <c r="G25" s="28"/>
      <c r="H25" s="28"/>
      <c r="I25" s="9"/>
    </row>
    <row r="26" spans="2:9" x14ac:dyDescent="0.25">
      <c r="B26" s="236">
        <v>6</v>
      </c>
      <c r="C26" s="237" t="s">
        <v>82</v>
      </c>
      <c r="D26" s="237"/>
      <c r="E26" s="237"/>
      <c r="F26" s="237"/>
      <c r="G26" s="28"/>
      <c r="H26" s="28"/>
      <c r="I26" s="9"/>
    </row>
    <row r="27" spans="2:9" x14ac:dyDescent="0.25">
      <c r="B27" s="236"/>
      <c r="C27" s="238"/>
      <c r="D27" s="238"/>
      <c r="E27" s="238"/>
      <c r="F27" s="238"/>
      <c r="G27" s="28"/>
      <c r="H27" s="28"/>
      <c r="I27" s="9"/>
    </row>
    <row r="28" spans="2:9" x14ac:dyDescent="0.25">
      <c r="B28" s="236">
        <v>7</v>
      </c>
      <c r="C28" s="237" t="s">
        <v>83</v>
      </c>
      <c r="D28" s="237"/>
      <c r="E28" s="237"/>
      <c r="F28" s="237"/>
      <c r="G28" s="28"/>
      <c r="H28" s="28"/>
      <c r="I28" s="9"/>
    </row>
    <row r="29" spans="2:9" x14ac:dyDescent="0.25">
      <c r="B29" s="236"/>
      <c r="C29" s="248" t="s">
        <v>84</v>
      </c>
      <c r="D29" s="248"/>
      <c r="E29" s="248"/>
      <c r="F29" s="248"/>
      <c r="G29" s="28"/>
      <c r="H29" s="28"/>
      <c r="I29" s="9"/>
    </row>
    <row r="30" spans="2:9" x14ac:dyDescent="0.25">
      <c r="B30" s="236">
        <v>8</v>
      </c>
      <c r="C30" s="237" t="s">
        <v>85</v>
      </c>
      <c r="D30" s="237"/>
      <c r="E30" s="237"/>
      <c r="F30" s="237"/>
      <c r="G30" s="28"/>
      <c r="H30" s="28"/>
      <c r="I30" s="9"/>
    </row>
    <row r="31" spans="2:9" x14ac:dyDescent="0.25">
      <c r="B31" s="236"/>
      <c r="C31" s="249"/>
      <c r="D31" s="249"/>
      <c r="E31" s="249"/>
      <c r="F31" s="249"/>
      <c r="G31" s="28"/>
      <c r="H31" s="28"/>
      <c r="I31" s="9"/>
    </row>
    <row r="32" spans="2:9" x14ac:dyDescent="0.25">
      <c r="B32" s="236">
        <v>9</v>
      </c>
      <c r="C32" s="237" t="s">
        <v>86</v>
      </c>
      <c r="D32" s="237"/>
      <c r="E32" s="237"/>
      <c r="F32" s="237"/>
      <c r="G32" s="28"/>
      <c r="H32" s="28"/>
      <c r="I32" s="9"/>
    </row>
    <row r="33" spans="2:9" x14ac:dyDescent="0.25">
      <c r="B33" s="236"/>
      <c r="C33" s="238"/>
      <c r="D33" s="238"/>
      <c r="E33" s="238"/>
      <c r="F33" s="238"/>
      <c r="G33" s="28"/>
      <c r="H33" s="28"/>
      <c r="I33" s="9"/>
    </row>
    <row r="34" spans="2:9" x14ac:dyDescent="0.25">
      <c r="B34" s="236">
        <v>10</v>
      </c>
      <c r="C34" s="237" t="s">
        <v>87</v>
      </c>
      <c r="D34" s="237"/>
      <c r="E34" s="237"/>
      <c r="F34" s="237"/>
      <c r="G34" s="28"/>
      <c r="H34" s="28"/>
      <c r="I34" s="9"/>
    </row>
    <row r="35" spans="2:9" x14ac:dyDescent="0.25">
      <c r="B35" s="236"/>
      <c r="C35" s="238"/>
      <c r="D35" s="238"/>
      <c r="E35" s="238"/>
      <c r="F35" s="238"/>
      <c r="G35" s="28"/>
      <c r="H35" s="28"/>
      <c r="I35" s="9"/>
    </row>
    <row r="36" spans="2:9" x14ac:dyDescent="0.25">
      <c r="B36" s="236">
        <v>11</v>
      </c>
      <c r="C36" s="237" t="s">
        <v>88</v>
      </c>
      <c r="D36" s="237"/>
      <c r="E36" s="237"/>
      <c r="F36" s="237"/>
      <c r="G36" s="28"/>
      <c r="H36" s="28"/>
      <c r="I36" s="9"/>
    </row>
    <row r="37" spans="2:9" x14ac:dyDescent="0.25">
      <c r="B37" s="236"/>
      <c r="C37" s="238"/>
      <c r="D37" s="238"/>
      <c r="E37" s="238"/>
      <c r="F37" s="238"/>
      <c r="G37" s="28"/>
      <c r="H37" s="28"/>
      <c r="I37" s="9"/>
    </row>
    <row r="38" spans="2:9" x14ac:dyDescent="0.25">
      <c r="B38" s="236">
        <v>12</v>
      </c>
      <c r="C38" s="237" t="s">
        <v>89</v>
      </c>
      <c r="D38" s="237"/>
      <c r="E38" s="237"/>
      <c r="F38" s="237"/>
      <c r="G38" s="28"/>
      <c r="H38" s="28"/>
      <c r="I38" s="9"/>
    </row>
    <row r="39" spans="2:9" x14ac:dyDescent="0.25">
      <c r="B39" s="236"/>
      <c r="C39" s="238"/>
      <c r="D39" s="238"/>
      <c r="E39" s="238"/>
      <c r="F39" s="238"/>
      <c r="G39" s="28"/>
      <c r="H39" s="28"/>
      <c r="I39" s="9"/>
    </row>
    <row r="40" spans="2:9" x14ac:dyDescent="0.25">
      <c r="B40" s="12"/>
      <c r="C40" s="12"/>
      <c r="D40" s="12"/>
      <c r="E40" s="12"/>
      <c r="F40" s="12"/>
      <c r="G40" s="12"/>
      <c r="H40" s="125" t="s">
        <v>90</v>
      </c>
      <c r="I40" s="14"/>
    </row>
    <row r="41" spans="2:9" x14ac:dyDescent="0.25">
      <c r="B41" s="254" t="s">
        <v>91</v>
      </c>
      <c r="C41" s="255"/>
      <c r="D41" s="255"/>
      <c r="E41" s="255"/>
      <c r="F41" s="255"/>
      <c r="G41" s="126"/>
      <c r="H41" s="127"/>
      <c r="I41" s="22"/>
    </row>
    <row r="42" spans="2:9" x14ac:dyDescent="0.25">
      <c r="B42" s="128">
        <v>1</v>
      </c>
      <c r="C42" s="231" t="s">
        <v>92</v>
      </c>
      <c r="D42" s="240"/>
      <c r="E42" s="240"/>
      <c r="F42" s="232"/>
      <c r="G42" s="29" t="s">
        <v>93</v>
      </c>
      <c r="H42" s="29" t="s">
        <v>94</v>
      </c>
      <c r="I42" s="22"/>
    </row>
    <row r="43" spans="2:9" ht="12.75" customHeight="1" x14ac:dyDescent="0.25">
      <c r="B43" s="129" t="s">
        <v>95</v>
      </c>
      <c r="C43" s="130" t="s">
        <v>96</v>
      </c>
      <c r="D43" s="244"/>
      <c r="E43" s="245"/>
      <c r="F43" s="246"/>
      <c r="G43" s="131"/>
      <c r="H43" s="132">
        <v>2312.19</v>
      </c>
      <c r="I43" s="24"/>
    </row>
    <row r="44" spans="2:9" x14ac:dyDescent="0.25">
      <c r="B44" s="129" t="s">
        <v>97</v>
      </c>
      <c r="C44" s="130" t="s">
        <v>98</v>
      </c>
      <c r="D44" s="244" t="s">
        <v>99</v>
      </c>
      <c r="E44" s="245"/>
      <c r="F44" s="246"/>
      <c r="G44" s="133"/>
      <c r="H44" s="134">
        <f>TRUNC(H$43*$G44,2)</f>
        <v>0</v>
      </c>
      <c r="I44" s="24"/>
    </row>
    <row r="45" spans="2:9" x14ac:dyDescent="0.25">
      <c r="B45" s="129" t="s">
        <v>100</v>
      </c>
      <c r="C45" s="135" t="s">
        <v>101</v>
      </c>
      <c r="D45" s="136" t="s">
        <v>102</v>
      </c>
      <c r="E45" s="137" t="s">
        <v>103</v>
      </c>
      <c r="F45" s="138">
        <v>1518</v>
      </c>
      <c r="G45" s="133"/>
      <c r="H45" s="134">
        <f>TRUNC(F$45*$G45,2)</f>
        <v>0</v>
      </c>
      <c r="I45" s="24"/>
    </row>
    <row r="46" spans="2:9" x14ac:dyDescent="0.25">
      <c r="B46" s="129" t="s">
        <v>104</v>
      </c>
      <c r="C46" s="135" t="s">
        <v>105</v>
      </c>
      <c r="D46" s="244" t="s">
        <v>106</v>
      </c>
      <c r="E46" s="245"/>
      <c r="F46" s="246"/>
      <c r="G46" s="139"/>
      <c r="H46" s="140">
        <f>TRUNC(((H$43+H44)*$G46)/220*8*15,2)</f>
        <v>0</v>
      </c>
      <c r="I46" s="24"/>
    </row>
    <row r="47" spans="2:9" x14ac:dyDescent="0.25">
      <c r="B47" s="141" t="s">
        <v>107</v>
      </c>
      <c r="C47" s="142" t="s">
        <v>108</v>
      </c>
      <c r="D47" s="251" t="s">
        <v>106</v>
      </c>
      <c r="E47" s="252"/>
      <c r="F47" s="253"/>
      <c r="G47" s="143"/>
      <c r="H47" s="144">
        <f>TRUNC(((H43+H44)*$G47)/220*1*15,2)</f>
        <v>0</v>
      </c>
      <c r="I47" s="27" t="s">
        <v>109</v>
      </c>
    </row>
    <row r="48" spans="2:9" x14ac:dyDescent="0.25">
      <c r="B48" s="145" t="s">
        <v>110</v>
      </c>
      <c r="C48" s="142" t="s">
        <v>111</v>
      </c>
      <c r="D48" s="251" t="s">
        <v>112</v>
      </c>
      <c r="E48" s="252"/>
      <c r="F48" s="253"/>
      <c r="G48" s="146"/>
      <c r="H48" s="144">
        <f>TRUNC($G$52*H52*(1+$G$48),2)</f>
        <v>0</v>
      </c>
      <c r="I48" s="27" t="s">
        <v>109</v>
      </c>
    </row>
    <row r="49" spans="2:9" x14ac:dyDescent="0.25">
      <c r="B49" s="129" t="s">
        <v>113</v>
      </c>
      <c r="C49" s="135" t="s">
        <v>114</v>
      </c>
      <c r="D49" s="244"/>
      <c r="E49" s="245"/>
      <c r="F49" s="246"/>
      <c r="G49" s="139"/>
      <c r="H49" s="147"/>
      <c r="I49" s="42"/>
    </row>
    <row r="50" spans="2:9" x14ac:dyDescent="0.25">
      <c r="B50" s="129" t="s">
        <v>115</v>
      </c>
      <c r="C50" s="231" t="s">
        <v>33</v>
      </c>
      <c r="D50" s="240"/>
      <c r="E50" s="240"/>
      <c r="F50" s="232"/>
      <c r="G50" s="148"/>
      <c r="H50" s="149">
        <f>SUM(H43:H49)</f>
        <v>2312.19</v>
      </c>
      <c r="I50" s="13"/>
    </row>
    <row r="51" spans="2:9" ht="23" x14ac:dyDescent="0.25">
      <c r="B51" s="22"/>
      <c r="C51" s="250" t="s">
        <v>116</v>
      </c>
      <c r="D51" s="250"/>
      <c r="E51" s="250"/>
      <c r="F51" s="250"/>
      <c r="G51" s="150" t="s">
        <v>117</v>
      </c>
      <c r="H51" s="151" t="s">
        <v>118</v>
      </c>
      <c r="I51" s="43"/>
    </row>
    <row r="52" spans="2:9" x14ac:dyDescent="0.25">
      <c r="B52" s="22"/>
      <c r="C52" s="250"/>
      <c r="D52" s="250"/>
      <c r="E52" s="250"/>
      <c r="F52" s="250"/>
      <c r="G52" s="152"/>
      <c r="H52" s="153">
        <f>IF($G$52="",0,TRUNC((H43+H44+H45)/220,2))</f>
        <v>0</v>
      </c>
      <c r="I52" s="44"/>
    </row>
    <row r="53" spans="2:9" x14ac:dyDescent="0.25">
      <c r="B53" s="22"/>
      <c r="C53" s="22"/>
      <c r="D53" s="22"/>
      <c r="E53" s="22"/>
      <c r="F53" s="22"/>
      <c r="G53" s="22"/>
      <c r="H53" s="13"/>
      <c r="I53" s="13"/>
    </row>
    <row r="54" spans="2:9" ht="12.75" customHeight="1" x14ac:dyDescent="0.25">
      <c r="B54" s="254" t="s">
        <v>119</v>
      </c>
      <c r="C54" s="255"/>
      <c r="D54" s="255"/>
      <c r="E54" s="255"/>
      <c r="F54" s="255"/>
      <c r="G54" s="126"/>
      <c r="H54" s="127"/>
      <c r="I54" s="22"/>
    </row>
    <row r="55" spans="2:9" x14ac:dyDescent="0.25">
      <c r="B55" s="267"/>
      <c r="C55" s="268"/>
      <c r="D55" s="268"/>
      <c r="E55" s="268"/>
      <c r="F55" s="268"/>
      <c r="G55" s="34"/>
      <c r="H55" s="34"/>
      <c r="I55" s="22"/>
    </row>
    <row r="56" spans="2:9" x14ac:dyDescent="0.25">
      <c r="B56" s="295" t="s">
        <v>120</v>
      </c>
      <c r="C56" s="295"/>
      <c r="D56" s="295"/>
      <c r="E56" s="295"/>
      <c r="F56" s="295"/>
      <c r="G56" s="34"/>
      <c r="H56" s="34"/>
      <c r="I56" s="22"/>
    </row>
    <row r="57" spans="2:9" x14ac:dyDescent="0.25">
      <c r="B57" s="29" t="s">
        <v>121</v>
      </c>
      <c r="C57" s="264" t="s">
        <v>122</v>
      </c>
      <c r="D57" s="265"/>
      <c r="E57" s="265"/>
      <c r="F57" s="266"/>
      <c r="G57" s="128" t="s">
        <v>93</v>
      </c>
      <c r="H57" s="128" t="s">
        <v>94</v>
      </c>
      <c r="I57" s="22"/>
    </row>
    <row r="58" spans="2:9" x14ac:dyDescent="0.25">
      <c r="B58" s="129" t="s">
        <v>95</v>
      </c>
      <c r="C58" s="130" t="s">
        <v>123</v>
      </c>
      <c r="D58" s="244" t="s">
        <v>124</v>
      </c>
      <c r="E58" s="245"/>
      <c r="F58" s="246"/>
      <c r="G58" s="32">
        <f>1/12</f>
        <v>8.3333333333333329E-2</v>
      </c>
      <c r="H58" s="33">
        <f>TRUNC((H$50*$G58),2)</f>
        <v>192.68</v>
      </c>
      <c r="I58" s="24"/>
    </row>
    <row r="59" spans="2:9" x14ac:dyDescent="0.25">
      <c r="B59" s="129" t="s">
        <v>97</v>
      </c>
      <c r="C59" s="130" t="s">
        <v>125</v>
      </c>
      <c r="D59" s="244" t="s">
        <v>126</v>
      </c>
      <c r="E59" s="245"/>
      <c r="F59" s="246"/>
      <c r="G59" s="154">
        <f>(1/12)+(1/3/12)</f>
        <v>0.1111111111111111</v>
      </c>
      <c r="H59" s="155">
        <f>TRUNC((H$50*$G59),2)</f>
        <v>256.91000000000003</v>
      </c>
      <c r="I59" s="24"/>
    </row>
    <row r="60" spans="2:9" x14ac:dyDescent="0.25">
      <c r="B60" s="129" t="s">
        <v>127</v>
      </c>
      <c r="C60" s="231" t="s">
        <v>33</v>
      </c>
      <c r="D60" s="240"/>
      <c r="E60" s="240"/>
      <c r="F60" s="232"/>
      <c r="G60" s="156">
        <f>TRUNC(SUM(G58:G59),4)</f>
        <v>0.19439999999999999</v>
      </c>
      <c r="H60" s="149">
        <f>SUM(H58:H59)</f>
        <v>449.59000000000003</v>
      </c>
      <c r="I60" s="13"/>
    </row>
    <row r="61" spans="2:9" x14ac:dyDescent="0.25">
      <c r="B61" s="267"/>
      <c r="C61" s="268"/>
      <c r="D61" s="268"/>
      <c r="E61" s="268"/>
      <c r="F61" s="268"/>
      <c r="G61" s="268"/>
      <c r="H61" s="269"/>
      <c r="I61" s="22"/>
    </row>
    <row r="62" spans="2:9" ht="30" customHeight="1" x14ac:dyDescent="0.25">
      <c r="B62" s="273" t="s">
        <v>128</v>
      </c>
      <c r="C62" s="274"/>
      <c r="D62" s="274"/>
      <c r="E62" s="274"/>
      <c r="F62" s="275"/>
      <c r="G62" s="30"/>
      <c r="H62" s="31"/>
      <c r="I62" s="25"/>
    </row>
    <row r="63" spans="2:9" x14ac:dyDescent="0.25">
      <c r="B63" s="128" t="s">
        <v>129</v>
      </c>
      <c r="C63" s="231" t="s">
        <v>130</v>
      </c>
      <c r="D63" s="240"/>
      <c r="E63" s="240"/>
      <c r="F63" s="232"/>
      <c r="G63" s="128" t="s">
        <v>93</v>
      </c>
      <c r="H63" s="128" t="s">
        <v>94</v>
      </c>
      <c r="I63" s="22"/>
    </row>
    <row r="64" spans="2:9" x14ac:dyDescent="0.25">
      <c r="B64" s="129" t="s">
        <v>95</v>
      </c>
      <c r="C64" s="130" t="s">
        <v>131</v>
      </c>
      <c r="D64" s="244" t="s">
        <v>132</v>
      </c>
      <c r="E64" s="245"/>
      <c r="F64" s="246"/>
      <c r="G64" s="154">
        <v>0.2</v>
      </c>
      <c r="H64" s="155">
        <f>TRUNC((H$50+H$60)*$G64,2)</f>
        <v>552.35</v>
      </c>
      <c r="I64" s="24"/>
    </row>
    <row r="65" spans="2:9" x14ac:dyDescent="0.25">
      <c r="B65" s="129" t="s">
        <v>97</v>
      </c>
      <c r="C65" s="157" t="s">
        <v>133</v>
      </c>
      <c r="D65" s="244" t="s">
        <v>134</v>
      </c>
      <c r="E65" s="245"/>
      <c r="F65" s="246"/>
      <c r="G65" s="154">
        <v>2.5000000000000001E-2</v>
      </c>
      <c r="H65" s="155">
        <f>TRUNC((H$50+H$60)*$G65,2)</f>
        <v>69.040000000000006</v>
      </c>
      <c r="I65" s="24"/>
    </row>
    <row r="66" spans="2:9" x14ac:dyDescent="0.25">
      <c r="B66" s="259" t="s">
        <v>100</v>
      </c>
      <c r="C66" s="261" t="s">
        <v>135</v>
      </c>
      <c r="D66" s="263" t="s">
        <v>136</v>
      </c>
      <c r="E66" s="204" t="s">
        <v>137</v>
      </c>
      <c r="F66" s="204" t="s">
        <v>138</v>
      </c>
      <c r="G66" s="270">
        <f>E67*F67</f>
        <v>0.03</v>
      </c>
      <c r="H66" s="272">
        <f>TRUNC((H$50+H$60)*$G66,2)</f>
        <v>82.85</v>
      </c>
      <c r="I66" s="42"/>
    </row>
    <row r="67" spans="2:9" x14ac:dyDescent="0.25">
      <c r="B67" s="260"/>
      <c r="C67" s="262"/>
      <c r="D67" s="263"/>
      <c r="E67" s="3">
        <v>0.03</v>
      </c>
      <c r="F67" s="4">
        <v>1</v>
      </c>
      <c r="G67" s="271"/>
      <c r="H67" s="272"/>
      <c r="I67" s="42"/>
    </row>
    <row r="68" spans="2:9" x14ac:dyDescent="0.25">
      <c r="B68" s="129" t="s">
        <v>104</v>
      </c>
      <c r="C68" s="130" t="s">
        <v>139</v>
      </c>
      <c r="D68" s="244" t="s">
        <v>140</v>
      </c>
      <c r="E68" s="245"/>
      <c r="F68" s="246"/>
      <c r="G68" s="154">
        <v>1.4999999999999999E-2</v>
      </c>
      <c r="H68" s="155">
        <f>TRUNC((H$50+H$60)*$G68,2)</f>
        <v>41.42</v>
      </c>
      <c r="I68" s="24"/>
    </row>
    <row r="69" spans="2:9" x14ac:dyDescent="0.25">
      <c r="B69" s="129" t="s">
        <v>107</v>
      </c>
      <c r="C69" s="130" t="s">
        <v>141</v>
      </c>
      <c r="D69" s="244" t="s">
        <v>142</v>
      </c>
      <c r="E69" s="245"/>
      <c r="F69" s="246"/>
      <c r="G69" s="154">
        <v>0.01</v>
      </c>
      <c r="H69" s="155">
        <f>TRUNC((H$50+H$60)*$G69,2)</f>
        <v>27.61</v>
      </c>
      <c r="I69" s="24"/>
    </row>
    <row r="70" spans="2:9" x14ac:dyDescent="0.25">
      <c r="B70" s="129" t="s">
        <v>110</v>
      </c>
      <c r="C70" s="130" t="s">
        <v>143</v>
      </c>
      <c r="D70" s="244" t="s">
        <v>144</v>
      </c>
      <c r="E70" s="245"/>
      <c r="F70" s="246"/>
      <c r="G70" s="154">
        <v>6.0000000000000001E-3</v>
      </c>
      <c r="H70" s="155">
        <f>TRUNC((H$50+H$60)*$G70,2)</f>
        <v>16.57</v>
      </c>
      <c r="I70" s="24"/>
    </row>
    <row r="71" spans="2:9" x14ac:dyDescent="0.25">
      <c r="B71" s="129" t="s">
        <v>113</v>
      </c>
      <c r="C71" s="130" t="s">
        <v>145</v>
      </c>
      <c r="D71" s="244" t="s">
        <v>146</v>
      </c>
      <c r="E71" s="245"/>
      <c r="F71" s="246"/>
      <c r="G71" s="154">
        <v>2E-3</v>
      </c>
      <c r="H71" s="155">
        <f>TRUNC((H$50+H$60)*$G71,2)</f>
        <v>5.52</v>
      </c>
      <c r="I71" s="24"/>
    </row>
    <row r="72" spans="2:9" x14ac:dyDescent="0.25">
      <c r="B72" s="129" t="s">
        <v>147</v>
      </c>
      <c r="C72" s="130" t="s">
        <v>148</v>
      </c>
      <c r="D72" s="244" t="s">
        <v>149</v>
      </c>
      <c r="E72" s="245"/>
      <c r="F72" s="246"/>
      <c r="G72" s="154">
        <v>0.08</v>
      </c>
      <c r="H72" s="155">
        <f>TRUNC((H$50+H$60)*$G72,2)</f>
        <v>220.94</v>
      </c>
      <c r="I72" s="24"/>
    </row>
    <row r="73" spans="2:9" x14ac:dyDescent="0.25">
      <c r="B73" s="129" t="s">
        <v>150</v>
      </c>
      <c r="C73" s="231" t="s">
        <v>33</v>
      </c>
      <c r="D73" s="240"/>
      <c r="E73" s="240"/>
      <c r="F73" s="232"/>
      <c r="G73" s="80">
        <f>SUM(G64:G72)</f>
        <v>0.36800000000000005</v>
      </c>
      <c r="H73" s="149">
        <f>SUM(H64:H72)</f>
        <v>1016.3</v>
      </c>
      <c r="I73" s="13"/>
    </row>
    <row r="74" spans="2:9" x14ac:dyDescent="0.25">
      <c r="B74" s="276"/>
      <c r="C74" s="277"/>
      <c r="D74" s="277"/>
      <c r="E74" s="277"/>
      <c r="F74" s="277"/>
      <c r="G74" s="277"/>
      <c r="H74" s="278"/>
      <c r="I74" s="25"/>
    </row>
    <row r="75" spans="2:9" ht="12.75" customHeight="1" x14ac:dyDescent="0.25">
      <c r="B75" s="273" t="s">
        <v>151</v>
      </c>
      <c r="C75" s="274"/>
      <c r="D75" s="274"/>
      <c r="E75" s="274"/>
      <c r="F75" s="275"/>
      <c r="G75" s="30"/>
      <c r="H75" s="31"/>
      <c r="I75" s="25"/>
    </row>
    <row r="76" spans="2:9" x14ac:dyDescent="0.25">
      <c r="B76" s="128" t="s">
        <v>152</v>
      </c>
      <c r="C76" s="231" t="s">
        <v>153</v>
      </c>
      <c r="D76" s="240"/>
      <c r="E76" s="240"/>
      <c r="F76" s="240"/>
      <c r="G76" s="81"/>
      <c r="H76" s="128" t="s">
        <v>94</v>
      </c>
      <c r="I76" s="22"/>
    </row>
    <row r="77" spans="2:9" ht="12.75" customHeight="1" x14ac:dyDescent="0.25">
      <c r="B77" s="129" t="s">
        <v>95</v>
      </c>
      <c r="C77" s="130" t="s">
        <v>154</v>
      </c>
      <c r="D77" s="136" t="s">
        <v>155</v>
      </c>
      <c r="E77" s="235" t="s">
        <v>156</v>
      </c>
      <c r="F77" s="235"/>
      <c r="G77" s="82">
        <v>5.5</v>
      </c>
      <c r="H77" s="83">
        <f>IF((TRUNC((G77*2*22)-(H$43*6%),2))&lt;0,"0,00",(TRUNC((G77*2*22)-(H$43*6%),2)))</f>
        <v>103.26</v>
      </c>
      <c r="I77" s="45"/>
    </row>
    <row r="78" spans="2:9" ht="12.75" customHeight="1" x14ac:dyDescent="0.25">
      <c r="B78" s="129" t="s">
        <v>97</v>
      </c>
      <c r="C78" s="130" t="s">
        <v>157</v>
      </c>
      <c r="D78" s="158" t="s">
        <v>158</v>
      </c>
      <c r="E78" s="159"/>
      <c r="F78" s="159"/>
      <c r="G78" s="160"/>
      <c r="H78" s="83">
        <f>37*22</f>
        <v>814</v>
      </c>
      <c r="I78" s="45"/>
    </row>
    <row r="79" spans="2:9" x14ac:dyDescent="0.25">
      <c r="B79" s="129" t="s">
        <v>100</v>
      </c>
      <c r="C79" s="130" t="s">
        <v>246</v>
      </c>
      <c r="D79" s="158"/>
      <c r="E79" s="159"/>
      <c r="F79" s="159"/>
      <c r="G79" s="160"/>
      <c r="H79" s="83">
        <f>H78/12</f>
        <v>67.833333333333329</v>
      </c>
      <c r="I79" s="45"/>
    </row>
    <row r="80" spans="2:9" s="14" customFormat="1" x14ac:dyDescent="0.25">
      <c r="B80" s="129" t="s">
        <v>104</v>
      </c>
      <c r="C80" s="130" t="s">
        <v>247</v>
      </c>
      <c r="D80" s="158"/>
      <c r="E80" s="159"/>
      <c r="F80" s="159"/>
      <c r="G80" s="160"/>
      <c r="H80" s="83">
        <f>(H43*3%)/36</f>
        <v>1.926825</v>
      </c>
      <c r="I80" s="45"/>
    </row>
    <row r="81" spans="2:9" s="14" customFormat="1" x14ac:dyDescent="0.25">
      <c r="B81" s="129" t="s">
        <v>107</v>
      </c>
      <c r="C81" s="130" t="s">
        <v>248</v>
      </c>
      <c r="D81" s="158"/>
      <c r="E81" s="159"/>
      <c r="F81" s="159"/>
      <c r="G81" s="160"/>
      <c r="H81" s="83">
        <v>184.85</v>
      </c>
      <c r="I81" s="45"/>
    </row>
    <row r="82" spans="2:9" s="14" customFormat="1" x14ac:dyDescent="0.25">
      <c r="B82" s="129" t="s">
        <v>110</v>
      </c>
      <c r="C82" s="130" t="s">
        <v>249</v>
      </c>
      <c r="D82" s="158"/>
      <c r="E82" s="159"/>
      <c r="F82" s="159"/>
      <c r="G82" s="160"/>
      <c r="H82" s="83">
        <v>29</v>
      </c>
      <c r="I82" s="45"/>
    </row>
    <row r="83" spans="2:9" s="14" customFormat="1" x14ac:dyDescent="0.25">
      <c r="B83" s="129" t="s">
        <v>113</v>
      </c>
      <c r="C83" s="130" t="s">
        <v>250</v>
      </c>
      <c r="D83" s="158"/>
      <c r="E83" s="159"/>
      <c r="F83" s="159"/>
      <c r="G83" s="160"/>
      <c r="H83" s="83">
        <f>H111/2/12</f>
        <v>7.3545833333333333</v>
      </c>
      <c r="I83" s="45"/>
    </row>
    <row r="84" spans="2:9" s="14" customFormat="1" x14ac:dyDescent="0.25">
      <c r="B84" s="129" t="s">
        <v>147</v>
      </c>
      <c r="C84" s="130" t="s">
        <v>114</v>
      </c>
      <c r="D84" s="158"/>
      <c r="E84" s="159"/>
      <c r="F84" s="159"/>
      <c r="G84" s="160"/>
      <c r="H84" s="83"/>
      <c r="I84" s="45"/>
    </row>
    <row r="85" spans="2:9" x14ac:dyDescent="0.25">
      <c r="B85" s="129" t="s">
        <v>164</v>
      </c>
      <c r="C85" s="231" t="s">
        <v>33</v>
      </c>
      <c r="D85" s="240"/>
      <c r="E85" s="240"/>
      <c r="F85" s="240"/>
      <c r="G85" s="81"/>
      <c r="H85" s="149">
        <f>SUM(H77:H80)</f>
        <v>987.02015833333337</v>
      </c>
      <c r="I85" s="13"/>
    </row>
    <row r="86" spans="2:9" x14ac:dyDescent="0.25">
      <c r="B86" s="267"/>
      <c r="C86" s="268"/>
      <c r="D86" s="268"/>
      <c r="E86" s="268"/>
      <c r="F86" s="268"/>
      <c r="G86" s="268"/>
      <c r="H86" s="269"/>
      <c r="I86" s="22"/>
    </row>
    <row r="87" spans="2:9" x14ac:dyDescent="0.25">
      <c r="B87" s="280" t="s">
        <v>165</v>
      </c>
      <c r="C87" s="281"/>
      <c r="D87" s="281"/>
      <c r="E87" s="281"/>
      <c r="F87" s="281"/>
      <c r="G87" s="34"/>
      <c r="H87" s="34"/>
      <c r="I87" s="22"/>
    </row>
    <row r="88" spans="2:9" x14ac:dyDescent="0.25">
      <c r="B88" s="128">
        <v>2</v>
      </c>
      <c r="C88" s="231" t="s">
        <v>166</v>
      </c>
      <c r="D88" s="240"/>
      <c r="E88" s="240"/>
      <c r="F88" s="240"/>
      <c r="G88" s="81"/>
      <c r="H88" s="128" t="s">
        <v>94</v>
      </c>
      <c r="I88" s="22"/>
    </row>
    <row r="89" spans="2:9" x14ac:dyDescent="0.25">
      <c r="B89" s="129" t="s">
        <v>121</v>
      </c>
      <c r="C89" s="86" t="s">
        <v>122</v>
      </c>
      <c r="D89" s="158" t="s">
        <v>127</v>
      </c>
      <c r="E89" s="159"/>
      <c r="F89" s="159"/>
      <c r="G89" s="160"/>
      <c r="H89" s="155">
        <f>H60</f>
        <v>449.59000000000003</v>
      </c>
      <c r="I89" s="24"/>
    </row>
    <row r="90" spans="2:9" x14ac:dyDescent="0.25">
      <c r="B90" s="129" t="s">
        <v>129</v>
      </c>
      <c r="C90" s="86" t="s">
        <v>167</v>
      </c>
      <c r="D90" s="158" t="s">
        <v>150</v>
      </c>
      <c r="E90" s="159"/>
      <c r="F90" s="159"/>
      <c r="G90" s="160"/>
      <c r="H90" s="155">
        <f>H73</f>
        <v>1016.3</v>
      </c>
      <c r="I90" s="24"/>
    </row>
    <row r="91" spans="2:9" x14ac:dyDescent="0.25">
      <c r="B91" s="129" t="s">
        <v>152</v>
      </c>
      <c r="C91" s="86" t="s">
        <v>153</v>
      </c>
      <c r="D91" s="158" t="s">
        <v>164</v>
      </c>
      <c r="E91" s="159"/>
      <c r="F91" s="159"/>
      <c r="G91" s="160"/>
      <c r="H91" s="155">
        <f>H85</f>
        <v>987.02015833333337</v>
      </c>
      <c r="I91" s="24"/>
    </row>
    <row r="92" spans="2:9" x14ac:dyDescent="0.25">
      <c r="B92" s="129" t="s">
        <v>168</v>
      </c>
      <c r="C92" s="231" t="s">
        <v>33</v>
      </c>
      <c r="D92" s="240"/>
      <c r="E92" s="240"/>
      <c r="F92" s="240"/>
      <c r="G92" s="81"/>
      <c r="H92" s="149">
        <f>SUM(H89:H91)</f>
        <v>2452.9101583333331</v>
      </c>
      <c r="I92" s="13"/>
    </row>
    <row r="93" spans="2:9" x14ac:dyDescent="0.25">
      <c r="B93" s="268"/>
      <c r="C93" s="268"/>
      <c r="D93" s="268"/>
      <c r="E93" s="268"/>
      <c r="F93" s="268"/>
      <c r="G93" s="268"/>
      <c r="H93" s="268"/>
      <c r="I93" s="22"/>
    </row>
    <row r="94" spans="2:9" x14ac:dyDescent="0.25">
      <c r="B94" s="22"/>
      <c r="C94" s="22"/>
      <c r="D94" s="22"/>
      <c r="E94" s="22"/>
      <c r="F94" s="22"/>
      <c r="G94" s="22"/>
      <c r="H94" s="22"/>
      <c r="I94" s="22"/>
    </row>
    <row r="95" spans="2:9" x14ac:dyDescent="0.25">
      <c r="B95" s="254" t="s">
        <v>169</v>
      </c>
      <c r="C95" s="255"/>
      <c r="D95" s="255"/>
      <c r="E95" s="255"/>
      <c r="F95" s="279"/>
      <c r="G95" s="126"/>
      <c r="H95" s="127"/>
      <c r="I95" s="22"/>
    </row>
    <row r="96" spans="2:9" x14ac:dyDescent="0.25">
      <c r="B96" s="128">
        <v>3</v>
      </c>
      <c r="C96" s="231" t="s">
        <v>170</v>
      </c>
      <c r="D96" s="240"/>
      <c r="E96" s="240"/>
      <c r="F96" s="232"/>
      <c r="G96" s="128" t="s">
        <v>93</v>
      </c>
      <c r="H96" s="128" t="s">
        <v>94</v>
      </c>
      <c r="I96" s="22"/>
    </row>
    <row r="97" spans="2:9" x14ac:dyDescent="0.25">
      <c r="B97" s="129" t="s">
        <v>95</v>
      </c>
      <c r="C97" s="87" t="s">
        <v>171</v>
      </c>
      <c r="D97" s="158" t="s">
        <v>172</v>
      </c>
      <c r="E97" s="159"/>
      <c r="F97" s="160"/>
      <c r="G97" s="88">
        <v>1</v>
      </c>
      <c r="H97" s="89">
        <f>TRUNC((H$98+H$99)*$G97,2)</f>
        <v>410.57</v>
      </c>
      <c r="I97" s="13"/>
    </row>
    <row r="98" spans="2:9" x14ac:dyDescent="0.25">
      <c r="B98" s="129" t="s">
        <v>97</v>
      </c>
      <c r="C98" s="130" t="s">
        <v>173</v>
      </c>
      <c r="D98" s="158" t="s">
        <v>174</v>
      </c>
      <c r="E98" s="159"/>
      <c r="F98" s="160"/>
      <c r="G98" s="90"/>
      <c r="H98" s="155">
        <f>TRUNC((H$50+H$60+H$72+H$85-H77)/12,2)</f>
        <v>322.2</v>
      </c>
      <c r="I98" s="24"/>
    </row>
    <row r="99" spans="2:9" x14ac:dyDescent="0.25">
      <c r="B99" s="129" t="s">
        <v>100</v>
      </c>
      <c r="C99" s="130" t="s">
        <v>175</v>
      </c>
      <c r="D99" s="244" t="s">
        <v>176</v>
      </c>
      <c r="E99" s="246"/>
      <c r="F99" s="91">
        <v>0.4</v>
      </c>
      <c r="G99" s="90"/>
      <c r="H99" s="155">
        <f>TRUNC(H$72*$F99,2)</f>
        <v>88.37</v>
      </c>
      <c r="I99" s="24"/>
    </row>
    <row r="100" spans="2:9" x14ac:dyDescent="0.25">
      <c r="B100" s="129" t="s">
        <v>104</v>
      </c>
      <c r="C100" s="87" t="s">
        <v>177</v>
      </c>
      <c r="D100" s="158" t="s">
        <v>178</v>
      </c>
      <c r="E100" s="159"/>
      <c r="F100" s="160"/>
      <c r="G100" s="88">
        <v>1</v>
      </c>
      <c r="H100" s="92">
        <f>IF($G100&gt;=1,(TRUNC(H$101*$G100,2)),"ERRO")</f>
        <v>88.37</v>
      </c>
      <c r="I100" s="46"/>
    </row>
    <row r="101" spans="2:9" x14ac:dyDescent="0.25">
      <c r="B101" s="129" t="s">
        <v>107</v>
      </c>
      <c r="C101" s="130" t="s">
        <v>179</v>
      </c>
      <c r="D101" s="244" t="s">
        <v>176</v>
      </c>
      <c r="E101" s="246"/>
      <c r="F101" s="91">
        <v>0.4</v>
      </c>
      <c r="G101" s="90"/>
      <c r="H101" s="155">
        <f>TRUNC(H$72*$F101,2)</f>
        <v>88.37</v>
      </c>
      <c r="I101" s="24"/>
    </row>
    <row r="102" spans="2:9" x14ac:dyDescent="0.25">
      <c r="B102" s="129" t="s">
        <v>110</v>
      </c>
      <c r="C102" s="87" t="s">
        <v>180</v>
      </c>
      <c r="D102" s="282" t="s">
        <v>181</v>
      </c>
      <c r="E102" s="283"/>
      <c r="F102" s="93">
        <v>12</v>
      </c>
      <c r="G102" s="93">
        <v>3</v>
      </c>
      <c r="H102" s="155">
        <f>TRUNC(((H$50+H$60+H$73)/30)*$G102/$F102,2)</f>
        <v>31.48</v>
      </c>
      <c r="I102" s="24"/>
    </row>
    <row r="103" spans="2:9" x14ac:dyDescent="0.25">
      <c r="B103" s="129" t="s">
        <v>182</v>
      </c>
      <c r="C103" s="231" t="s">
        <v>33</v>
      </c>
      <c r="D103" s="240"/>
      <c r="E103" s="240"/>
      <c r="F103" s="240"/>
      <c r="G103" s="81"/>
      <c r="H103" s="149">
        <f>H$97+H$100+H$102</f>
        <v>530.41999999999996</v>
      </c>
      <c r="I103" s="13"/>
    </row>
    <row r="104" spans="2:9" x14ac:dyDescent="0.25">
      <c r="B104" s="21"/>
      <c r="C104" s="21"/>
      <c r="D104" s="21"/>
      <c r="E104" s="21"/>
      <c r="F104" s="21"/>
      <c r="G104" s="21"/>
      <c r="H104" s="21"/>
      <c r="I104" s="21"/>
    </row>
    <row r="105" spans="2:9" x14ac:dyDescent="0.25">
      <c r="B105" s="22"/>
      <c r="C105" s="22"/>
      <c r="D105" s="22"/>
      <c r="E105" s="22"/>
      <c r="F105" s="22"/>
      <c r="G105" s="22"/>
      <c r="H105" s="22"/>
      <c r="I105" s="22"/>
    </row>
    <row r="106" spans="2:9" x14ac:dyDescent="0.25">
      <c r="B106" s="254" t="s">
        <v>183</v>
      </c>
      <c r="C106" s="255"/>
      <c r="D106" s="255"/>
      <c r="E106" s="255"/>
      <c r="F106" s="279"/>
      <c r="G106" s="126"/>
      <c r="H106" s="127"/>
      <c r="I106" s="22"/>
    </row>
    <row r="107" spans="2:9" x14ac:dyDescent="0.25">
      <c r="B107" s="284" t="s">
        <v>184</v>
      </c>
      <c r="C107" s="285"/>
      <c r="D107" s="285"/>
      <c r="E107" s="285"/>
      <c r="F107" s="285"/>
      <c r="G107" s="35"/>
      <c r="H107" s="36"/>
      <c r="I107" s="22"/>
    </row>
    <row r="108" spans="2:9" x14ac:dyDescent="0.25">
      <c r="B108" s="128" t="s">
        <v>185</v>
      </c>
      <c r="C108" s="231" t="s">
        <v>186</v>
      </c>
      <c r="D108" s="240"/>
      <c r="E108" s="240"/>
      <c r="F108" s="232"/>
      <c r="G108" s="128" t="s">
        <v>187</v>
      </c>
      <c r="H108" s="128" t="s">
        <v>94</v>
      </c>
      <c r="I108" s="22"/>
    </row>
    <row r="109" spans="2:9" x14ac:dyDescent="0.25">
      <c r="B109" s="129" t="s">
        <v>95</v>
      </c>
      <c r="C109" s="130" t="s">
        <v>188</v>
      </c>
      <c r="D109" s="158" t="s">
        <v>189</v>
      </c>
      <c r="E109" s="159"/>
      <c r="F109" s="160"/>
      <c r="G109" s="93">
        <v>30</v>
      </c>
      <c r="H109" s="155">
        <f>TRUNC((H$111*$G109)/12,2)</f>
        <v>441.27</v>
      </c>
      <c r="I109" s="24"/>
    </row>
    <row r="110" spans="2:9" ht="23" x14ac:dyDescent="0.25">
      <c r="B110" s="129" t="s">
        <v>97</v>
      </c>
      <c r="C110" s="95" t="s">
        <v>190</v>
      </c>
      <c r="D110" s="161" t="s">
        <v>191</v>
      </c>
      <c r="E110" s="162"/>
      <c r="F110" s="163"/>
      <c r="G110" s="99">
        <v>8</v>
      </c>
      <c r="H110" s="155">
        <f>TRUNC((H$111*$G110)/12,2)</f>
        <v>117.67</v>
      </c>
      <c r="I110" s="24"/>
    </row>
    <row r="111" spans="2:9" x14ac:dyDescent="0.25">
      <c r="B111" s="129" t="s">
        <v>100</v>
      </c>
      <c r="C111" s="130" t="s">
        <v>192</v>
      </c>
      <c r="D111" s="158" t="s">
        <v>193</v>
      </c>
      <c r="E111" s="159"/>
      <c r="F111" s="159"/>
      <c r="G111" s="85"/>
      <c r="H111" s="155">
        <f>TRUNC((H$50+H$92+H$103)/30,2)</f>
        <v>176.51</v>
      </c>
      <c r="I111" s="24"/>
    </row>
    <row r="112" spans="2:9" x14ac:dyDescent="0.25">
      <c r="B112" s="129" t="s">
        <v>194</v>
      </c>
      <c r="C112" s="231" t="s">
        <v>33</v>
      </c>
      <c r="D112" s="240"/>
      <c r="E112" s="240"/>
      <c r="F112" s="240"/>
      <c r="G112" s="81"/>
      <c r="H112" s="149">
        <f>TRUNC(H$109+H$110,2)</f>
        <v>558.94000000000005</v>
      </c>
      <c r="I112" s="13"/>
    </row>
    <row r="113" spans="2:9" x14ac:dyDescent="0.25">
      <c r="B113" s="15"/>
      <c r="C113" s="16"/>
      <c r="D113" s="16"/>
      <c r="E113" s="16"/>
      <c r="F113" s="16"/>
      <c r="G113" s="16"/>
      <c r="H113" s="17"/>
      <c r="I113" s="16"/>
    </row>
    <row r="114" spans="2:9" x14ac:dyDescent="0.25">
      <c r="B114" s="280" t="s">
        <v>195</v>
      </c>
      <c r="C114" s="281"/>
      <c r="D114" s="281"/>
      <c r="E114" s="281"/>
      <c r="F114" s="281"/>
      <c r="G114" s="37"/>
      <c r="H114" s="38"/>
      <c r="I114" s="22"/>
    </row>
    <row r="115" spans="2:9" x14ac:dyDescent="0.25">
      <c r="B115" s="128" t="s">
        <v>196</v>
      </c>
      <c r="C115" s="231" t="s">
        <v>197</v>
      </c>
      <c r="D115" s="240"/>
      <c r="E115" s="240"/>
      <c r="F115" s="232"/>
      <c r="G115" s="128" t="s">
        <v>187</v>
      </c>
      <c r="H115" s="128" t="s">
        <v>94</v>
      </c>
      <c r="I115" s="22"/>
    </row>
    <row r="116" spans="2:9" ht="23" x14ac:dyDescent="0.25">
      <c r="B116" s="129" t="s">
        <v>95</v>
      </c>
      <c r="C116" s="95" t="s">
        <v>198</v>
      </c>
      <c r="D116" s="158" t="s">
        <v>199</v>
      </c>
      <c r="E116" s="159"/>
      <c r="F116" s="159"/>
      <c r="G116" s="93"/>
      <c r="H116" s="155">
        <f>TRUNC(((H$50+H92+H103)/220)*(1+50%)*G116,2)</f>
        <v>0</v>
      </c>
      <c r="I116" s="24"/>
    </row>
    <row r="117" spans="2:9" x14ac:dyDescent="0.25">
      <c r="B117" s="129" t="s">
        <v>200</v>
      </c>
      <c r="C117" s="231" t="s">
        <v>33</v>
      </c>
      <c r="D117" s="240"/>
      <c r="E117" s="240"/>
      <c r="F117" s="240"/>
      <c r="G117" s="100"/>
      <c r="H117" s="149">
        <f>H116</f>
        <v>0</v>
      </c>
      <c r="I117" s="24"/>
    </row>
    <row r="118" spans="2:9" x14ac:dyDescent="0.25">
      <c r="B118" s="101"/>
      <c r="C118" s="186"/>
      <c r="D118" s="186"/>
      <c r="E118" s="186"/>
      <c r="F118" s="186"/>
      <c r="G118" s="22"/>
      <c r="H118" s="41"/>
      <c r="I118" s="47"/>
    </row>
    <row r="119" spans="2:9" x14ac:dyDescent="0.25">
      <c r="B119" s="280" t="s">
        <v>201</v>
      </c>
      <c r="C119" s="281"/>
      <c r="D119" s="281"/>
      <c r="E119" s="281"/>
      <c r="F119" s="281"/>
      <c r="G119" s="37"/>
      <c r="H119" s="38"/>
      <c r="I119" s="22"/>
    </row>
    <row r="120" spans="2:9" x14ac:dyDescent="0.25">
      <c r="B120" s="128">
        <v>4</v>
      </c>
      <c r="C120" s="231" t="s">
        <v>202</v>
      </c>
      <c r="D120" s="240"/>
      <c r="E120" s="240"/>
      <c r="F120" s="240"/>
      <c r="G120" s="232"/>
      <c r="H120" s="128" t="s">
        <v>94</v>
      </c>
      <c r="I120" s="22"/>
    </row>
    <row r="121" spans="2:9" x14ac:dyDescent="0.25">
      <c r="B121" s="129" t="s">
        <v>185</v>
      </c>
      <c r="C121" s="130" t="s">
        <v>203</v>
      </c>
      <c r="D121" s="158" t="s">
        <v>194</v>
      </c>
      <c r="E121" s="159"/>
      <c r="F121" s="159"/>
      <c r="G121" s="160"/>
      <c r="H121" s="155">
        <f>H112</f>
        <v>558.94000000000005</v>
      </c>
      <c r="I121" s="24"/>
    </row>
    <row r="122" spans="2:9" x14ac:dyDescent="0.25">
      <c r="B122" s="129" t="s">
        <v>196</v>
      </c>
      <c r="C122" s="130" t="s">
        <v>204</v>
      </c>
      <c r="D122" s="158" t="s">
        <v>200</v>
      </c>
      <c r="E122" s="159"/>
      <c r="F122" s="159"/>
      <c r="G122" s="160"/>
      <c r="H122" s="155">
        <f>H117</f>
        <v>0</v>
      </c>
      <c r="I122" s="24"/>
    </row>
    <row r="123" spans="2:9" x14ac:dyDescent="0.25">
      <c r="B123" s="129" t="s">
        <v>205</v>
      </c>
      <c r="C123" s="231" t="s">
        <v>33</v>
      </c>
      <c r="D123" s="240"/>
      <c r="E123" s="240"/>
      <c r="F123" s="240"/>
      <c r="G123" s="81"/>
      <c r="H123" s="149">
        <f>SUM(H121:H122)</f>
        <v>558.94000000000005</v>
      </c>
      <c r="I123" s="13"/>
    </row>
    <row r="124" spans="2:9" x14ac:dyDescent="0.25">
      <c r="B124" s="22"/>
      <c r="C124" s="22"/>
      <c r="D124" s="22"/>
      <c r="E124" s="22"/>
      <c r="F124" s="22"/>
      <c r="G124" s="22"/>
      <c r="H124" s="22"/>
      <c r="I124" s="22"/>
    </row>
    <row r="125" spans="2:9" x14ac:dyDescent="0.25">
      <c r="B125" s="22"/>
      <c r="C125" s="22"/>
      <c r="D125" s="22"/>
      <c r="E125" s="22"/>
      <c r="F125" s="22"/>
      <c r="G125" s="22"/>
      <c r="H125" s="22"/>
      <c r="I125" s="22"/>
    </row>
    <row r="126" spans="2:9" x14ac:dyDescent="0.25">
      <c r="B126" s="254" t="s">
        <v>206</v>
      </c>
      <c r="C126" s="255"/>
      <c r="D126" s="255"/>
      <c r="E126" s="255"/>
      <c r="F126" s="279"/>
      <c r="G126" s="126"/>
      <c r="H126" s="127"/>
      <c r="I126" s="22"/>
    </row>
    <row r="127" spans="2:9" x14ac:dyDescent="0.25">
      <c r="B127" s="128">
        <v>5</v>
      </c>
      <c r="C127" s="292" t="s">
        <v>207</v>
      </c>
      <c r="D127" s="293"/>
      <c r="E127" s="293"/>
      <c r="F127" s="293"/>
      <c r="G127" s="294"/>
      <c r="H127" s="128" t="s">
        <v>94</v>
      </c>
      <c r="I127" s="22"/>
    </row>
    <row r="128" spans="2:9" x14ac:dyDescent="0.25">
      <c r="B128" s="129" t="s">
        <v>95</v>
      </c>
      <c r="C128" s="102" t="s">
        <v>208</v>
      </c>
      <c r="D128" s="103"/>
      <c r="E128" s="103"/>
      <c r="F128" s="103"/>
      <c r="G128" s="104"/>
      <c r="H128" s="140">
        <v>26.52</v>
      </c>
      <c r="I128" s="24"/>
    </row>
    <row r="129" spans="2:9" x14ac:dyDescent="0.25">
      <c r="B129" s="129" t="s">
        <v>97</v>
      </c>
      <c r="C129" s="102" t="s">
        <v>209</v>
      </c>
      <c r="D129" s="103"/>
      <c r="E129" s="103"/>
      <c r="F129" s="103"/>
      <c r="G129" s="104"/>
      <c r="H129" s="140"/>
      <c r="I129" s="24"/>
    </row>
    <row r="130" spans="2:9" x14ac:dyDescent="0.25">
      <c r="B130" s="129" t="s">
        <v>100</v>
      </c>
      <c r="C130" s="102" t="s">
        <v>210</v>
      </c>
      <c r="D130" s="103"/>
      <c r="E130" s="103"/>
      <c r="F130" s="103"/>
      <c r="G130" s="104"/>
      <c r="H130" s="140">
        <f>'Demais componentes'!F9</f>
        <v>671.00025925925922</v>
      </c>
      <c r="I130" s="24"/>
    </row>
    <row r="131" spans="2:9" x14ac:dyDescent="0.25">
      <c r="B131" s="129" t="s">
        <v>104</v>
      </c>
      <c r="C131" s="102" t="s">
        <v>114</v>
      </c>
      <c r="D131" s="103"/>
      <c r="E131" s="103"/>
      <c r="F131" s="103"/>
      <c r="G131" s="104"/>
      <c r="H131" s="140"/>
      <c r="I131" s="24"/>
    </row>
    <row r="132" spans="2:9" x14ac:dyDescent="0.25">
      <c r="B132" s="129" t="s">
        <v>211</v>
      </c>
      <c r="C132" s="231" t="s">
        <v>33</v>
      </c>
      <c r="D132" s="240"/>
      <c r="E132" s="240"/>
      <c r="F132" s="240"/>
      <c r="G132" s="81"/>
      <c r="H132" s="149">
        <f>SUM(H128:H131)</f>
        <v>697.52025925925921</v>
      </c>
      <c r="I132" s="13"/>
    </row>
    <row r="133" spans="2:9" x14ac:dyDescent="0.25">
      <c r="B133" s="22"/>
      <c r="C133" s="22"/>
      <c r="D133" s="22"/>
      <c r="E133" s="22"/>
      <c r="F133" s="22"/>
      <c r="G133" s="18"/>
      <c r="H133" s="13"/>
      <c r="I133" s="13"/>
    </row>
    <row r="134" spans="2:9" x14ac:dyDescent="0.25">
      <c r="B134" s="22"/>
      <c r="C134" s="22"/>
      <c r="D134" s="22"/>
      <c r="E134" s="22"/>
      <c r="F134" s="22"/>
      <c r="G134" s="22"/>
      <c r="H134" s="22"/>
      <c r="I134" s="22"/>
    </row>
    <row r="135" spans="2:9" x14ac:dyDescent="0.25">
      <c r="B135" s="254" t="s">
        <v>212</v>
      </c>
      <c r="C135" s="255"/>
      <c r="D135" s="255"/>
      <c r="E135" s="255"/>
      <c r="F135" s="279"/>
      <c r="G135" s="126"/>
      <c r="H135" s="127"/>
      <c r="I135" s="22"/>
    </row>
    <row r="136" spans="2:9" x14ac:dyDescent="0.25">
      <c r="B136" s="128">
        <v>6</v>
      </c>
      <c r="C136" s="231" t="s">
        <v>213</v>
      </c>
      <c r="D136" s="240"/>
      <c r="E136" s="240"/>
      <c r="F136" s="232"/>
      <c r="G136" s="128" t="s">
        <v>93</v>
      </c>
      <c r="H136" s="128" t="s">
        <v>94</v>
      </c>
      <c r="I136" s="22"/>
    </row>
    <row r="137" spans="2:9" x14ac:dyDescent="0.25">
      <c r="B137" s="129" t="s">
        <v>95</v>
      </c>
      <c r="C137" s="130" t="s">
        <v>214</v>
      </c>
      <c r="D137" s="244" t="s">
        <v>215</v>
      </c>
      <c r="E137" s="245"/>
      <c r="F137" s="246"/>
      <c r="G137" s="105">
        <v>0.05</v>
      </c>
      <c r="H137" s="155">
        <f>TRUNC(H$154*$G137,2)</f>
        <v>327.58999999999997</v>
      </c>
      <c r="I137" s="24"/>
    </row>
    <row r="138" spans="2:9" x14ac:dyDescent="0.25">
      <c r="B138" s="129" t="s">
        <v>97</v>
      </c>
      <c r="C138" s="130" t="s">
        <v>216</v>
      </c>
      <c r="D138" s="244" t="s">
        <v>217</v>
      </c>
      <c r="E138" s="245"/>
      <c r="F138" s="246"/>
      <c r="G138" s="105">
        <v>0.1</v>
      </c>
      <c r="H138" s="155">
        <f>TRUNC((H$154+H$137)*$G138,2)</f>
        <v>687.95</v>
      </c>
      <c r="I138" s="24"/>
    </row>
    <row r="139" spans="2:9" x14ac:dyDescent="0.25">
      <c r="B139" s="129" t="s">
        <v>100</v>
      </c>
      <c r="C139" s="130" t="s">
        <v>218</v>
      </c>
      <c r="D139" s="244" t="s">
        <v>219</v>
      </c>
      <c r="E139" s="245"/>
      <c r="F139" s="246"/>
      <c r="G139" s="106">
        <f>1-(G140+G141+G142)</f>
        <v>0.85749999999999993</v>
      </c>
      <c r="H139" s="79">
        <f>TRUNC(((H$154+H$137+H$138)/$G139),2)</f>
        <v>8825.09</v>
      </c>
      <c r="I139" s="42"/>
    </row>
    <row r="140" spans="2:9" x14ac:dyDescent="0.25">
      <c r="B140" s="129" t="s">
        <v>220</v>
      </c>
      <c r="C140" s="130" t="s">
        <v>221</v>
      </c>
      <c r="D140" s="244" t="s">
        <v>222</v>
      </c>
      <c r="E140" s="245"/>
      <c r="F140" s="246"/>
      <c r="G140" s="107">
        <v>1.6500000000000001E-2</v>
      </c>
      <c r="H140" s="155">
        <f>TRUNC(H$139*$G140,2)</f>
        <v>145.61000000000001</v>
      </c>
      <c r="I140" s="24"/>
    </row>
    <row r="141" spans="2:9" x14ac:dyDescent="0.25">
      <c r="B141" s="129" t="s">
        <v>223</v>
      </c>
      <c r="C141" s="130" t="s">
        <v>224</v>
      </c>
      <c r="D141" s="244" t="s">
        <v>222</v>
      </c>
      <c r="E141" s="245"/>
      <c r="F141" s="246"/>
      <c r="G141" s="107">
        <v>7.5999999999999998E-2</v>
      </c>
      <c r="H141" s="155">
        <f>TRUNC(H$139*$G141,2)</f>
        <v>670.7</v>
      </c>
      <c r="I141" s="24"/>
    </row>
    <row r="142" spans="2:9" x14ac:dyDescent="0.25">
      <c r="B142" s="129" t="s">
        <v>225</v>
      </c>
      <c r="C142" s="130" t="s">
        <v>226</v>
      </c>
      <c r="D142" s="244" t="s">
        <v>222</v>
      </c>
      <c r="E142" s="245"/>
      <c r="F142" s="246"/>
      <c r="G142" s="107">
        <v>0.05</v>
      </c>
      <c r="H142" s="155">
        <f>TRUNC(H$139*$G142,2)</f>
        <v>441.25</v>
      </c>
      <c r="I142" s="24"/>
    </row>
    <row r="143" spans="2:9" x14ac:dyDescent="0.25">
      <c r="B143" s="129" t="s">
        <v>227</v>
      </c>
      <c r="C143" s="108" t="s">
        <v>33</v>
      </c>
      <c r="D143" s="288" t="s">
        <v>228</v>
      </c>
      <c r="E143" s="288"/>
      <c r="F143" s="288"/>
      <c r="G143" s="109"/>
      <c r="H143" s="149">
        <f>SUM(H137:H142)-H139</f>
        <v>2273.1000000000022</v>
      </c>
      <c r="I143" s="13"/>
    </row>
    <row r="144" spans="2:9" x14ac:dyDescent="0.25">
      <c r="B144" s="11"/>
      <c r="C144" s="11"/>
      <c r="D144" s="11"/>
      <c r="E144" s="11"/>
      <c r="F144" s="11"/>
      <c r="G144" s="11"/>
      <c r="H144" s="19"/>
      <c r="I144" s="19"/>
    </row>
    <row r="145" spans="2:9" x14ac:dyDescent="0.25">
      <c r="B145" s="291" t="s">
        <v>229</v>
      </c>
      <c r="C145" s="291"/>
      <c r="D145" s="291"/>
      <c r="E145" s="291"/>
      <c r="F145" s="291"/>
      <c r="G145" s="291"/>
      <c r="H145" s="291"/>
      <c r="I145" s="20"/>
    </row>
    <row r="146" spans="2:9" x14ac:dyDescent="0.25">
      <c r="B146" s="20"/>
      <c r="C146" s="20"/>
      <c r="D146" s="20"/>
      <c r="E146" s="20"/>
      <c r="F146" s="20"/>
      <c r="G146" s="20"/>
      <c r="H146" s="20"/>
      <c r="I146" s="20"/>
    </row>
    <row r="147" spans="2:9" x14ac:dyDescent="0.25">
      <c r="B147" s="254" t="s">
        <v>230</v>
      </c>
      <c r="C147" s="255"/>
      <c r="D147" s="255"/>
      <c r="E147" s="255"/>
      <c r="F147" s="255"/>
      <c r="G147" s="110"/>
      <c r="H147" s="127"/>
      <c r="I147" s="22"/>
    </row>
    <row r="148" spans="2:9" ht="12.75" customHeight="1" x14ac:dyDescent="0.25">
      <c r="B148" s="39"/>
      <c r="C148" s="286" t="s">
        <v>231</v>
      </c>
      <c r="D148" s="287"/>
      <c r="E148" s="287"/>
      <c r="F148" s="287"/>
      <c r="G148" s="40"/>
      <c r="H148" s="29" t="s">
        <v>94</v>
      </c>
      <c r="I148" s="22"/>
    </row>
    <row r="149" spans="2:9" x14ac:dyDescent="0.25">
      <c r="B149" s="129" t="s">
        <v>95</v>
      </c>
      <c r="C149" s="95" t="s">
        <v>232</v>
      </c>
      <c r="D149" s="158" t="s">
        <v>115</v>
      </c>
      <c r="E149" s="159"/>
      <c r="F149" s="159"/>
      <c r="G149" s="160"/>
      <c r="H149" s="155">
        <f>H50</f>
        <v>2312.19</v>
      </c>
      <c r="I149" s="24"/>
    </row>
    <row r="150" spans="2:9" ht="23" x14ac:dyDescent="0.25">
      <c r="B150" s="129" t="s">
        <v>97</v>
      </c>
      <c r="C150" s="95" t="s">
        <v>233</v>
      </c>
      <c r="D150" s="158" t="s">
        <v>168</v>
      </c>
      <c r="E150" s="159"/>
      <c r="F150" s="159"/>
      <c r="G150" s="160"/>
      <c r="H150" s="155">
        <f>H92</f>
        <v>2452.9101583333331</v>
      </c>
      <c r="I150" s="24"/>
    </row>
    <row r="151" spans="2:9" x14ac:dyDescent="0.25">
      <c r="B151" s="129" t="s">
        <v>100</v>
      </c>
      <c r="C151" s="95" t="s">
        <v>234</v>
      </c>
      <c r="D151" s="158" t="s">
        <v>182</v>
      </c>
      <c r="E151" s="159"/>
      <c r="F151" s="159"/>
      <c r="G151" s="160"/>
      <c r="H151" s="155">
        <f>H103</f>
        <v>530.41999999999996</v>
      </c>
      <c r="I151" s="24"/>
    </row>
    <row r="152" spans="2:9" ht="23" x14ac:dyDescent="0.25">
      <c r="B152" s="129" t="s">
        <v>104</v>
      </c>
      <c r="C152" s="95" t="s">
        <v>235</v>
      </c>
      <c r="D152" s="158" t="s">
        <v>205</v>
      </c>
      <c r="E152" s="159"/>
      <c r="F152" s="159"/>
      <c r="G152" s="160"/>
      <c r="H152" s="155">
        <f>H123</f>
        <v>558.94000000000005</v>
      </c>
      <c r="I152" s="24"/>
    </row>
    <row r="153" spans="2:9" x14ac:dyDescent="0.25">
      <c r="B153" s="129" t="s">
        <v>107</v>
      </c>
      <c r="C153" s="95" t="s">
        <v>236</v>
      </c>
      <c r="D153" s="158" t="s">
        <v>211</v>
      </c>
      <c r="E153" s="159"/>
      <c r="F153" s="159"/>
      <c r="G153" s="160"/>
      <c r="H153" s="155">
        <f>H132</f>
        <v>697.52025925925921</v>
      </c>
      <c r="I153" s="24"/>
    </row>
    <row r="154" spans="2:9" x14ac:dyDescent="0.25">
      <c r="B154" s="94" t="s">
        <v>110</v>
      </c>
      <c r="C154" s="87" t="s">
        <v>237</v>
      </c>
      <c r="D154" s="164" t="s">
        <v>238</v>
      </c>
      <c r="E154" s="165"/>
      <c r="F154" s="165"/>
      <c r="G154" s="166"/>
      <c r="H154" s="89">
        <f>SUM(H149:H153)</f>
        <v>6551.9804175925929</v>
      </c>
      <c r="I154" s="13"/>
    </row>
    <row r="155" spans="2:9" x14ac:dyDescent="0.25">
      <c r="B155" s="129" t="s">
        <v>113</v>
      </c>
      <c r="C155" s="130" t="s">
        <v>239</v>
      </c>
      <c r="D155" s="158" t="s">
        <v>227</v>
      </c>
      <c r="E155" s="159"/>
      <c r="F155" s="159"/>
      <c r="G155" s="160"/>
      <c r="H155" s="155">
        <f>H143</f>
        <v>2273.1000000000022</v>
      </c>
      <c r="I155" s="24"/>
    </row>
    <row r="156" spans="2:9" x14ac:dyDescent="0.25">
      <c r="B156" s="129" t="s">
        <v>240</v>
      </c>
      <c r="C156" s="116" t="s">
        <v>241</v>
      </c>
      <c r="D156" s="117" t="s">
        <v>242</v>
      </c>
      <c r="E156" s="118"/>
      <c r="F156" s="118"/>
      <c r="G156" s="109"/>
      <c r="H156" s="167">
        <f>SUM(H154:H155)</f>
        <v>8825.080417592595</v>
      </c>
      <c r="I156" s="48"/>
    </row>
    <row r="157" spans="2:9" ht="12.75" customHeight="1" x14ac:dyDescent="0.25">
      <c r="B157" s="14"/>
      <c r="C157" s="14"/>
      <c r="D157" s="14"/>
      <c r="E157" s="14"/>
      <c r="F157" s="14"/>
      <c r="G157" s="14"/>
      <c r="H157" s="121"/>
      <c r="I157" s="121"/>
    </row>
    <row r="158" spans="2:9" x14ac:dyDescent="0.25">
      <c r="B158" s="14"/>
      <c r="C158" s="14"/>
      <c r="D158" s="14"/>
      <c r="E158" s="14"/>
      <c r="F158" s="14"/>
      <c r="G158" s="122" t="s">
        <v>243</v>
      </c>
      <c r="H158" s="187">
        <f>(H156)/H43</f>
        <v>3.8167626438971687</v>
      </c>
      <c r="I158" s="14"/>
    </row>
  </sheetData>
  <mergeCells count="120">
    <mergeCell ref="D142:F142"/>
    <mergeCell ref="D143:F143"/>
    <mergeCell ref="B145:H145"/>
    <mergeCell ref="B147:F147"/>
    <mergeCell ref="C148:F148"/>
    <mergeCell ref="C136:F136"/>
    <mergeCell ref="D137:F137"/>
    <mergeCell ref="D138:F138"/>
    <mergeCell ref="D139:F139"/>
    <mergeCell ref="D140:F140"/>
    <mergeCell ref="D141:F141"/>
    <mergeCell ref="C120:G120"/>
    <mergeCell ref="C123:F123"/>
    <mergeCell ref="B126:F126"/>
    <mergeCell ref="C127:G127"/>
    <mergeCell ref="C132:F132"/>
    <mergeCell ref="B135:F135"/>
    <mergeCell ref="C108:F108"/>
    <mergeCell ref="C112:F112"/>
    <mergeCell ref="B114:F114"/>
    <mergeCell ref="C115:F115"/>
    <mergeCell ref="C117:F117"/>
    <mergeCell ref="B119:F119"/>
    <mergeCell ref="D99:E99"/>
    <mergeCell ref="D101:E101"/>
    <mergeCell ref="D102:E102"/>
    <mergeCell ref="C103:F103"/>
    <mergeCell ref="B106:F106"/>
    <mergeCell ref="B107:F107"/>
    <mergeCell ref="B87:F87"/>
    <mergeCell ref="C88:F88"/>
    <mergeCell ref="C92:F92"/>
    <mergeCell ref="B93:H93"/>
    <mergeCell ref="B95:F95"/>
    <mergeCell ref="C96:F96"/>
    <mergeCell ref="B74:H74"/>
    <mergeCell ref="B75:F75"/>
    <mergeCell ref="C76:F76"/>
    <mergeCell ref="E77:F77"/>
    <mergeCell ref="C85:F85"/>
    <mergeCell ref="B86:H86"/>
    <mergeCell ref="D68:F68"/>
    <mergeCell ref="D69:F69"/>
    <mergeCell ref="D70:F70"/>
    <mergeCell ref="D71:F71"/>
    <mergeCell ref="D72:F72"/>
    <mergeCell ref="C73:F73"/>
    <mergeCell ref="D65:F65"/>
    <mergeCell ref="B66:B67"/>
    <mergeCell ref="C66:C67"/>
    <mergeCell ref="D66:D67"/>
    <mergeCell ref="G66:G67"/>
    <mergeCell ref="H66:H67"/>
    <mergeCell ref="D59:F59"/>
    <mergeCell ref="C60:F60"/>
    <mergeCell ref="B61:H61"/>
    <mergeCell ref="B62:F62"/>
    <mergeCell ref="C63:F63"/>
    <mergeCell ref="D64:F64"/>
    <mergeCell ref="C51:F52"/>
    <mergeCell ref="B54:F54"/>
    <mergeCell ref="B55:F55"/>
    <mergeCell ref="B56:F56"/>
    <mergeCell ref="C57:F57"/>
    <mergeCell ref="D58:F58"/>
    <mergeCell ref="D44:F44"/>
    <mergeCell ref="D46:F46"/>
    <mergeCell ref="D47:F47"/>
    <mergeCell ref="D48:F48"/>
    <mergeCell ref="D49:F49"/>
    <mergeCell ref="C50:F50"/>
    <mergeCell ref="B38:B39"/>
    <mergeCell ref="C38:F38"/>
    <mergeCell ref="C39:F39"/>
    <mergeCell ref="B41:F41"/>
    <mergeCell ref="C42:F42"/>
    <mergeCell ref="D43:F43"/>
    <mergeCell ref="B34:B35"/>
    <mergeCell ref="C34:F34"/>
    <mergeCell ref="C35:F35"/>
    <mergeCell ref="B36:B37"/>
    <mergeCell ref="C36:F36"/>
    <mergeCell ref="C37:F37"/>
    <mergeCell ref="B30:B31"/>
    <mergeCell ref="C30:F30"/>
    <mergeCell ref="C31:F31"/>
    <mergeCell ref="B32:B33"/>
    <mergeCell ref="C32:F32"/>
    <mergeCell ref="C33:F33"/>
    <mergeCell ref="B26:B27"/>
    <mergeCell ref="C26:F26"/>
    <mergeCell ref="C27:F27"/>
    <mergeCell ref="B28:B29"/>
    <mergeCell ref="C28:F28"/>
    <mergeCell ref="C29:F29"/>
    <mergeCell ref="B22:B23"/>
    <mergeCell ref="C22:F22"/>
    <mergeCell ref="C23:F23"/>
    <mergeCell ref="B24:B25"/>
    <mergeCell ref="C24:F24"/>
    <mergeCell ref="C25:F25"/>
    <mergeCell ref="B18:B19"/>
    <mergeCell ref="C18:F18"/>
    <mergeCell ref="C19:F19"/>
    <mergeCell ref="B20:B21"/>
    <mergeCell ref="C20:F20"/>
    <mergeCell ref="C21:F21"/>
    <mergeCell ref="D10:F10"/>
    <mergeCell ref="D11:F11"/>
    <mergeCell ref="D13:F13"/>
    <mergeCell ref="B15:F15"/>
    <mergeCell ref="B16:B17"/>
    <mergeCell ref="C16:F16"/>
    <mergeCell ref="C17:F17"/>
    <mergeCell ref="B2:H2"/>
    <mergeCell ref="B3:H3"/>
    <mergeCell ref="D6:F6"/>
    <mergeCell ref="D7:F7"/>
    <mergeCell ref="D8:F8"/>
    <mergeCell ref="D9:F9"/>
  </mergeCells>
  <dataValidations count="11">
    <dataValidation type="list" allowBlank="1" showInputMessage="1" showErrorMessage="1" sqref="G44" xr:uid="{1EF21AD9-82F2-4477-87DF-C4BFB5AD8889}">
      <formula1>"0%, 30%"</formula1>
    </dataValidation>
    <dataValidation type="list" allowBlank="1" showInputMessage="1" showErrorMessage="1" sqref="G45" xr:uid="{4AA94D81-0641-409A-A13F-AFBBEA1A34CD}">
      <formula1>"0%, 10%, 20%, 40%"</formula1>
    </dataValidation>
    <dataValidation type="list" allowBlank="1" showInputMessage="1" showErrorMessage="1" sqref="E67" xr:uid="{84047A4C-0DB9-4B41-8BC3-3D08C8C01BA6}">
      <formula1>"1%, 2%, 3%"</formula1>
    </dataValidation>
    <dataValidation type="list" allowBlank="1" showInputMessage="1" showErrorMessage="1" sqref="G46:G47" xr:uid="{401FAF1F-F01A-4A34-8CF4-AA021798F401}">
      <formula1>"0, 20%"</formula1>
    </dataValidation>
    <dataValidation type="list" allowBlank="1" showInputMessage="1" showErrorMessage="1" sqref="G141" xr:uid="{D827E240-8C93-496B-8A71-F32557E866C9}">
      <mc:AlternateContent xmlns:x12ac="http://schemas.microsoft.com/office/spreadsheetml/2011/1/ac" xmlns:mc="http://schemas.openxmlformats.org/markup-compatibility/2006">
        <mc:Choice Requires="x12ac">
          <x12ac:list>3%," 7,6%"</x12ac:list>
        </mc:Choice>
        <mc:Fallback>
          <formula1>"3%, 7,6%"</formula1>
        </mc:Fallback>
      </mc:AlternateContent>
    </dataValidation>
    <dataValidation type="list" allowBlank="1" showInputMessage="1" showErrorMessage="1" sqref="G140" xr:uid="{E8254B8D-7DB7-44CC-B315-F3310F105540}">
      <mc:AlternateContent xmlns:x12ac="http://schemas.microsoft.com/office/spreadsheetml/2011/1/ac" xmlns:mc="http://schemas.openxmlformats.org/markup-compatibility/2006">
        <mc:Choice Requires="x12ac">
          <x12ac:list>"0,65%","1,65%"</x12ac:list>
        </mc:Choice>
        <mc:Fallback>
          <formula1>"0,65%,1,65%"</formula1>
        </mc:Fallback>
      </mc:AlternateContent>
    </dataValidation>
    <dataValidation type="list" allowBlank="1" showInputMessage="1" showErrorMessage="1" sqref="G48" xr:uid="{B56ADED4-6316-4F89-B9DA-029F359EB50E}">
      <formula1>"0, 50%, 100%"</formula1>
    </dataValidation>
    <dataValidation type="whole" allowBlank="1" showInputMessage="1" showErrorMessage="1" errorTitle="Valor errado" error="Quantidade fixa de dias. Prencher com 30" sqref="G109" xr:uid="{09711434-2E62-4D5B-A6ED-228402F9ACAE}">
      <formula1>30</formula1>
      <formula2>30</formula2>
    </dataValidation>
    <dataValidation type="list" operator="equal" allowBlank="1" showInputMessage="1" showErrorMessage="1" errorTitle="Valor errado" error="Percentual fixo. Preencher com 40%." sqref="F99 F101" xr:uid="{36D22D38-E42F-49EB-82A6-D504F9930568}">
      <formula1>"40%"</formula1>
    </dataValidation>
    <dataValidation type="custom" allowBlank="1" showInputMessage="1" showErrorMessage="1" sqref="G139" xr:uid="{067EF974-598D-4025-AA16-113B6A7D732B}">
      <formula1>1-(G140+G141+G142)</formula1>
    </dataValidation>
    <dataValidation type="list" allowBlank="1" showInputMessage="1" showErrorMessage="1" sqref="G102" xr:uid="{542C3302-F80C-4B96-9A21-4A284FF65F75}">
      <formula1>"3,6,9,12,15"</formula1>
    </dataValidation>
  </dataValidations>
  <pageMargins left="0.511811024" right="0.511811024" top="0.78740157499999996" bottom="0.78740157499999996" header="0.31496062000000002" footer="0.31496062000000002"/>
  <pageSetup paperSize="9" scale="77" fitToHeight="0" orientation="portrait" horizontalDpi="4294967293" verticalDpi="4294967293" r:id="rId1"/>
  <rowBreaks count="2" manualBreakCount="2">
    <brk id="73" max="7" man="1"/>
    <brk id="143" max="7"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6F907-9ECD-4766-B4FD-1BB3624AD8D9}">
  <sheetPr>
    <pageSetUpPr fitToPage="1"/>
  </sheetPr>
  <dimension ref="B1:I158"/>
  <sheetViews>
    <sheetView zoomScaleNormal="100" zoomScaleSheetLayoutView="110" workbookViewId="0">
      <selection activeCell="H1" sqref="H1"/>
    </sheetView>
  </sheetViews>
  <sheetFormatPr defaultColWidth="9.1796875" defaultRowHeight="12.5" x14ac:dyDescent="0.25"/>
  <cols>
    <col min="1" max="1" width="3.54296875" style="8" customWidth="1"/>
    <col min="2" max="2" width="8.26953125" style="8" customWidth="1"/>
    <col min="3" max="3" width="39.1796875" style="8" customWidth="1"/>
    <col min="4" max="4" width="29.1796875" style="8" customWidth="1"/>
    <col min="5" max="6" width="8.54296875" style="8" customWidth="1"/>
    <col min="7" max="7" width="9.1796875" style="8"/>
    <col min="8" max="9" width="15.26953125" style="8" customWidth="1"/>
    <col min="10" max="16384" width="9.1796875" style="8"/>
  </cols>
  <sheetData>
    <row r="1" spans="2:9" x14ac:dyDescent="0.25">
      <c r="B1" s="14"/>
      <c r="C1" s="49"/>
      <c r="D1" s="14"/>
      <c r="E1" s="14"/>
      <c r="F1" s="14"/>
      <c r="G1" s="14"/>
      <c r="H1" s="14"/>
      <c r="I1" s="14"/>
    </row>
    <row r="2" spans="2:9" x14ac:dyDescent="0.25">
      <c r="B2" s="220" t="s">
        <v>20</v>
      </c>
      <c r="C2" s="220"/>
      <c r="D2" s="220"/>
      <c r="E2" s="220"/>
      <c r="F2" s="220"/>
      <c r="G2" s="220"/>
      <c r="H2" s="220"/>
      <c r="I2" s="22"/>
    </row>
    <row r="3" spans="2:9" x14ac:dyDescent="0.25">
      <c r="B3" s="239" t="s">
        <v>68</v>
      </c>
      <c r="C3" s="239"/>
      <c r="D3" s="239"/>
      <c r="E3" s="239"/>
      <c r="F3" s="239"/>
      <c r="G3" s="239"/>
      <c r="H3" s="239"/>
      <c r="I3" s="23"/>
    </row>
    <row r="4" spans="2:9" x14ac:dyDescent="0.25">
      <c r="B4" s="10"/>
      <c r="C4" s="10"/>
      <c r="D4" s="10"/>
      <c r="E4" s="10"/>
      <c r="F4" s="10"/>
      <c r="G4" s="10"/>
      <c r="H4" s="10"/>
      <c r="I4" s="10"/>
    </row>
    <row r="5" spans="2:9" x14ac:dyDescent="0.25">
      <c r="B5" s="10"/>
      <c r="C5" s="10"/>
      <c r="D5" s="10"/>
      <c r="E5" s="10"/>
      <c r="F5" s="10"/>
      <c r="G5" s="10"/>
      <c r="H5" s="10"/>
      <c r="I5" s="10"/>
    </row>
    <row r="6" spans="2:9" x14ac:dyDescent="0.25">
      <c r="B6" s="14"/>
      <c r="C6" s="123" t="s">
        <v>69</v>
      </c>
      <c r="D6" s="289" t="s">
        <v>70</v>
      </c>
      <c r="E6" s="289"/>
      <c r="F6" s="289"/>
      <c r="G6" s="10"/>
      <c r="H6" s="10"/>
      <c r="I6" s="10"/>
    </row>
    <row r="7" spans="2:9" x14ac:dyDescent="0.25">
      <c r="B7" s="14"/>
      <c r="C7" s="123" t="s">
        <v>71</v>
      </c>
      <c r="D7" s="289" t="s">
        <v>72</v>
      </c>
      <c r="E7" s="289"/>
      <c r="F7" s="289"/>
      <c r="G7" s="10"/>
      <c r="H7" s="10"/>
      <c r="I7" s="10"/>
    </row>
    <row r="8" spans="2:9" x14ac:dyDescent="0.25">
      <c r="B8" s="14"/>
      <c r="C8" s="123" t="s">
        <v>44</v>
      </c>
      <c r="D8" s="290"/>
      <c r="E8" s="290"/>
      <c r="F8" s="290"/>
      <c r="G8" s="10"/>
      <c r="H8" s="10"/>
      <c r="I8" s="10"/>
    </row>
    <row r="9" spans="2:9" x14ac:dyDescent="0.25">
      <c r="B9" s="14"/>
      <c r="C9" s="123" t="s">
        <v>73</v>
      </c>
      <c r="D9" s="290"/>
      <c r="E9" s="290"/>
      <c r="F9" s="290"/>
      <c r="G9" s="10"/>
      <c r="H9" s="10"/>
      <c r="I9" s="10"/>
    </row>
    <row r="10" spans="2:9" x14ac:dyDescent="0.25">
      <c r="B10" s="14"/>
      <c r="C10" s="123" t="s">
        <v>45</v>
      </c>
      <c r="D10" s="289">
        <v>1</v>
      </c>
      <c r="E10" s="289"/>
      <c r="F10" s="289"/>
      <c r="G10" s="10"/>
      <c r="H10" s="10"/>
      <c r="I10" s="10"/>
    </row>
    <row r="11" spans="2:9" x14ac:dyDescent="0.25">
      <c r="B11" s="14"/>
      <c r="C11" s="123" t="s">
        <v>46</v>
      </c>
      <c r="D11" s="289">
        <v>1</v>
      </c>
      <c r="E11" s="289"/>
      <c r="F11" s="289"/>
      <c r="G11" s="10"/>
      <c r="H11" s="10"/>
      <c r="I11" s="10"/>
    </row>
    <row r="12" spans="2:9" x14ac:dyDescent="0.25">
      <c r="B12" s="10"/>
      <c r="C12" s="10"/>
      <c r="D12" s="10"/>
      <c r="E12" s="10"/>
      <c r="F12" s="10"/>
      <c r="G12" s="10"/>
      <c r="H12" s="10"/>
      <c r="I12" s="10"/>
    </row>
    <row r="13" spans="2:9" x14ac:dyDescent="0.25">
      <c r="B13" s="124" t="s">
        <v>74</v>
      </c>
      <c r="C13" s="124"/>
      <c r="D13" s="241" t="s">
        <v>32</v>
      </c>
      <c r="E13" s="242"/>
      <c r="F13" s="243"/>
      <c r="G13" s="14"/>
      <c r="H13" s="14"/>
      <c r="I13" s="12"/>
    </row>
    <row r="14" spans="2:9" x14ac:dyDescent="0.25">
      <c r="B14" s="10"/>
      <c r="C14" s="10"/>
      <c r="D14" s="10"/>
      <c r="E14" s="10"/>
      <c r="F14" s="10"/>
      <c r="G14" s="10"/>
      <c r="H14" s="10"/>
      <c r="I14" s="14"/>
    </row>
    <row r="15" spans="2:9" x14ac:dyDescent="0.25">
      <c r="B15" s="247" t="s">
        <v>75</v>
      </c>
      <c r="C15" s="247"/>
      <c r="D15" s="247"/>
      <c r="E15" s="247"/>
      <c r="F15" s="247"/>
      <c r="G15" s="28"/>
      <c r="H15" s="28"/>
      <c r="I15" s="9"/>
    </row>
    <row r="16" spans="2:9" x14ac:dyDescent="0.25">
      <c r="B16" s="236">
        <v>1</v>
      </c>
      <c r="C16" s="237" t="s">
        <v>76</v>
      </c>
      <c r="D16" s="237"/>
      <c r="E16" s="237"/>
      <c r="F16" s="237"/>
      <c r="G16" s="28"/>
      <c r="H16" s="28"/>
      <c r="I16" s="9"/>
    </row>
    <row r="17" spans="2:9" x14ac:dyDescent="0.25">
      <c r="B17" s="236"/>
      <c r="C17" s="238" t="s">
        <v>77</v>
      </c>
      <c r="D17" s="238"/>
      <c r="E17" s="238"/>
      <c r="F17" s="238"/>
      <c r="G17" s="28"/>
      <c r="H17" s="28"/>
      <c r="I17" s="9"/>
    </row>
    <row r="18" spans="2:9" x14ac:dyDescent="0.25">
      <c r="B18" s="236">
        <v>2</v>
      </c>
      <c r="C18" s="237" t="s">
        <v>78</v>
      </c>
      <c r="D18" s="237"/>
      <c r="E18" s="237"/>
      <c r="F18" s="237"/>
      <c r="G18" s="28"/>
      <c r="H18" s="28"/>
      <c r="I18" s="9"/>
    </row>
    <row r="19" spans="2:9" x14ac:dyDescent="0.25">
      <c r="B19" s="236"/>
      <c r="C19" s="238"/>
      <c r="D19" s="238"/>
      <c r="E19" s="238"/>
      <c r="F19" s="238"/>
      <c r="G19" s="28"/>
      <c r="H19" s="28"/>
      <c r="I19" s="9"/>
    </row>
    <row r="20" spans="2:9" x14ac:dyDescent="0.25">
      <c r="B20" s="236">
        <v>3</v>
      </c>
      <c r="C20" s="237" t="s">
        <v>79</v>
      </c>
      <c r="D20" s="237"/>
      <c r="E20" s="237"/>
      <c r="F20" s="237"/>
      <c r="G20" s="28"/>
      <c r="H20" s="28"/>
      <c r="I20" s="9"/>
    </row>
    <row r="21" spans="2:9" x14ac:dyDescent="0.25">
      <c r="B21" s="236"/>
      <c r="C21" s="248">
        <v>60</v>
      </c>
      <c r="D21" s="248"/>
      <c r="E21" s="248"/>
      <c r="F21" s="248"/>
      <c r="G21" s="28"/>
      <c r="H21" s="28"/>
      <c r="I21" s="9"/>
    </row>
    <row r="22" spans="2:9" x14ac:dyDescent="0.25">
      <c r="B22" s="236">
        <v>4</v>
      </c>
      <c r="C22" s="237" t="s">
        <v>80</v>
      </c>
      <c r="D22" s="237"/>
      <c r="E22" s="237"/>
      <c r="F22" s="237"/>
      <c r="G22" s="28"/>
      <c r="H22" s="28"/>
      <c r="I22" s="9"/>
    </row>
    <row r="23" spans="2:9" x14ac:dyDescent="0.25">
      <c r="B23" s="236"/>
      <c r="C23" s="238"/>
      <c r="D23" s="238"/>
      <c r="E23" s="238"/>
      <c r="F23" s="238"/>
      <c r="G23" s="28"/>
      <c r="H23" s="28"/>
      <c r="I23" s="9"/>
    </row>
    <row r="24" spans="2:9" x14ac:dyDescent="0.25">
      <c r="B24" s="236">
        <v>5</v>
      </c>
      <c r="C24" s="237" t="s">
        <v>81</v>
      </c>
      <c r="D24" s="237"/>
      <c r="E24" s="237"/>
      <c r="F24" s="237"/>
      <c r="G24" s="28"/>
      <c r="H24" s="28"/>
      <c r="I24" s="9"/>
    </row>
    <row r="25" spans="2:9" x14ac:dyDescent="0.25">
      <c r="B25" s="236"/>
      <c r="C25" s="248" t="s">
        <v>251</v>
      </c>
      <c r="D25" s="248"/>
      <c r="E25" s="248"/>
      <c r="F25" s="248"/>
      <c r="G25" s="28"/>
      <c r="H25" s="28"/>
      <c r="I25" s="9"/>
    </row>
    <row r="26" spans="2:9" x14ac:dyDescent="0.25">
      <c r="B26" s="236">
        <v>6</v>
      </c>
      <c r="C26" s="237" t="s">
        <v>82</v>
      </c>
      <c r="D26" s="237"/>
      <c r="E26" s="237"/>
      <c r="F26" s="237"/>
      <c r="G26" s="28"/>
      <c r="H26" s="28"/>
      <c r="I26" s="9"/>
    </row>
    <row r="27" spans="2:9" x14ac:dyDescent="0.25">
      <c r="B27" s="236"/>
      <c r="C27" s="238"/>
      <c r="D27" s="238"/>
      <c r="E27" s="238"/>
      <c r="F27" s="238"/>
      <c r="G27" s="28"/>
      <c r="H27" s="28"/>
      <c r="I27" s="9"/>
    </row>
    <row r="28" spans="2:9" x14ac:dyDescent="0.25">
      <c r="B28" s="236">
        <v>7</v>
      </c>
      <c r="C28" s="237" t="s">
        <v>83</v>
      </c>
      <c r="D28" s="237"/>
      <c r="E28" s="237"/>
      <c r="F28" s="237"/>
      <c r="G28" s="28"/>
      <c r="H28" s="28"/>
      <c r="I28" s="9"/>
    </row>
    <row r="29" spans="2:9" x14ac:dyDescent="0.25">
      <c r="B29" s="236"/>
      <c r="C29" s="248" t="s">
        <v>252</v>
      </c>
      <c r="D29" s="248"/>
      <c r="E29" s="248"/>
      <c r="F29" s="248"/>
      <c r="G29" s="28"/>
      <c r="H29" s="28"/>
      <c r="I29" s="9"/>
    </row>
    <row r="30" spans="2:9" x14ac:dyDescent="0.25">
      <c r="B30" s="236">
        <v>8</v>
      </c>
      <c r="C30" s="237" t="s">
        <v>85</v>
      </c>
      <c r="D30" s="237"/>
      <c r="E30" s="237"/>
      <c r="F30" s="237"/>
      <c r="G30" s="28"/>
      <c r="H30" s="28"/>
      <c r="I30" s="9"/>
    </row>
    <row r="31" spans="2:9" x14ac:dyDescent="0.25">
      <c r="B31" s="236"/>
      <c r="C31" s="249"/>
      <c r="D31" s="249"/>
      <c r="E31" s="249"/>
      <c r="F31" s="249"/>
      <c r="G31" s="28"/>
      <c r="H31" s="28"/>
      <c r="I31" s="9"/>
    </row>
    <row r="32" spans="2:9" x14ac:dyDescent="0.25">
      <c r="B32" s="236">
        <v>9</v>
      </c>
      <c r="C32" s="237" t="s">
        <v>86</v>
      </c>
      <c r="D32" s="237"/>
      <c r="E32" s="237"/>
      <c r="F32" s="237"/>
      <c r="G32" s="28"/>
      <c r="H32" s="28"/>
      <c r="I32" s="9"/>
    </row>
    <row r="33" spans="2:9" x14ac:dyDescent="0.25">
      <c r="B33" s="236"/>
      <c r="C33" s="238"/>
      <c r="D33" s="238"/>
      <c r="E33" s="238"/>
      <c r="F33" s="238"/>
      <c r="G33" s="28"/>
      <c r="H33" s="28"/>
      <c r="I33" s="9"/>
    </row>
    <row r="34" spans="2:9" x14ac:dyDescent="0.25">
      <c r="B34" s="236">
        <v>10</v>
      </c>
      <c r="C34" s="237" t="s">
        <v>87</v>
      </c>
      <c r="D34" s="237"/>
      <c r="E34" s="237"/>
      <c r="F34" s="237"/>
      <c r="G34" s="28"/>
      <c r="H34" s="28"/>
      <c r="I34" s="9"/>
    </row>
    <row r="35" spans="2:9" x14ac:dyDescent="0.25">
      <c r="B35" s="236"/>
      <c r="C35" s="238"/>
      <c r="D35" s="238"/>
      <c r="E35" s="238"/>
      <c r="F35" s="238"/>
      <c r="G35" s="28"/>
      <c r="H35" s="28"/>
      <c r="I35" s="9"/>
    </row>
    <row r="36" spans="2:9" x14ac:dyDescent="0.25">
      <c r="B36" s="236">
        <v>11</v>
      </c>
      <c r="C36" s="237" t="s">
        <v>88</v>
      </c>
      <c r="D36" s="237"/>
      <c r="E36" s="237"/>
      <c r="F36" s="237"/>
      <c r="G36" s="28"/>
      <c r="H36" s="28"/>
      <c r="I36" s="9"/>
    </row>
    <row r="37" spans="2:9" x14ac:dyDescent="0.25">
      <c r="B37" s="236"/>
      <c r="C37" s="238"/>
      <c r="D37" s="238"/>
      <c r="E37" s="238"/>
      <c r="F37" s="238"/>
      <c r="G37" s="28"/>
      <c r="H37" s="28"/>
      <c r="I37" s="9"/>
    </row>
    <row r="38" spans="2:9" x14ac:dyDescent="0.25">
      <c r="B38" s="236">
        <v>12</v>
      </c>
      <c r="C38" s="237" t="s">
        <v>89</v>
      </c>
      <c r="D38" s="237"/>
      <c r="E38" s="237"/>
      <c r="F38" s="237"/>
      <c r="G38" s="28"/>
      <c r="H38" s="28"/>
      <c r="I38" s="9"/>
    </row>
    <row r="39" spans="2:9" x14ac:dyDescent="0.25">
      <c r="B39" s="236"/>
      <c r="C39" s="238"/>
      <c r="D39" s="238"/>
      <c r="E39" s="238"/>
      <c r="F39" s="238"/>
      <c r="G39" s="28"/>
      <c r="H39" s="28"/>
      <c r="I39" s="9"/>
    </row>
    <row r="40" spans="2:9" x14ac:dyDescent="0.25">
      <c r="B40" s="12"/>
      <c r="C40" s="12"/>
      <c r="D40" s="12"/>
      <c r="E40" s="12"/>
      <c r="F40" s="12"/>
      <c r="G40" s="12"/>
      <c r="H40" s="125" t="s">
        <v>90</v>
      </c>
      <c r="I40" s="14"/>
    </row>
    <row r="41" spans="2:9" x14ac:dyDescent="0.25">
      <c r="B41" s="254" t="s">
        <v>91</v>
      </c>
      <c r="C41" s="255"/>
      <c r="D41" s="255"/>
      <c r="E41" s="255"/>
      <c r="F41" s="255"/>
      <c r="G41" s="126"/>
      <c r="H41" s="127"/>
      <c r="I41" s="22"/>
    </row>
    <row r="42" spans="2:9" x14ac:dyDescent="0.25">
      <c r="B42" s="128">
        <v>1</v>
      </c>
      <c r="C42" s="231" t="s">
        <v>92</v>
      </c>
      <c r="D42" s="240"/>
      <c r="E42" s="240"/>
      <c r="F42" s="232"/>
      <c r="G42" s="29" t="s">
        <v>93</v>
      </c>
      <c r="H42" s="29" t="s">
        <v>94</v>
      </c>
      <c r="I42" s="22"/>
    </row>
    <row r="43" spans="2:9" ht="12.75" customHeight="1" x14ac:dyDescent="0.25">
      <c r="B43" s="129" t="s">
        <v>95</v>
      </c>
      <c r="C43" s="130" t="s">
        <v>96</v>
      </c>
      <c r="D43" s="244"/>
      <c r="E43" s="245"/>
      <c r="F43" s="246"/>
      <c r="G43" s="131"/>
      <c r="H43" s="132">
        <v>8877.2000000000007</v>
      </c>
      <c r="I43" s="24"/>
    </row>
    <row r="44" spans="2:9" x14ac:dyDescent="0.25">
      <c r="B44" s="129" t="s">
        <v>97</v>
      </c>
      <c r="C44" s="130" t="s">
        <v>98</v>
      </c>
      <c r="D44" s="244" t="s">
        <v>99</v>
      </c>
      <c r="E44" s="245"/>
      <c r="F44" s="246"/>
      <c r="G44" s="133"/>
      <c r="H44" s="134">
        <f>TRUNC(H$43*$G44,2)</f>
        <v>0</v>
      </c>
      <c r="I44" s="24"/>
    </row>
    <row r="45" spans="2:9" x14ac:dyDescent="0.25">
      <c r="B45" s="129" t="s">
        <v>100</v>
      </c>
      <c r="C45" s="135" t="s">
        <v>101</v>
      </c>
      <c r="D45" s="136" t="s">
        <v>102</v>
      </c>
      <c r="E45" s="137" t="s">
        <v>103</v>
      </c>
      <c r="F45" s="138">
        <v>1518</v>
      </c>
      <c r="G45" s="133"/>
      <c r="H45" s="134">
        <f>TRUNC(F$45*$G45,2)</f>
        <v>0</v>
      </c>
      <c r="I45" s="24"/>
    </row>
    <row r="46" spans="2:9" x14ac:dyDescent="0.25">
      <c r="B46" s="129" t="s">
        <v>104</v>
      </c>
      <c r="C46" s="135" t="s">
        <v>105</v>
      </c>
      <c r="D46" s="244" t="s">
        <v>106</v>
      </c>
      <c r="E46" s="245"/>
      <c r="F46" s="246"/>
      <c r="G46" s="139"/>
      <c r="H46" s="140">
        <f>TRUNC(((H$43+H44)*$G46)/220*8*15,2)</f>
        <v>0</v>
      </c>
      <c r="I46" s="24"/>
    </row>
    <row r="47" spans="2:9" x14ac:dyDescent="0.25">
      <c r="B47" s="141" t="s">
        <v>107</v>
      </c>
      <c r="C47" s="142" t="s">
        <v>108</v>
      </c>
      <c r="D47" s="251" t="s">
        <v>106</v>
      </c>
      <c r="E47" s="252"/>
      <c r="F47" s="253"/>
      <c r="G47" s="143"/>
      <c r="H47" s="144">
        <f>TRUNC(((H43+H44)*$G47)/220*1*15,2)</f>
        <v>0</v>
      </c>
      <c r="I47" s="27" t="s">
        <v>109</v>
      </c>
    </row>
    <row r="48" spans="2:9" x14ac:dyDescent="0.25">
      <c r="B48" s="145" t="s">
        <v>110</v>
      </c>
      <c r="C48" s="142" t="s">
        <v>111</v>
      </c>
      <c r="D48" s="251" t="s">
        <v>112</v>
      </c>
      <c r="E48" s="252"/>
      <c r="F48" s="253"/>
      <c r="G48" s="146"/>
      <c r="H48" s="144">
        <f>TRUNC($G$52*H52*(1+$G$48),2)</f>
        <v>0</v>
      </c>
      <c r="I48" s="27" t="s">
        <v>109</v>
      </c>
    </row>
    <row r="49" spans="2:9" x14ac:dyDescent="0.25">
      <c r="B49" s="129" t="s">
        <v>113</v>
      </c>
      <c r="C49" s="135" t="s">
        <v>114</v>
      </c>
      <c r="D49" s="244"/>
      <c r="E49" s="245"/>
      <c r="F49" s="246"/>
      <c r="G49" s="139"/>
      <c r="H49" s="147"/>
      <c r="I49" s="42"/>
    </row>
    <row r="50" spans="2:9" x14ac:dyDescent="0.25">
      <c r="B50" s="129" t="s">
        <v>115</v>
      </c>
      <c r="C50" s="231" t="s">
        <v>33</v>
      </c>
      <c r="D50" s="240"/>
      <c r="E50" s="240"/>
      <c r="F50" s="232"/>
      <c r="G50" s="148"/>
      <c r="H50" s="149">
        <f>SUM(H43:H49)</f>
        <v>8877.2000000000007</v>
      </c>
      <c r="I50" s="13"/>
    </row>
    <row r="51" spans="2:9" ht="23" x14ac:dyDescent="0.25">
      <c r="B51" s="22"/>
      <c r="C51" s="250" t="s">
        <v>116</v>
      </c>
      <c r="D51" s="250"/>
      <c r="E51" s="250"/>
      <c r="F51" s="250"/>
      <c r="G51" s="150" t="s">
        <v>117</v>
      </c>
      <c r="H51" s="151" t="s">
        <v>118</v>
      </c>
      <c r="I51" s="43"/>
    </row>
    <row r="52" spans="2:9" x14ac:dyDescent="0.25">
      <c r="B52" s="22"/>
      <c r="C52" s="250"/>
      <c r="D52" s="250"/>
      <c r="E52" s="250"/>
      <c r="F52" s="250"/>
      <c r="G52" s="152"/>
      <c r="H52" s="153">
        <f>IF($G$52="",0,TRUNC((H43+H44+H45)/220,2))</f>
        <v>0</v>
      </c>
      <c r="I52" s="44"/>
    </row>
    <row r="53" spans="2:9" x14ac:dyDescent="0.25">
      <c r="B53" s="22"/>
      <c r="C53" s="22"/>
      <c r="D53" s="22"/>
      <c r="E53" s="22"/>
      <c r="F53" s="22"/>
      <c r="G53" s="22"/>
      <c r="H53" s="13"/>
      <c r="I53" s="13"/>
    </row>
    <row r="54" spans="2:9" ht="12.75" customHeight="1" x14ac:dyDescent="0.25">
      <c r="B54" s="254" t="s">
        <v>119</v>
      </c>
      <c r="C54" s="255"/>
      <c r="D54" s="255"/>
      <c r="E54" s="255"/>
      <c r="F54" s="255"/>
      <c r="G54" s="126"/>
      <c r="H54" s="127"/>
      <c r="I54" s="22"/>
    </row>
    <row r="55" spans="2:9" x14ac:dyDescent="0.25">
      <c r="B55" s="267"/>
      <c r="C55" s="268"/>
      <c r="D55" s="268"/>
      <c r="E55" s="268"/>
      <c r="F55" s="268"/>
      <c r="G55" s="34"/>
      <c r="H55" s="34"/>
      <c r="I55" s="22"/>
    </row>
    <row r="56" spans="2:9" x14ac:dyDescent="0.25">
      <c r="B56" s="295" t="s">
        <v>120</v>
      </c>
      <c r="C56" s="295"/>
      <c r="D56" s="295"/>
      <c r="E56" s="295"/>
      <c r="F56" s="295"/>
      <c r="G56" s="34"/>
      <c r="H56" s="34"/>
      <c r="I56" s="22"/>
    </row>
    <row r="57" spans="2:9" x14ac:dyDescent="0.25">
      <c r="B57" s="29" t="s">
        <v>121</v>
      </c>
      <c r="C57" s="264" t="s">
        <v>122</v>
      </c>
      <c r="D57" s="265"/>
      <c r="E57" s="265"/>
      <c r="F57" s="266"/>
      <c r="G57" s="128" t="s">
        <v>93</v>
      </c>
      <c r="H57" s="128" t="s">
        <v>94</v>
      </c>
      <c r="I57" s="22"/>
    </row>
    <row r="58" spans="2:9" x14ac:dyDescent="0.25">
      <c r="B58" s="129" t="s">
        <v>95</v>
      </c>
      <c r="C58" s="130" t="s">
        <v>123</v>
      </c>
      <c r="D58" s="244" t="s">
        <v>124</v>
      </c>
      <c r="E58" s="245"/>
      <c r="F58" s="246"/>
      <c r="G58" s="32">
        <f>1/12</f>
        <v>8.3333333333333329E-2</v>
      </c>
      <c r="H58" s="33">
        <f>TRUNC((H$50*$G58),2)</f>
        <v>739.76</v>
      </c>
      <c r="I58" s="24"/>
    </row>
    <row r="59" spans="2:9" x14ac:dyDescent="0.25">
      <c r="B59" s="129" t="s">
        <v>97</v>
      </c>
      <c r="C59" s="130" t="s">
        <v>125</v>
      </c>
      <c r="D59" s="244" t="s">
        <v>126</v>
      </c>
      <c r="E59" s="245"/>
      <c r="F59" s="246"/>
      <c r="G59" s="154">
        <f>(1/12)+(1/3/12)</f>
        <v>0.1111111111111111</v>
      </c>
      <c r="H59" s="155">
        <f>TRUNC((H$50*$G59),2)</f>
        <v>986.35</v>
      </c>
      <c r="I59" s="24"/>
    </row>
    <row r="60" spans="2:9" x14ac:dyDescent="0.25">
      <c r="B60" s="129" t="s">
        <v>127</v>
      </c>
      <c r="C60" s="231" t="s">
        <v>33</v>
      </c>
      <c r="D60" s="240"/>
      <c r="E60" s="240"/>
      <c r="F60" s="232"/>
      <c r="G60" s="156">
        <f>TRUNC(SUM(G58:G59),4)</f>
        <v>0.19439999999999999</v>
      </c>
      <c r="H60" s="149">
        <f>SUM(H58:H59)</f>
        <v>1726.1100000000001</v>
      </c>
      <c r="I60" s="13"/>
    </row>
    <row r="61" spans="2:9" x14ac:dyDescent="0.25">
      <c r="B61" s="267"/>
      <c r="C61" s="268"/>
      <c r="D61" s="268"/>
      <c r="E61" s="268"/>
      <c r="F61" s="268"/>
      <c r="G61" s="268"/>
      <c r="H61" s="269"/>
      <c r="I61" s="22"/>
    </row>
    <row r="62" spans="2:9" ht="30" customHeight="1" x14ac:dyDescent="0.25">
      <c r="B62" s="273" t="s">
        <v>128</v>
      </c>
      <c r="C62" s="274"/>
      <c r="D62" s="274"/>
      <c r="E62" s="274"/>
      <c r="F62" s="275"/>
      <c r="G62" s="30"/>
      <c r="H62" s="31"/>
      <c r="I62" s="25"/>
    </row>
    <row r="63" spans="2:9" x14ac:dyDescent="0.25">
      <c r="B63" s="128" t="s">
        <v>129</v>
      </c>
      <c r="C63" s="231" t="s">
        <v>130</v>
      </c>
      <c r="D63" s="240"/>
      <c r="E63" s="240"/>
      <c r="F63" s="232"/>
      <c r="G63" s="128" t="s">
        <v>93</v>
      </c>
      <c r="H63" s="128" t="s">
        <v>94</v>
      </c>
      <c r="I63" s="22"/>
    </row>
    <row r="64" spans="2:9" x14ac:dyDescent="0.25">
      <c r="B64" s="129" t="s">
        <v>95</v>
      </c>
      <c r="C64" s="130" t="s">
        <v>131</v>
      </c>
      <c r="D64" s="244" t="s">
        <v>132</v>
      </c>
      <c r="E64" s="245"/>
      <c r="F64" s="246"/>
      <c r="G64" s="154">
        <v>0.2</v>
      </c>
      <c r="H64" s="155">
        <f>TRUNC((H$50+H$60)*$G64,2)</f>
        <v>2120.66</v>
      </c>
      <c r="I64" s="24"/>
    </row>
    <row r="65" spans="2:9" x14ac:dyDescent="0.25">
      <c r="B65" s="129" t="s">
        <v>97</v>
      </c>
      <c r="C65" s="157" t="s">
        <v>133</v>
      </c>
      <c r="D65" s="244" t="s">
        <v>134</v>
      </c>
      <c r="E65" s="245"/>
      <c r="F65" s="246"/>
      <c r="G65" s="154">
        <v>2.5000000000000001E-2</v>
      </c>
      <c r="H65" s="155">
        <f>TRUNC((H$50+H$60)*$G65,2)</f>
        <v>265.08</v>
      </c>
      <c r="I65" s="24"/>
    </row>
    <row r="66" spans="2:9" x14ac:dyDescent="0.25">
      <c r="B66" s="259" t="s">
        <v>100</v>
      </c>
      <c r="C66" s="261" t="s">
        <v>135</v>
      </c>
      <c r="D66" s="263" t="s">
        <v>136</v>
      </c>
      <c r="E66" s="204" t="s">
        <v>137</v>
      </c>
      <c r="F66" s="204" t="s">
        <v>138</v>
      </c>
      <c r="G66" s="270">
        <f>E67*F67</f>
        <v>0.03</v>
      </c>
      <c r="H66" s="272">
        <f>TRUNC((H$50+H$60)*$G66,2)</f>
        <v>318.08999999999997</v>
      </c>
      <c r="I66" s="42"/>
    </row>
    <row r="67" spans="2:9" x14ac:dyDescent="0.25">
      <c r="B67" s="260"/>
      <c r="C67" s="262"/>
      <c r="D67" s="263"/>
      <c r="E67" s="3">
        <v>0.03</v>
      </c>
      <c r="F67" s="4">
        <v>1</v>
      </c>
      <c r="G67" s="271"/>
      <c r="H67" s="272"/>
      <c r="I67" s="42"/>
    </row>
    <row r="68" spans="2:9" x14ac:dyDescent="0.25">
      <c r="B68" s="129" t="s">
        <v>104</v>
      </c>
      <c r="C68" s="130" t="s">
        <v>139</v>
      </c>
      <c r="D68" s="244" t="s">
        <v>140</v>
      </c>
      <c r="E68" s="245"/>
      <c r="F68" s="246"/>
      <c r="G68" s="154">
        <v>1.4999999999999999E-2</v>
      </c>
      <c r="H68" s="155">
        <f>TRUNC((H$50+H$60)*$G68,2)</f>
        <v>159.04</v>
      </c>
      <c r="I68" s="24"/>
    </row>
    <row r="69" spans="2:9" x14ac:dyDescent="0.25">
      <c r="B69" s="129" t="s">
        <v>107</v>
      </c>
      <c r="C69" s="130" t="s">
        <v>141</v>
      </c>
      <c r="D69" s="244" t="s">
        <v>142</v>
      </c>
      <c r="E69" s="245"/>
      <c r="F69" s="246"/>
      <c r="G69" s="154">
        <v>0.01</v>
      </c>
      <c r="H69" s="155">
        <f>TRUNC((H$50+H$60)*$G69,2)</f>
        <v>106.03</v>
      </c>
      <c r="I69" s="24"/>
    </row>
    <row r="70" spans="2:9" x14ac:dyDescent="0.25">
      <c r="B70" s="129" t="s">
        <v>110</v>
      </c>
      <c r="C70" s="130" t="s">
        <v>143</v>
      </c>
      <c r="D70" s="244" t="s">
        <v>144</v>
      </c>
      <c r="E70" s="245"/>
      <c r="F70" s="246"/>
      <c r="G70" s="154">
        <v>6.0000000000000001E-3</v>
      </c>
      <c r="H70" s="155">
        <f>TRUNC((H$50+H$60)*$G70,2)</f>
        <v>63.61</v>
      </c>
      <c r="I70" s="24"/>
    </row>
    <row r="71" spans="2:9" x14ac:dyDescent="0.25">
      <c r="B71" s="129" t="s">
        <v>113</v>
      </c>
      <c r="C71" s="130" t="s">
        <v>145</v>
      </c>
      <c r="D71" s="244" t="s">
        <v>146</v>
      </c>
      <c r="E71" s="245"/>
      <c r="F71" s="246"/>
      <c r="G71" s="154">
        <v>2E-3</v>
      </c>
      <c r="H71" s="155">
        <f>TRUNC((H$50+H$60)*$G71,2)</f>
        <v>21.2</v>
      </c>
      <c r="I71" s="24"/>
    </row>
    <row r="72" spans="2:9" x14ac:dyDescent="0.25">
      <c r="B72" s="129" t="s">
        <v>147</v>
      </c>
      <c r="C72" s="130" t="s">
        <v>148</v>
      </c>
      <c r="D72" s="244" t="s">
        <v>149</v>
      </c>
      <c r="E72" s="245"/>
      <c r="F72" s="246"/>
      <c r="G72" s="154">
        <v>0.08</v>
      </c>
      <c r="H72" s="155">
        <f>TRUNC((H$50+H$60)*$G72,2)</f>
        <v>848.26</v>
      </c>
      <c r="I72" s="24"/>
    </row>
    <row r="73" spans="2:9" x14ac:dyDescent="0.25">
      <c r="B73" s="129" t="s">
        <v>150</v>
      </c>
      <c r="C73" s="231" t="s">
        <v>33</v>
      </c>
      <c r="D73" s="240"/>
      <c r="E73" s="240"/>
      <c r="F73" s="232"/>
      <c r="G73" s="80">
        <f>SUM(G64:G72)</f>
        <v>0.36800000000000005</v>
      </c>
      <c r="H73" s="149">
        <f>SUM(H64:H72)</f>
        <v>3901.9700000000003</v>
      </c>
      <c r="I73" s="13"/>
    </row>
    <row r="74" spans="2:9" x14ac:dyDescent="0.25">
      <c r="B74" s="276"/>
      <c r="C74" s="277"/>
      <c r="D74" s="277"/>
      <c r="E74" s="277"/>
      <c r="F74" s="277"/>
      <c r="G74" s="277"/>
      <c r="H74" s="278"/>
      <c r="I74" s="25"/>
    </row>
    <row r="75" spans="2:9" ht="12.75" customHeight="1" x14ac:dyDescent="0.25">
      <c r="B75" s="273" t="s">
        <v>151</v>
      </c>
      <c r="C75" s="274"/>
      <c r="D75" s="274"/>
      <c r="E75" s="274"/>
      <c r="F75" s="275"/>
      <c r="G75" s="30"/>
      <c r="H75" s="31"/>
      <c r="I75" s="25"/>
    </row>
    <row r="76" spans="2:9" x14ac:dyDescent="0.25">
      <c r="B76" s="128" t="s">
        <v>152</v>
      </c>
      <c r="C76" s="231" t="s">
        <v>153</v>
      </c>
      <c r="D76" s="240"/>
      <c r="E76" s="240"/>
      <c r="F76" s="240"/>
      <c r="G76" s="81"/>
      <c r="H76" s="128" t="s">
        <v>94</v>
      </c>
      <c r="I76" s="22"/>
    </row>
    <row r="77" spans="2:9" ht="12.75" customHeight="1" x14ac:dyDescent="0.25">
      <c r="B77" s="129" t="s">
        <v>95</v>
      </c>
      <c r="C77" s="130" t="s">
        <v>154</v>
      </c>
      <c r="D77" s="136" t="s">
        <v>155</v>
      </c>
      <c r="E77" s="235" t="s">
        <v>156</v>
      </c>
      <c r="F77" s="235"/>
      <c r="G77" s="82">
        <v>8.5500000000000007</v>
      </c>
      <c r="H77" s="83" t="str">
        <f>IF((TRUNC((G77*2*22)-(H$43*6%),2))&lt;0,"0,00",(TRUNC((G77*2*22)-(H$43*6%),2)))</f>
        <v>0,00</v>
      </c>
      <c r="I77" s="45"/>
    </row>
    <row r="78" spans="2:9" ht="12.75" customHeight="1" x14ac:dyDescent="0.25">
      <c r="B78" s="129" t="s">
        <v>97</v>
      </c>
      <c r="C78" s="130" t="s">
        <v>157</v>
      </c>
      <c r="D78" s="158" t="s">
        <v>158</v>
      </c>
      <c r="E78" s="159"/>
      <c r="F78" s="159"/>
      <c r="G78" s="160"/>
      <c r="H78" s="83">
        <f>35*22</f>
        <v>770</v>
      </c>
      <c r="I78" s="45"/>
    </row>
    <row r="79" spans="2:9" x14ac:dyDescent="0.25">
      <c r="B79" s="129" t="s">
        <v>100</v>
      </c>
      <c r="C79" s="130" t="s">
        <v>159</v>
      </c>
      <c r="D79" s="158"/>
      <c r="E79" s="159"/>
      <c r="F79" s="159"/>
      <c r="G79" s="160"/>
      <c r="H79" s="83">
        <f>285.22-(285.22*1%)</f>
        <v>282.36780000000005</v>
      </c>
      <c r="I79" s="45"/>
    </row>
    <row r="80" spans="2:9" s="14" customFormat="1" x14ac:dyDescent="0.25">
      <c r="B80" s="129" t="s">
        <v>104</v>
      </c>
      <c r="C80" s="130" t="s">
        <v>160</v>
      </c>
      <c r="D80" s="158"/>
      <c r="E80" s="159"/>
      <c r="F80" s="159"/>
      <c r="G80" s="160"/>
      <c r="H80" s="83">
        <v>272.32</v>
      </c>
      <c r="I80" s="45"/>
    </row>
    <row r="81" spans="2:9" s="14" customFormat="1" x14ac:dyDescent="0.25">
      <c r="B81" s="129" t="s">
        <v>107</v>
      </c>
      <c r="C81" s="130" t="s">
        <v>161</v>
      </c>
      <c r="D81" s="158"/>
      <c r="E81" s="159"/>
      <c r="F81" s="159"/>
      <c r="G81" s="160"/>
      <c r="H81" s="83">
        <v>15</v>
      </c>
      <c r="I81" s="45"/>
    </row>
    <row r="82" spans="2:9" s="14" customFormat="1" x14ac:dyDescent="0.25">
      <c r="B82" s="129" t="s">
        <v>110</v>
      </c>
      <c r="C82" s="130" t="s">
        <v>162</v>
      </c>
      <c r="D82" s="158"/>
      <c r="E82" s="159"/>
      <c r="F82" s="159"/>
      <c r="G82" s="160"/>
      <c r="H82" s="83">
        <f>H111/12</f>
        <v>49.15</v>
      </c>
      <c r="I82" s="45"/>
    </row>
    <row r="83" spans="2:9" s="14" customFormat="1" x14ac:dyDescent="0.25">
      <c r="B83" s="129" t="s">
        <v>113</v>
      </c>
      <c r="C83" s="130" t="s">
        <v>163</v>
      </c>
      <c r="D83" s="158"/>
      <c r="E83" s="159"/>
      <c r="F83" s="159"/>
      <c r="G83" s="160"/>
      <c r="H83" s="83">
        <f>H111/12</f>
        <v>49.15</v>
      </c>
      <c r="I83" s="45"/>
    </row>
    <row r="84" spans="2:9" s="14" customFormat="1" x14ac:dyDescent="0.25">
      <c r="B84" s="129" t="s">
        <v>147</v>
      </c>
      <c r="C84" s="130" t="s">
        <v>114</v>
      </c>
      <c r="D84" s="158"/>
      <c r="E84" s="159"/>
      <c r="F84" s="159"/>
      <c r="G84" s="160"/>
      <c r="H84" s="83"/>
      <c r="I84" s="45"/>
    </row>
    <row r="85" spans="2:9" x14ac:dyDescent="0.25">
      <c r="B85" s="129" t="s">
        <v>164</v>
      </c>
      <c r="C85" s="231" t="s">
        <v>33</v>
      </c>
      <c r="D85" s="240"/>
      <c r="E85" s="240"/>
      <c r="F85" s="240"/>
      <c r="G85" s="81"/>
      <c r="H85" s="149">
        <f>SUM(H77:H80)</f>
        <v>1324.6877999999999</v>
      </c>
      <c r="I85" s="13"/>
    </row>
    <row r="86" spans="2:9" x14ac:dyDescent="0.25">
      <c r="B86" s="267"/>
      <c r="C86" s="268"/>
      <c r="D86" s="268"/>
      <c r="E86" s="268"/>
      <c r="F86" s="268"/>
      <c r="G86" s="268"/>
      <c r="H86" s="269"/>
      <c r="I86" s="22"/>
    </row>
    <row r="87" spans="2:9" x14ac:dyDescent="0.25">
      <c r="B87" s="280" t="s">
        <v>165</v>
      </c>
      <c r="C87" s="281"/>
      <c r="D87" s="281"/>
      <c r="E87" s="281"/>
      <c r="F87" s="281"/>
      <c r="G87" s="34"/>
      <c r="H87" s="34"/>
      <c r="I87" s="22"/>
    </row>
    <row r="88" spans="2:9" x14ac:dyDescent="0.25">
      <c r="B88" s="128">
        <v>2</v>
      </c>
      <c r="C88" s="231" t="s">
        <v>166</v>
      </c>
      <c r="D88" s="240"/>
      <c r="E88" s="240"/>
      <c r="F88" s="240"/>
      <c r="G88" s="81"/>
      <c r="H88" s="128" t="s">
        <v>94</v>
      </c>
      <c r="I88" s="22"/>
    </row>
    <row r="89" spans="2:9" x14ac:dyDescent="0.25">
      <c r="B89" s="129" t="s">
        <v>121</v>
      </c>
      <c r="C89" s="86" t="s">
        <v>122</v>
      </c>
      <c r="D89" s="158" t="s">
        <v>127</v>
      </c>
      <c r="E89" s="159"/>
      <c r="F89" s="159"/>
      <c r="G89" s="160"/>
      <c r="H89" s="155">
        <f>H60</f>
        <v>1726.1100000000001</v>
      </c>
      <c r="I89" s="24"/>
    </row>
    <row r="90" spans="2:9" x14ac:dyDescent="0.25">
      <c r="B90" s="129" t="s">
        <v>129</v>
      </c>
      <c r="C90" s="86" t="s">
        <v>167</v>
      </c>
      <c r="D90" s="158" t="s">
        <v>150</v>
      </c>
      <c r="E90" s="159"/>
      <c r="F90" s="159"/>
      <c r="G90" s="160"/>
      <c r="H90" s="155">
        <f>H73</f>
        <v>3901.9700000000003</v>
      </c>
      <c r="I90" s="24"/>
    </row>
    <row r="91" spans="2:9" x14ac:dyDescent="0.25">
      <c r="B91" s="129" t="s">
        <v>152</v>
      </c>
      <c r="C91" s="86" t="s">
        <v>153</v>
      </c>
      <c r="D91" s="158" t="s">
        <v>164</v>
      </c>
      <c r="E91" s="159"/>
      <c r="F91" s="159"/>
      <c r="G91" s="160"/>
      <c r="H91" s="155">
        <f>H85</f>
        <v>1324.6877999999999</v>
      </c>
      <c r="I91" s="24"/>
    </row>
    <row r="92" spans="2:9" x14ac:dyDescent="0.25">
      <c r="B92" s="129" t="s">
        <v>168</v>
      </c>
      <c r="C92" s="231" t="s">
        <v>33</v>
      </c>
      <c r="D92" s="240"/>
      <c r="E92" s="240"/>
      <c r="F92" s="240"/>
      <c r="G92" s="81"/>
      <c r="H92" s="149">
        <f>SUM(H89:H91)</f>
        <v>6952.7677999999996</v>
      </c>
      <c r="I92" s="13"/>
    </row>
    <row r="93" spans="2:9" x14ac:dyDescent="0.25">
      <c r="B93" s="268"/>
      <c r="C93" s="268"/>
      <c r="D93" s="268"/>
      <c r="E93" s="268"/>
      <c r="F93" s="268"/>
      <c r="G93" s="268"/>
      <c r="H93" s="268"/>
      <c r="I93" s="22"/>
    </row>
    <row r="94" spans="2:9" x14ac:dyDescent="0.25">
      <c r="B94" s="22"/>
      <c r="C94" s="22"/>
      <c r="D94" s="22"/>
      <c r="E94" s="22"/>
      <c r="F94" s="22"/>
      <c r="G94" s="22"/>
      <c r="H94" s="22"/>
      <c r="I94" s="22"/>
    </row>
    <row r="95" spans="2:9" x14ac:dyDescent="0.25">
      <c r="B95" s="254" t="s">
        <v>169</v>
      </c>
      <c r="C95" s="255"/>
      <c r="D95" s="255"/>
      <c r="E95" s="255"/>
      <c r="F95" s="279"/>
      <c r="G95" s="126"/>
      <c r="H95" s="127"/>
      <c r="I95" s="22"/>
    </row>
    <row r="96" spans="2:9" x14ac:dyDescent="0.25">
      <c r="B96" s="128">
        <v>3</v>
      </c>
      <c r="C96" s="231" t="s">
        <v>170</v>
      </c>
      <c r="D96" s="240"/>
      <c r="E96" s="240"/>
      <c r="F96" s="232"/>
      <c r="G96" s="128" t="s">
        <v>93</v>
      </c>
      <c r="H96" s="128" t="s">
        <v>94</v>
      </c>
      <c r="I96" s="22"/>
    </row>
    <row r="97" spans="2:9" x14ac:dyDescent="0.25">
      <c r="B97" s="129" t="s">
        <v>95</v>
      </c>
      <c r="C97" s="87" t="s">
        <v>171</v>
      </c>
      <c r="D97" s="158" t="s">
        <v>172</v>
      </c>
      <c r="E97" s="159"/>
      <c r="F97" s="160"/>
      <c r="G97" s="88">
        <v>1</v>
      </c>
      <c r="H97" s="89">
        <f>TRUNC((H$98+H$99)*$G97,2)</f>
        <v>1403.98</v>
      </c>
      <c r="I97" s="13"/>
    </row>
    <row r="98" spans="2:9" x14ac:dyDescent="0.25">
      <c r="B98" s="129" t="s">
        <v>97</v>
      </c>
      <c r="C98" s="130" t="s">
        <v>173</v>
      </c>
      <c r="D98" s="136" t="s">
        <v>174</v>
      </c>
      <c r="E98" s="84"/>
      <c r="F98" s="85"/>
      <c r="G98" s="90"/>
      <c r="H98" s="155">
        <f>TRUNC((H$50+H$60+H$72+H$85-H77)/12,2)</f>
        <v>1064.68</v>
      </c>
      <c r="I98" s="24"/>
    </row>
    <row r="99" spans="2:9" x14ac:dyDescent="0.25">
      <c r="B99" s="129" t="s">
        <v>100</v>
      </c>
      <c r="C99" s="130" t="s">
        <v>175</v>
      </c>
      <c r="D99" s="244" t="s">
        <v>176</v>
      </c>
      <c r="E99" s="246"/>
      <c r="F99" s="91">
        <v>0.4</v>
      </c>
      <c r="G99" s="90"/>
      <c r="H99" s="155">
        <f>TRUNC(H$72*$F99,2)</f>
        <v>339.3</v>
      </c>
      <c r="I99" s="24"/>
    </row>
    <row r="100" spans="2:9" x14ac:dyDescent="0.25">
      <c r="B100" s="129" t="s">
        <v>104</v>
      </c>
      <c r="C100" s="87" t="s">
        <v>177</v>
      </c>
      <c r="D100" s="158" t="s">
        <v>178</v>
      </c>
      <c r="E100" s="159"/>
      <c r="F100" s="85"/>
      <c r="G100" s="88">
        <v>1</v>
      </c>
      <c r="H100" s="92">
        <f>IF($G100&gt;=1,(TRUNC(H$101*$G100,2)),"ERRO")</f>
        <v>339.3</v>
      </c>
      <c r="I100" s="46"/>
    </row>
    <row r="101" spans="2:9" x14ac:dyDescent="0.25">
      <c r="B101" s="129" t="s">
        <v>107</v>
      </c>
      <c r="C101" s="130" t="s">
        <v>179</v>
      </c>
      <c r="D101" s="244" t="s">
        <v>176</v>
      </c>
      <c r="E101" s="246"/>
      <c r="F101" s="91">
        <v>0.4</v>
      </c>
      <c r="G101" s="90"/>
      <c r="H101" s="155">
        <f>TRUNC(H$72*$F101,2)</f>
        <v>339.3</v>
      </c>
      <c r="I101" s="24"/>
    </row>
    <row r="102" spans="2:9" x14ac:dyDescent="0.25">
      <c r="B102" s="129" t="s">
        <v>110</v>
      </c>
      <c r="C102" s="87" t="s">
        <v>180</v>
      </c>
      <c r="D102" s="282" t="s">
        <v>181</v>
      </c>
      <c r="E102" s="283"/>
      <c r="F102" s="93">
        <v>12</v>
      </c>
      <c r="G102" s="93">
        <v>3</v>
      </c>
      <c r="H102" s="155">
        <f>TRUNC(((H$50+H$60+H$73)/30)*$G102/$F102,2)</f>
        <v>120.87</v>
      </c>
      <c r="I102" s="24"/>
    </row>
    <row r="103" spans="2:9" x14ac:dyDescent="0.25">
      <c r="B103" s="129" t="s">
        <v>182</v>
      </c>
      <c r="C103" s="231" t="s">
        <v>33</v>
      </c>
      <c r="D103" s="240"/>
      <c r="E103" s="240"/>
      <c r="F103" s="240"/>
      <c r="G103" s="81"/>
      <c r="H103" s="149">
        <f>H$97+H$100+H$102</f>
        <v>1864.15</v>
      </c>
      <c r="I103" s="13"/>
    </row>
    <row r="104" spans="2:9" x14ac:dyDescent="0.25">
      <c r="B104" s="21"/>
      <c r="C104" s="21"/>
      <c r="D104" s="21"/>
      <c r="E104" s="21"/>
      <c r="F104" s="21"/>
      <c r="G104" s="21"/>
      <c r="H104" s="21"/>
      <c r="I104" s="21"/>
    </row>
    <row r="105" spans="2:9" x14ac:dyDescent="0.25">
      <c r="B105" s="22"/>
      <c r="C105" s="22"/>
      <c r="D105" s="22"/>
      <c r="E105" s="22"/>
      <c r="F105" s="22"/>
      <c r="G105" s="22"/>
      <c r="H105" s="22"/>
      <c r="I105" s="22"/>
    </row>
    <row r="106" spans="2:9" x14ac:dyDescent="0.25">
      <c r="B106" s="254" t="s">
        <v>183</v>
      </c>
      <c r="C106" s="255"/>
      <c r="D106" s="255"/>
      <c r="E106" s="255"/>
      <c r="F106" s="279"/>
      <c r="G106" s="126"/>
      <c r="H106" s="127"/>
      <c r="I106" s="22"/>
    </row>
    <row r="107" spans="2:9" x14ac:dyDescent="0.25">
      <c r="B107" s="284" t="s">
        <v>184</v>
      </c>
      <c r="C107" s="285"/>
      <c r="D107" s="285"/>
      <c r="E107" s="285"/>
      <c r="F107" s="285"/>
      <c r="G107" s="35"/>
      <c r="H107" s="36"/>
      <c r="I107" s="22"/>
    </row>
    <row r="108" spans="2:9" x14ac:dyDescent="0.25">
      <c r="B108" s="128" t="s">
        <v>185</v>
      </c>
      <c r="C108" s="231" t="s">
        <v>186</v>
      </c>
      <c r="D108" s="240"/>
      <c r="E108" s="240"/>
      <c r="F108" s="232"/>
      <c r="G108" s="128" t="s">
        <v>187</v>
      </c>
      <c r="H108" s="128" t="s">
        <v>94</v>
      </c>
      <c r="I108" s="22"/>
    </row>
    <row r="109" spans="2:9" x14ac:dyDescent="0.25">
      <c r="B109" s="129" t="s">
        <v>95</v>
      </c>
      <c r="C109" s="130" t="s">
        <v>188</v>
      </c>
      <c r="D109" s="158" t="s">
        <v>189</v>
      </c>
      <c r="E109" s="159"/>
      <c r="F109" s="160"/>
      <c r="G109" s="93">
        <v>30</v>
      </c>
      <c r="H109" s="155">
        <f>TRUNC((H$111*$G109)/12,2)</f>
        <v>1474.5</v>
      </c>
      <c r="I109" s="24"/>
    </row>
    <row r="110" spans="2:9" ht="23" x14ac:dyDescent="0.25">
      <c r="B110" s="129" t="s">
        <v>97</v>
      </c>
      <c r="C110" s="95" t="s">
        <v>190</v>
      </c>
      <c r="D110" s="161" t="s">
        <v>191</v>
      </c>
      <c r="E110" s="162"/>
      <c r="F110" s="163"/>
      <c r="G110" s="99">
        <v>8</v>
      </c>
      <c r="H110" s="155">
        <f>TRUNC((H$111*$G110)/12,2)</f>
        <v>393.2</v>
      </c>
      <c r="I110" s="24"/>
    </row>
    <row r="111" spans="2:9" x14ac:dyDescent="0.25">
      <c r="B111" s="129" t="s">
        <v>100</v>
      </c>
      <c r="C111" s="130" t="s">
        <v>192</v>
      </c>
      <c r="D111" s="158" t="s">
        <v>193</v>
      </c>
      <c r="E111" s="159"/>
      <c r="F111" s="159"/>
      <c r="G111" s="160"/>
      <c r="H111" s="155">
        <f>TRUNC((H$50+H$92+H$103)/30,2)</f>
        <v>589.79999999999995</v>
      </c>
      <c r="I111" s="24"/>
    </row>
    <row r="112" spans="2:9" x14ac:dyDescent="0.25">
      <c r="B112" s="129" t="s">
        <v>194</v>
      </c>
      <c r="C112" s="231" t="s">
        <v>33</v>
      </c>
      <c r="D112" s="240"/>
      <c r="E112" s="240"/>
      <c r="F112" s="240"/>
      <c r="G112" s="81"/>
      <c r="H112" s="149">
        <f>TRUNC(H$109+H$110,2)</f>
        <v>1867.7</v>
      </c>
      <c r="I112" s="13"/>
    </row>
    <row r="113" spans="2:9" x14ac:dyDescent="0.25">
      <c r="B113" s="15"/>
      <c r="C113" s="16"/>
      <c r="D113" s="16"/>
      <c r="E113" s="16"/>
      <c r="F113" s="16"/>
      <c r="G113" s="16"/>
      <c r="H113" s="17"/>
      <c r="I113" s="16"/>
    </row>
    <row r="114" spans="2:9" x14ac:dyDescent="0.25">
      <c r="B114" s="280" t="s">
        <v>195</v>
      </c>
      <c r="C114" s="281"/>
      <c r="D114" s="281"/>
      <c r="E114" s="281"/>
      <c r="F114" s="281"/>
      <c r="G114" s="37"/>
      <c r="H114" s="38"/>
      <c r="I114" s="22"/>
    </row>
    <row r="115" spans="2:9" x14ac:dyDescent="0.25">
      <c r="B115" s="128" t="s">
        <v>196</v>
      </c>
      <c r="C115" s="231" t="s">
        <v>197</v>
      </c>
      <c r="D115" s="240"/>
      <c r="E115" s="240"/>
      <c r="F115" s="232"/>
      <c r="G115" s="128" t="s">
        <v>187</v>
      </c>
      <c r="H115" s="128" t="s">
        <v>94</v>
      </c>
      <c r="I115" s="22"/>
    </row>
    <row r="116" spans="2:9" ht="23" x14ac:dyDescent="0.25">
      <c r="B116" s="129" t="s">
        <v>95</v>
      </c>
      <c r="C116" s="95" t="s">
        <v>198</v>
      </c>
      <c r="D116" s="136" t="s">
        <v>199</v>
      </c>
      <c r="E116" s="159"/>
      <c r="F116" s="159"/>
      <c r="G116" s="93"/>
      <c r="H116" s="155">
        <f>TRUNC(((H$50+H92+H103)/220)*(1+50%)*G116,2)</f>
        <v>0</v>
      </c>
      <c r="I116" s="24"/>
    </row>
    <row r="117" spans="2:9" x14ac:dyDescent="0.25">
      <c r="B117" s="129" t="s">
        <v>200</v>
      </c>
      <c r="C117" s="231" t="s">
        <v>33</v>
      </c>
      <c r="D117" s="240"/>
      <c r="E117" s="240"/>
      <c r="F117" s="240"/>
      <c r="G117" s="100"/>
      <c r="H117" s="149">
        <f>H116</f>
        <v>0</v>
      </c>
      <c r="I117" s="24"/>
    </row>
    <row r="118" spans="2:9" x14ac:dyDescent="0.25">
      <c r="B118" s="101"/>
      <c r="C118" s="186"/>
      <c r="D118" s="186"/>
      <c r="E118" s="186"/>
      <c r="F118" s="186"/>
      <c r="G118" s="22"/>
      <c r="H118" s="41"/>
      <c r="I118" s="47"/>
    </row>
    <row r="119" spans="2:9" x14ac:dyDescent="0.25">
      <c r="B119" s="280" t="s">
        <v>201</v>
      </c>
      <c r="C119" s="281"/>
      <c r="D119" s="281"/>
      <c r="E119" s="281"/>
      <c r="F119" s="281"/>
      <c r="G119" s="37"/>
      <c r="H119" s="38"/>
      <c r="I119" s="22"/>
    </row>
    <row r="120" spans="2:9" x14ac:dyDescent="0.25">
      <c r="B120" s="128">
        <v>4</v>
      </c>
      <c r="C120" s="231" t="s">
        <v>202</v>
      </c>
      <c r="D120" s="240"/>
      <c r="E120" s="240"/>
      <c r="F120" s="240"/>
      <c r="G120" s="232"/>
      <c r="H120" s="128" t="s">
        <v>94</v>
      </c>
      <c r="I120" s="22"/>
    </row>
    <row r="121" spans="2:9" x14ac:dyDescent="0.25">
      <c r="B121" s="129" t="s">
        <v>185</v>
      </c>
      <c r="C121" s="130" t="s">
        <v>203</v>
      </c>
      <c r="D121" s="158" t="s">
        <v>194</v>
      </c>
      <c r="E121" s="159"/>
      <c r="F121" s="159"/>
      <c r="G121" s="160"/>
      <c r="H121" s="155">
        <f>H112</f>
        <v>1867.7</v>
      </c>
      <c r="I121" s="24"/>
    </row>
    <row r="122" spans="2:9" x14ac:dyDescent="0.25">
      <c r="B122" s="129" t="s">
        <v>196</v>
      </c>
      <c r="C122" s="130" t="s">
        <v>204</v>
      </c>
      <c r="D122" s="158" t="s">
        <v>200</v>
      </c>
      <c r="E122" s="159"/>
      <c r="F122" s="159"/>
      <c r="G122" s="160"/>
      <c r="H122" s="155">
        <f>H117</f>
        <v>0</v>
      </c>
      <c r="I122" s="24"/>
    </row>
    <row r="123" spans="2:9" x14ac:dyDescent="0.25">
      <c r="B123" s="129" t="s">
        <v>205</v>
      </c>
      <c r="C123" s="231" t="s">
        <v>33</v>
      </c>
      <c r="D123" s="240"/>
      <c r="E123" s="240"/>
      <c r="F123" s="240"/>
      <c r="G123" s="81"/>
      <c r="H123" s="149">
        <f>SUM(H121:H122)</f>
        <v>1867.7</v>
      </c>
      <c r="I123" s="13"/>
    </row>
    <row r="124" spans="2:9" x14ac:dyDescent="0.25">
      <c r="B124" s="22"/>
      <c r="C124" s="22"/>
      <c r="D124" s="22"/>
      <c r="E124" s="22"/>
      <c r="F124" s="22"/>
      <c r="G124" s="22"/>
      <c r="H124" s="22"/>
      <c r="I124" s="22"/>
    </row>
    <row r="125" spans="2:9" x14ac:dyDescent="0.25">
      <c r="B125" s="22"/>
      <c r="C125" s="22"/>
      <c r="D125" s="22"/>
      <c r="E125" s="22"/>
      <c r="F125" s="22"/>
      <c r="G125" s="22"/>
      <c r="H125" s="22"/>
      <c r="I125" s="22"/>
    </row>
    <row r="126" spans="2:9" x14ac:dyDescent="0.25">
      <c r="B126" s="254" t="s">
        <v>206</v>
      </c>
      <c r="C126" s="255"/>
      <c r="D126" s="255"/>
      <c r="E126" s="255"/>
      <c r="F126" s="279"/>
      <c r="G126" s="126"/>
      <c r="H126" s="127"/>
      <c r="I126" s="22"/>
    </row>
    <row r="127" spans="2:9" x14ac:dyDescent="0.25">
      <c r="B127" s="128">
        <v>5</v>
      </c>
      <c r="C127" s="292" t="s">
        <v>207</v>
      </c>
      <c r="D127" s="293"/>
      <c r="E127" s="293"/>
      <c r="F127" s="293"/>
      <c r="G127" s="294"/>
      <c r="H127" s="128" t="s">
        <v>94</v>
      </c>
      <c r="I127" s="22"/>
    </row>
    <row r="128" spans="2:9" x14ac:dyDescent="0.25">
      <c r="B128" s="129" t="s">
        <v>95</v>
      </c>
      <c r="C128" s="102" t="s">
        <v>208</v>
      </c>
      <c r="D128" s="103"/>
      <c r="E128" s="103"/>
      <c r="F128" s="103"/>
      <c r="G128" s="104"/>
      <c r="H128" s="140">
        <v>26.52</v>
      </c>
      <c r="I128" s="24"/>
    </row>
    <row r="129" spans="2:9" x14ac:dyDescent="0.25">
      <c r="B129" s="129" t="s">
        <v>97</v>
      </c>
      <c r="C129" s="102" t="s">
        <v>209</v>
      </c>
      <c r="D129" s="103"/>
      <c r="E129" s="103"/>
      <c r="F129" s="103"/>
      <c r="G129" s="104"/>
      <c r="H129" s="140"/>
      <c r="I129" s="24"/>
    </row>
    <row r="130" spans="2:9" x14ac:dyDescent="0.25">
      <c r="B130" s="129" t="s">
        <v>100</v>
      </c>
      <c r="C130" s="102" t="s">
        <v>210</v>
      </c>
      <c r="D130" s="103"/>
      <c r="E130" s="103"/>
      <c r="F130" s="103"/>
      <c r="G130" s="104"/>
      <c r="H130" s="140">
        <f>'Demais componentes'!F9</f>
        <v>671.00025925925922</v>
      </c>
      <c r="I130" s="24"/>
    </row>
    <row r="131" spans="2:9" x14ac:dyDescent="0.25">
      <c r="B131" s="129" t="s">
        <v>104</v>
      </c>
      <c r="C131" s="102" t="s">
        <v>114</v>
      </c>
      <c r="D131" s="103"/>
      <c r="E131" s="103"/>
      <c r="F131" s="103"/>
      <c r="G131" s="104"/>
      <c r="H131" s="140"/>
      <c r="I131" s="24"/>
    </row>
    <row r="132" spans="2:9" x14ac:dyDescent="0.25">
      <c r="B132" s="129" t="s">
        <v>211</v>
      </c>
      <c r="C132" s="231" t="s">
        <v>33</v>
      </c>
      <c r="D132" s="240"/>
      <c r="E132" s="240"/>
      <c r="F132" s="240"/>
      <c r="G132" s="81"/>
      <c r="H132" s="149">
        <f>SUM(H128:H131)</f>
        <v>697.52025925925921</v>
      </c>
      <c r="I132" s="13"/>
    </row>
    <row r="133" spans="2:9" x14ac:dyDescent="0.25">
      <c r="B133" s="22"/>
      <c r="C133" s="22"/>
      <c r="D133" s="22"/>
      <c r="E133" s="22"/>
      <c r="F133" s="22"/>
      <c r="G133" s="18"/>
      <c r="H133" s="13"/>
      <c r="I133" s="13"/>
    </row>
    <row r="134" spans="2:9" x14ac:dyDescent="0.25">
      <c r="B134" s="22"/>
      <c r="C134" s="22"/>
      <c r="D134" s="22"/>
      <c r="E134" s="22"/>
      <c r="F134" s="22"/>
      <c r="G134" s="22"/>
      <c r="H134" s="22"/>
      <c r="I134" s="22"/>
    </row>
    <row r="135" spans="2:9" x14ac:dyDescent="0.25">
      <c r="B135" s="254" t="s">
        <v>212</v>
      </c>
      <c r="C135" s="255"/>
      <c r="D135" s="255"/>
      <c r="E135" s="255"/>
      <c r="F135" s="279"/>
      <c r="G135" s="126"/>
      <c r="H135" s="127"/>
      <c r="I135" s="22"/>
    </row>
    <row r="136" spans="2:9" x14ac:dyDescent="0.25">
      <c r="B136" s="128">
        <v>6</v>
      </c>
      <c r="C136" s="231" t="s">
        <v>213</v>
      </c>
      <c r="D136" s="240"/>
      <c r="E136" s="240"/>
      <c r="F136" s="232"/>
      <c r="G136" s="128" t="s">
        <v>93</v>
      </c>
      <c r="H136" s="128" t="s">
        <v>94</v>
      </c>
      <c r="I136" s="22"/>
    </row>
    <row r="137" spans="2:9" x14ac:dyDescent="0.25">
      <c r="B137" s="129" t="s">
        <v>95</v>
      </c>
      <c r="C137" s="130" t="s">
        <v>214</v>
      </c>
      <c r="D137" s="244" t="s">
        <v>215</v>
      </c>
      <c r="E137" s="245"/>
      <c r="F137" s="246"/>
      <c r="G137" s="105">
        <v>0.05</v>
      </c>
      <c r="H137" s="155">
        <f>TRUNC(H$154*$G137,2)</f>
        <v>1012.96</v>
      </c>
      <c r="I137" s="24"/>
    </row>
    <row r="138" spans="2:9" x14ac:dyDescent="0.25">
      <c r="B138" s="129" t="s">
        <v>97</v>
      </c>
      <c r="C138" s="130" t="s">
        <v>216</v>
      </c>
      <c r="D138" s="244" t="s">
        <v>217</v>
      </c>
      <c r="E138" s="245"/>
      <c r="F138" s="246"/>
      <c r="G138" s="105">
        <v>0.1</v>
      </c>
      <c r="H138" s="155">
        <f>TRUNC((H$154+H$137)*$G138,2)</f>
        <v>2127.2199999999998</v>
      </c>
      <c r="I138" s="24"/>
    </row>
    <row r="139" spans="2:9" x14ac:dyDescent="0.25">
      <c r="B139" s="129" t="s">
        <v>100</v>
      </c>
      <c r="C139" s="130" t="s">
        <v>218</v>
      </c>
      <c r="D139" s="244" t="s">
        <v>219</v>
      </c>
      <c r="E139" s="245"/>
      <c r="F139" s="246"/>
      <c r="G139" s="106">
        <f>1-(G140+G141+G142)</f>
        <v>0.85749999999999993</v>
      </c>
      <c r="H139" s="79">
        <f>TRUNC(((H$154+H$137+H$138)/$G139),2)</f>
        <v>27288.06</v>
      </c>
      <c r="I139" s="42"/>
    </row>
    <row r="140" spans="2:9" x14ac:dyDescent="0.25">
      <c r="B140" s="129" t="s">
        <v>220</v>
      </c>
      <c r="C140" s="130" t="s">
        <v>221</v>
      </c>
      <c r="D140" s="244" t="s">
        <v>222</v>
      </c>
      <c r="E140" s="245"/>
      <c r="F140" s="246"/>
      <c r="G140" s="107">
        <v>1.6500000000000001E-2</v>
      </c>
      <c r="H140" s="155">
        <f>TRUNC(H$139*$G140,2)</f>
        <v>450.25</v>
      </c>
      <c r="I140" s="24"/>
    </row>
    <row r="141" spans="2:9" x14ac:dyDescent="0.25">
      <c r="B141" s="129" t="s">
        <v>223</v>
      </c>
      <c r="C141" s="130" t="s">
        <v>224</v>
      </c>
      <c r="D141" s="244" t="s">
        <v>222</v>
      </c>
      <c r="E141" s="245"/>
      <c r="F141" s="246"/>
      <c r="G141" s="107">
        <v>7.5999999999999998E-2</v>
      </c>
      <c r="H141" s="155">
        <f>TRUNC(H$139*$G141,2)</f>
        <v>2073.89</v>
      </c>
      <c r="I141" s="24"/>
    </row>
    <row r="142" spans="2:9" x14ac:dyDescent="0.25">
      <c r="B142" s="129" t="s">
        <v>225</v>
      </c>
      <c r="C142" s="130" t="s">
        <v>226</v>
      </c>
      <c r="D142" s="244" t="s">
        <v>222</v>
      </c>
      <c r="E142" s="245"/>
      <c r="F142" s="246"/>
      <c r="G142" s="107">
        <v>0.05</v>
      </c>
      <c r="H142" s="155">
        <f>TRUNC(H$139*$G142,2)</f>
        <v>1364.4</v>
      </c>
      <c r="I142" s="24"/>
    </row>
    <row r="143" spans="2:9" x14ac:dyDescent="0.25">
      <c r="B143" s="129" t="s">
        <v>227</v>
      </c>
      <c r="C143" s="108" t="s">
        <v>33</v>
      </c>
      <c r="D143" s="288" t="s">
        <v>228</v>
      </c>
      <c r="E143" s="288"/>
      <c r="F143" s="288"/>
      <c r="G143" s="109"/>
      <c r="H143" s="149">
        <f>SUM(H137:H142)-H139</f>
        <v>7028.7200000000048</v>
      </c>
      <c r="I143" s="13"/>
    </row>
    <row r="144" spans="2:9" x14ac:dyDescent="0.25">
      <c r="B144" s="11"/>
      <c r="C144" s="11"/>
      <c r="D144" s="11"/>
      <c r="E144" s="11"/>
      <c r="F144" s="11"/>
      <c r="G144" s="11"/>
      <c r="H144" s="19"/>
      <c r="I144" s="19"/>
    </row>
    <row r="145" spans="2:9" x14ac:dyDescent="0.25">
      <c r="B145" s="291" t="s">
        <v>229</v>
      </c>
      <c r="C145" s="291"/>
      <c r="D145" s="291"/>
      <c r="E145" s="291"/>
      <c r="F145" s="291"/>
      <c r="G145" s="291"/>
      <c r="H145" s="291"/>
      <c r="I145" s="20"/>
    </row>
    <row r="146" spans="2:9" x14ac:dyDescent="0.25">
      <c r="B146" s="20"/>
      <c r="C146" s="20"/>
      <c r="D146" s="20"/>
      <c r="E146" s="20"/>
      <c r="F146" s="20"/>
      <c r="G146" s="20"/>
      <c r="H146" s="20"/>
      <c r="I146" s="20"/>
    </row>
    <row r="147" spans="2:9" x14ac:dyDescent="0.25">
      <c r="B147" s="254" t="s">
        <v>230</v>
      </c>
      <c r="C147" s="255"/>
      <c r="D147" s="255"/>
      <c r="E147" s="255"/>
      <c r="F147" s="255"/>
      <c r="G147" s="110"/>
      <c r="H147" s="127"/>
      <c r="I147" s="22"/>
    </row>
    <row r="148" spans="2:9" ht="12.75" customHeight="1" x14ac:dyDescent="0.25">
      <c r="B148" s="39"/>
      <c r="C148" s="286" t="s">
        <v>231</v>
      </c>
      <c r="D148" s="287"/>
      <c r="E148" s="287"/>
      <c r="F148" s="287"/>
      <c r="G148" s="40"/>
      <c r="H148" s="29" t="s">
        <v>94</v>
      </c>
      <c r="I148" s="22"/>
    </row>
    <row r="149" spans="2:9" x14ac:dyDescent="0.25">
      <c r="B149" s="129" t="s">
        <v>95</v>
      </c>
      <c r="C149" s="95" t="s">
        <v>232</v>
      </c>
      <c r="D149" s="158" t="s">
        <v>115</v>
      </c>
      <c r="E149" s="159"/>
      <c r="F149" s="159"/>
      <c r="G149" s="160"/>
      <c r="H149" s="155">
        <f>H50</f>
        <v>8877.2000000000007</v>
      </c>
      <c r="I149" s="24"/>
    </row>
    <row r="150" spans="2:9" ht="23" x14ac:dyDescent="0.25">
      <c r="B150" s="129" t="s">
        <v>97</v>
      </c>
      <c r="C150" s="95" t="s">
        <v>233</v>
      </c>
      <c r="D150" s="158" t="s">
        <v>168</v>
      </c>
      <c r="E150" s="159"/>
      <c r="F150" s="159"/>
      <c r="G150" s="160"/>
      <c r="H150" s="155">
        <f>H92</f>
        <v>6952.7677999999996</v>
      </c>
      <c r="I150" s="24"/>
    </row>
    <row r="151" spans="2:9" x14ac:dyDescent="0.25">
      <c r="B151" s="129" t="s">
        <v>100</v>
      </c>
      <c r="C151" s="95" t="s">
        <v>234</v>
      </c>
      <c r="D151" s="158" t="s">
        <v>182</v>
      </c>
      <c r="E151" s="159"/>
      <c r="F151" s="159"/>
      <c r="G151" s="160"/>
      <c r="H151" s="155">
        <f>H103</f>
        <v>1864.15</v>
      </c>
      <c r="I151" s="24"/>
    </row>
    <row r="152" spans="2:9" ht="23" x14ac:dyDescent="0.25">
      <c r="B152" s="129" t="s">
        <v>104</v>
      </c>
      <c r="C152" s="95" t="s">
        <v>235</v>
      </c>
      <c r="D152" s="158" t="s">
        <v>205</v>
      </c>
      <c r="E152" s="159"/>
      <c r="F152" s="159"/>
      <c r="G152" s="160"/>
      <c r="H152" s="155">
        <f>H123</f>
        <v>1867.7</v>
      </c>
      <c r="I152" s="24"/>
    </row>
    <row r="153" spans="2:9" x14ac:dyDescent="0.25">
      <c r="B153" s="129" t="s">
        <v>107</v>
      </c>
      <c r="C153" s="95" t="s">
        <v>236</v>
      </c>
      <c r="D153" s="158" t="s">
        <v>211</v>
      </c>
      <c r="E153" s="159"/>
      <c r="F153" s="159"/>
      <c r="G153" s="160"/>
      <c r="H153" s="155">
        <f>H132</f>
        <v>697.52025925925921</v>
      </c>
      <c r="I153" s="24"/>
    </row>
    <row r="154" spans="2:9" x14ac:dyDescent="0.25">
      <c r="B154" s="94" t="s">
        <v>110</v>
      </c>
      <c r="C154" s="87" t="s">
        <v>237</v>
      </c>
      <c r="D154" s="164" t="s">
        <v>238</v>
      </c>
      <c r="E154" s="165"/>
      <c r="F154" s="165"/>
      <c r="G154" s="166"/>
      <c r="H154" s="89">
        <f>SUM(H149:H153)</f>
        <v>20259.338059259258</v>
      </c>
      <c r="I154" s="13"/>
    </row>
    <row r="155" spans="2:9" x14ac:dyDescent="0.25">
      <c r="B155" s="129" t="s">
        <v>113</v>
      </c>
      <c r="C155" s="130" t="s">
        <v>239</v>
      </c>
      <c r="D155" s="168" t="s">
        <v>227</v>
      </c>
      <c r="E155" s="207"/>
      <c r="F155" s="207"/>
      <c r="G155" s="169"/>
      <c r="H155" s="155">
        <f>H143</f>
        <v>7028.7200000000048</v>
      </c>
      <c r="I155" s="24"/>
    </row>
    <row r="156" spans="2:9" x14ac:dyDescent="0.25">
      <c r="B156" s="129" t="s">
        <v>240</v>
      </c>
      <c r="C156" s="116" t="s">
        <v>241</v>
      </c>
      <c r="D156" s="117" t="s">
        <v>242</v>
      </c>
      <c r="E156" s="118"/>
      <c r="F156" s="118"/>
      <c r="G156" s="109"/>
      <c r="H156" s="119">
        <f>SUM(H154:H155)</f>
        <v>27288.058059259263</v>
      </c>
      <c r="I156" s="48"/>
    </row>
    <row r="157" spans="2:9" ht="12.75" customHeight="1" x14ac:dyDescent="0.25">
      <c r="B157" s="78"/>
      <c r="C157" s="78"/>
      <c r="D157" s="14"/>
      <c r="E157" s="14"/>
      <c r="F157" s="14"/>
      <c r="G157" s="14"/>
      <c r="H157" s="121"/>
      <c r="I157" s="121"/>
    </row>
    <row r="158" spans="2:9" x14ac:dyDescent="0.25">
      <c r="B158" s="14"/>
      <c r="C158" s="14"/>
      <c r="D158" s="14"/>
      <c r="E158" s="14"/>
      <c r="F158" s="14"/>
      <c r="G158" s="122" t="s">
        <v>243</v>
      </c>
      <c r="H158" s="187">
        <f>(H156)/H43</f>
        <v>3.0739487743048777</v>
      </c>
      <c r="I158" s="14"/>
    </row>
  </sheetData>
  <mergeCells count="120">
    <mergeCell ref="D142:F142"/>
    <mergeCell ref="D143:F143"/>
    <mergeCell ref="B145:H145"/>
    <mergeCell ref="B147:F147"/>
    <mergeCell ref="C148:F148"/>
    <mergeCell ref="C136:F136"/>
    <mergeCell ref="D137:F137"/>
    <mergeCell ref="D138:F138"/>
    <mergeCell ref="D139:F139"/>
    <mergeCell ref="D140:F140"/>
    <mergeCell ref="D141:F141"/>
    <mergeCell ref="C120:G120"/>
    <mergeCell ref="C123:F123"/>
    <mergeCell ref="B126:F126"/>
    <mergeCell ref="C127:G127"/>
    <mergeCell ref="C132:F132"/>
    <mergeCell ref="B135:F135"/>
    <mergeCell ref="C108:F108"/>
    <mergeCell ref="C112:F112"/>
    <mergeCell ref="B114:F114"/>
    <mergeCell ref="C115:F115"/>
    <mergeCell ref="C117:F117"/>
    <mergeCell ref="B119:F119"/>
    <mergeCell ref="D99:E99"/>
    <mergeCell ref="D101:E101"/>
    <mergeCell ref="D102:E102"/>
    <mergeCell ref="C103:F103"/>
    <mergeCell ref="B106:F106"/>
    <mergeCell ref="B107:F107"/>
    <mergeCell ref="B87:F87"/>
    <mergeCell ref="C88:F88"/>
    <mergeCell ref="C92:F92"/>
    <mergeCell ref="B93:H93"/>
    <mergeCell ref="B95:F95"/>
    <mergeCell ref="C96:F96"/>
    <mergeCell ref="B74:H74"/>
    <mergeCell ref="B75:F75"/>
    <mergeCell ref="C76:F76"/>
    <mergeCell ref="E77:F77"/>
    <mergeCell ref="C85:F85"/>
    <mergeCell ref="B86:H86"/>
    <mergeCell ref="D68:F68"/>
    <mergeCell ref="D69:F69"/>
    <mergeCell ref="D70:F70"/>
    <mergeCell ref="D71:F71"/>
    <mergeCell ref="D72:F72"/>
    <mergeCell ref="C73:F73"/>
    <mergeCell ref="D65:F65"/>
    <mergeCell ref="B66:B67"/>
    <mergeCell ref="C66:C67"/>
    <mergeCell ref="D66:D67"/>
    <mergeCell ref="G66:G67"/>
    <mergeCell ref="H66:H67"/>
    <mergeCell ref="D59:F59"/>
    <mergeCell ref="C60:F60"/>
    <mergeCell ref="B61:H61"/>
    <mergeCell ref="B62:F62"/>
    <mergeCell ref="C63:F63"/>
    <mergeCell ref="D64:F64"/>
    <mergeCell ref="C51:F52"/>
    <mergeCell ref="B54:F54"/>
    <mergeCell ref="B55:F55"/>
    <mergeCell ref="B56:F56"/>
    <mergeCell ref="C57:F57"/>
    <mergeCell ref="D58:F58"/>
    <mergeCell ref="D44:F44"/>
    <mergeCell ref="D46:F46"/>
    <mergeCell ref="D47:F47"/>
    <mergeCell ref="D48:F48"/>
    <mergeCell ref="D49:F49"/>
    <mergeCell ref="C50:F50"/>
    <mergeCell ref="B38:B39"/>
    <mergeCell ref="C38:F38"/>
    <mergeCell ref="C39:F39"/>
    <mergeCell ref="B41:F41"/>
    <mergeCell ref="C42:F42"/>
    <mergeCell ref="D43:F43"/>
    <mergeCell ref="B34:B35"/>
    <mergeCell ref="C34:F34"/>
    <mergeCell ref="C35:F35"/>
    <mergeCell ref="B36:B37"/>
    <mergeCell ref="C36:F36"/>
    <mergeCell ref="C37:F37"/>
    <mergeCell ref="B30:B31"/>
    <mergeCell ref="C30:F30"/>
    <mergeCell ref="C31:F31"/>
    <mergeCell ref="B32:B33"/>
    <mergeCell ref="C32:F32"/>
    <mergeCell ref="C33:F33"/>
    <mergeCell ref="B26:B27"/>
    <mergeCell ref="C26:F26"/>
    <mergeCell ref="C27:F27"/>
    <mergeCell ref="B28:B29"/>
    <mergeCell ref="C28:F28"/>
    <mergeCell ref="C29:F29"/>
    <mergeCell ref="B22:B23"/>
    <mergeCell ref="C22:F22"/>
    <mergeCell ref="C23:F23"/>
    <mergeCell ref="B24:B25"/>
    <mergeCell ref="C24:F24"/>
    <mergeCell ref="C25:F25"/>
    <mergeCell ref="B18:B19"/>
    <mergeCell ref="C18:F18"/>
    <mergeCell ref="C19:F19"/>
    <mergeCell ref="B20:B21"/>
    <mergeCell ref="C20:F20"/>
    <mergeCell ref="C21:F21"/>
    <mergeCell ref="D10:F10"/>
    <mergeCell ref="D11:F11"/>
    <mergeCell ref="D13:F13"/>
    <mergeCell ref="B15:F15"/>
    <mergeCell ref="B16:B17"/>
    <mergeCell ref="C16:F16"/>
    <mergeCell ref="C17:F17"/>
    <mergeCell ref="B2:H2"/>
    <mergeCell ref="B3:H3"/>
    <mergeCell ref="D6:F6"/>
    <mergeCell ref="D7:F7"/>
    <mergeCell ref="D8:F8"/>
    <mergeCell ref="D9:F9"/>
  </mergeCells>
  <dataValidations count="11">
    <dataValidation type="list" allowBlank="1" showInputMessage="1" showErrorMessage="1" sqref="G44" xr:uid="{B7D027D3-A7DF-470F-8E9A-6EB613059C58}">
      <formula1>"0%, 30%"</formula1>
    </dataValidation>
    <dataValidation type="list" allowBlank="1" showInputMessage="1" showErrorMessage="1" sqref="G45" xr:uid="{BC18C0DA-9133-4BD6-9E63-8E351FF55713}">
      <formula1>"0%, 10%, 20%, 40%"</formula1>
    </dataValidation>
    <dataValidation type="list" allowBlank="1" showInputMessage="1" showErrorMessage="1" sqref="E67" xr:uid="{3C7BACF8-831A-428B-AF6D-BD57E561B275}">
      <formula1>"1%, 2%, 3%"</formula1>
    </dataValidation>
    <dataValidation type="list" allowBlank="1" showInputMessage="1" showErrorMessage="1" sqref="G46:G47" xr:uid="{61013D04-920E-46AC-840E-C1DC6F29E17C}">
      <formula1>"0, 20%"</formula1>
    </dataValidation>
    <dataValidation type="list" allowBlank="1" showInputMessage="1" showErrorMessage="1" sqref="G141" xr:uid="{39642125-B3FA-4981-9E98-FB5E788C91F6}">
      <mc:AlternateContent xmlns:x12ac="http://schemas.microsoft.com/office/spreadsheetml/2011/1/ac" xmlns:mc="http://schemas.openxmlformats.org/markup-compatibility/2006">
        <mc:Choice Requires="x12ac">
          <x12ac:list>3%," 7,6%"</x12ac:list>
        </mc:Choice>
        <mc:Fallback>
          <formula1>"3%, 7,6%"</formula1>
        </mc:Fallback>
      </mc:AlternateContent>
    </dataValidation>
    <dataValidation type="list" allowBlank="1" showInputMessage="1" showErrorMessage="1" sqref="G140" xr:uid="{03F0BD64-06B1-4F04-8459-ACBDD40C0107}">
      <mc:AlternateContent xmlns:x12ac="http://schemas.microsoft.com/office/spreadsheetml/2011/1/ac" xmlns:mc="http://schemas.openxmlformats.org/markup-compatibility/2006">
        <mc:Choice Requires="x12ac">
          <x12ac:list>"0,65%","1,65%"</x12ac:list>
        </mc:Choice>
        <mc:Fallback>
          <formula1>"0,65%,1,65%"</formula1>
        </mc:Fallback>
      </mc:AlternateContent>
    </dataValidation>
    <dataValidation type="list" allowBlank="1" showInputMessage="1" showErrorMessage="1" sqref="G48" xr:uid="{8BE5C4F4-2278-47AD-B1AC-4ACD7F5583F3}">
      <formula1>"0, 50%, 100%"</formula1>
    </dataValidation>
    <dataValidation type="whole" allowBlank="1" showInputMessage="1" showErrorMessage="1" errorTitle="Valor errado" error="Quantidade fixa de dias. Prencher com 30" sqref="G109" xr:uid="{8F05A8C5-ADBF-4F01-A28B-EA25480ED647}">
      <formula1>30</formula1>
      <formula2>30</formula2>
    </dataValidation>
    <dataValidation type="list" operator="equal" allowBlank="1" showInputMessage="1" showErrorMessage="1" errorTitle="Valor errado" error="Percentual fixo. Preencher com 40%." sqref="F99 F101" xr:uid="{0633EF42-55FF-44E3-87BA-054E7B6DE5D5}">
      <formula1>"40%"</formula1>
    </dataValidation>
    <dataValidation type="custom" allowBlank="1" showInputMessage="1" showErrorMessage="1" sqref="G139" xr:uid="{CFE532BD-1C09-41A2-B5A5-DB482679EFE8}">
      <formula1>1-(G140+G141+G142)</formula1>
    </dataValidation>
    <dataValidation type="list" allowBlank="1" showInputMessage="1" showErrorMessage="1" sqref="G102" xr:uid="{F0E96193-A4B3-4B40-8BBD-7478C686D1B6}">
      <formula1>"3,6,9,12,15"</formula1>
    </dataValidation>
  </dataValidations>
  <pageMargins left="0.511811024" right="0.511811024" top="0.78740157499999996" bottom="0.78740157499999996" header="0.31496062000000002" footer="0.31496062000000002"/>
  <pageSetup paperSize="9" scale="77" fitToHeight="0" orientation="portrait" horizontalDpi="4294967293" verticalDpi="4294967293" r:id="rId1"/>
  <rowBreaks count="2" manualBreakCount="2">
    <brk id="73" max="7" man="1"/>
    <brk id="143" max="7" man="1"/>
  </rowBreaks>
  <colBreaks count="1" manualBreakCount="1">
    <brk id="8" max="1048575" man="1"/>
  </col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442D5-7874-4336-BF51-CD474471257D}">
  <sheetPr>
    <pageSetUpPr fitToPage="1"/>
  </sheetPr>
  <dimension ref="A1:K17"/>
  <sheetViews>
    <sheetView zoomScaleNormal="100" workbookViewId="0">
      <selection activeCell="H1" sqref="H1"/>
    </sheetView>
  </sheetViews>
  <sheetFormatPr defaultColWidth="11.54296875" defaultRowHeight="11.5" x14ac:dyDescent="0.25"/>
  <cols>
    <col min="1" max="1" width="32.90625" style="317" customWidth="1"/>
    <col min="2" max="2" width="13.453125" style="317" customWidth="1"/>
    <col min="3" max="3" width="11.54296875" style="317"/>
    <col min="4" max="4" width="15.6328125" style="317" customWidth="1"/>
    <col min="5" max="5" width="15" style="317" hidden="1" customWidth="1"/>
    <col min="6" max="6" width="21.81640625" style="317" customWidth="1"/>
    <col min="7" max="7" width="4.54296875" style="317" customWidth="1"/>
    <col min="8" max="8" width="11.54296875" style="317"/>
    <col min="9" max="9" width="12" style="317" bestFit="1" customWidth="1"/>
    <col min="10" max="10" width="14.7265625" style="317" bestFit="1" customWidth="1"/>
    <col min="11" max="16384" width="11.54296875" style="317"/>
  </cols>
  <sheetData>
    <row r="1" spans="1:11" s="318" customFormat="1" ht="12.75" customHeight="1" x14ac:dyDescent="0.25">
      <c r="A1" s="315" t="s">
        <v>329</v>
      </c>
      <c r="B1" s="315"/>
      <c r="C1" s="315"/>
      <c r="D1" s="315"/>
      <c r="E1" s="315"/>
      <c r="F1" s="315"/>
      <c r="G1" s="316"/>
      <c r="H1" s="317"/>
    </row>
    <row r="2" spans="1:11" s="318" customFormat="1" x14ac:dyDescent="0.25">
      <c r="A2" s="319" t="s">
        <v>47</v>
      </c>
      <c r="B2" s="320" t="s">
        <v>48</v>
      </c>
      <c r="C2" s="320"/>
      <c r="D2" s="320"/>
      <c r="E2" s="320"/>
      <c r="F2" s="321" t="s">
        <v>26</v>
      </c>
      <c r="G2" s="316"/>
      <c r="H2" s="317"/>
    </row>
    <row r="3" spans="1:11" ht="33" customHeight="1" x14ac:dyDescent="0.25">
      <c r="A3" s="322" t="s">
        <v>49</v>
      </c>
      <c r="B3" s="323" t="s">
        <v>50</v>
      </c>
      <c r="C3" s="323"/>
      <c r="D3" s="323"/>
      <c r="E3" s="323"/>
      <c r="F3" s="324">
        <f>'Memória de Cálculo - Componente'!F4</f>
        <v>1079.8733333333332</v>
      </c>
      <c r="G3" s="316"/>
    </row>
    <row r="4" spans="1:11" ht="14" customHeight="1" x14ac:dyDescent="0.25">
      <c r="A4" s="322" t="s">
        <v>51</v>
      </c>
      <c r="B4" s="323" t="s">
        <v>52</v>
      </c>
      <c r="C4" s="323"/>
      <c r="D4" s="323"/>
      <c r="E4" s="323"/>
      <c r="F4" s="324">
        <v>0</v>
      </c>
      <c r="G4" s="316"/>
    </row>
    <row r="5" spans="1:11" ht="70" customHeight="1" x14ac:dyDescent="0.25">
      <c r="A5" s="322" t="s">
        <v>53</v>
      </c>
      <c r="B5" s="323" t="s">
        <v>54</v>
      </c>
      <c r="C5" s="323"/>
      <c r="D5" s="323"/>
      <c r="E5" s="323"/>
      <c r="F5" s="324">
        <f>SUM('Memória de Cálculo - Componente'!F5:F11)</f>
        <v>1480.4320740740741</v>
      </c>
      <c r="G5" s="316"/>
    </row>
    <row r="6" spans="1:11" ht="35.5" customHeight="1" x14ac:dyDescent="0.25">
      <c r="A6" s="322" t="s">
        <v>55</v>
      </c>
      <c r="B6" s="323" t="s">
        <v>56</v>
      </c>
      <c r="C6" s="323"/>
      <c r="D6" s="323"/>
      <c r="E6" s="323"/>
      <c r="F6" s="324">
        <f>SUM('Memória de Cálculo - Componente'!F12:F13)</f>
        <v>2015.83</v>
      </c>
      <c r="G6" s="316"/>
    </row>
    <row r="7" spans="1:11" ht="69.5" customHeight="1" x14ac:dyDescent="0.25">
      <c r="A7" s="322" t="s">
        <v>330</v>
      </c>
      <c r="B7" s="323" t="s">
        <v>57</v>
      </c>
      <c r="C7" s="323"/>
      <c r="D7" s="323"/>
      <c r="E7" s="323"/>
      <c r="F7" s="324">
        <f>SUM('Memória de Cálculo - Componente'!F14:F21)</f>
        <v>791.86666666666667</v>
      </c>
      <c r="G7" s="316"/>
    </row>
    <row r="8" spans="1:11" ht="20.5" customHeight="1" x14ac:dyDescent="0.25">
      <c r="A8" s="325" t="s">
        <v>58</v>
      </c>
      <c r="B8" s="325"/>
      <c r="C8" s="325"/>
      <c r="D8" s="325"/>
      <c r="E8" s="325"/>
      <c r="F8" s="326">
        <f>SUM(F3:F7)</f>
        <v>5368.0020740740738</v>
      </c>
      <c r="G8" s="316"/>
    </row>
    <row r="9" spans="1:11" ht="27.5" customHeight="1" x14ac:dyDescent="0.25">
      <c r="A9" s="325" t="s">
        <v>331</v>
      </c>
      <c r="B9" s="325"/>
      <c r="C9" s="325"/>
      <c r="D9" s="325"/>
      <c r="E9" s="325"/>
      <c r="F9" s="327">
        <f>F8/8</f>
        <v>671.00025925925922</v>
      </c>
      <c r="G9" s="316"/>
    </row>
    <row r="10" spans="1:11" ht="15.5" customHeight="1" x14ac:dyDescent="0.25">
      <c r="A10" s="328" t="s">
        <v>59</v>
      </c>
      <c r="B10" s="328"/>
      <c r="C10" s="328"/>
      <c r="D10" s="328"/>
      <c r="E10" s="328"/>
      <c r="F10" s="328"/>
      <c r="G10" s="316"/>
    </row>
    <row r="11" spans="1:11" ht="15.5" customHeight="1" x14ac:dyDescent="0.25">
      <c r="A11" s="319" t="s">
        <v>47</v>
      </c>
      <c r="B11" s="320" t="s">
        <v>48</v>
      </c>
      <c r="C11" s="320"/>
      <c r="D11" s="320"/>
      <c r="E11" s="320"/>
      <c r="F11" s="321" t="s">
        <v>26</v>
      </c>
      <c r="G11" s="316"/>
      <c r="I11" s="329"/>
      <c r="J11" s="329"/>
    </row>
    <row r="12" spans="1:11" ht="24.5" customHeight="1" x14ac:dyDescent="0.25">
      <c r="A12" s="322" t="s">
        <v>60</v>
      </c>
      <c r="B12" s="330"/>
      <c r="C12" s="330"/>
      <c r="D12" s="330"/>
      <c r="E12" s="330"/>
      <c r="F12" s="324">
        <v>0</v>
      </c>
      <c r="G12" s="316"/>
      <c r="H12" s="329"/>
      <c r="K12" s="329"/>
    </row>
    <row r="13" spans="1:11" ht="15.5" customHeight="1" x14ac:dyDescent="0.25">
      <c r="A13" s="322" t="s">
        <v>61</v>
      </c>
      <c r="B13" s="330"/>
      <c r="C13" s="330"/>
      <c r="D13" s="330"/>
      <c r="E13" s="330"/>
      <c r="F13" s="324">
        <v>0</v>
      </c>
      <c r="G13" s="316"/>
    </row>
    <row r="14" spans="1:11" ht="15.5" customHeight="1" x14ac:dyDescent="0.25">
      <c r="A14" s="322" t="s">
        <v>62</v>
      </c>
      <c r="B14" s="330"/>
      <c r="C14" s="330"/>
      <c r="D14" s="330"/>
      <c r="E14" s="330"/>
      <c r="F14" s="324">
        <v>0</v>
      </c>
      <c r="G14" s="316"/>
      <c r="J14" s="329"/>
      <c r="K14" s="329"/>
    </row>
    <row r="15" spans="1:11" ht="15.5" customHeight="1" x14ac:dyDescent="0.25">
      <c r="A15" s="325" t="s">
        <v>63</v>
      </c>
      <c r="B15" s="325"/>
      <c r="C15" s="325"/>
      <c r="D15" s="325"/>
      <c r="E15" s="325"/>
      <c r="F15" s="326">
        <f>SUM(F12:F14)</f>
        <v>0</v>
      </c>
      <c r="G15" s="316"/>
    </row>
    <row r="16" spans="1:11" ht="15.5" customHeight="1" x14ac:dyDescent="0.25"/>
    <row r="17" spans="1:6" ht="15.5" customHeight="1" x14ac:dyDescent="0.25">
      <c r="A17" s="325" t="s">
        <v>332</v>
      </c>
      <c r="B17" s="325"/>
      <c r="C17" s="325"/>
      <c r="D17" s="325"/>
      <c r="E17" s="325"/>
      <c r="F17" s="331">
        <f>(F8+F15)/8</f>
        <v>671.00025925925922</v>
      </c>
    </row>
  </sheetData>
  <mergeCells count="16">
    <mergeCell ref="B3:E3"/>
    <mergeCell ref="A1:F1"/>
    <mergeCell ref="B2:E2"/>
    <mergeCell ref="B13:E13"/>
    <mergeCell ref="B4:E4"/>
    <mergeCell ref="B5:E5"/>
    <mergeCell ref="B6:E6"/>
    <mergeCell ref="B7:E7"/>
    <mergeCell ref="A9:E9"/>
    <mergeCell ref="A8:E8"/>
    <mergeCell ref="A10:F10"/>
    <mergeCell ref="B11:E11"/>
    <mergeCell ref="B12:E12"/>
    <mergeCell ref="B14:E14"/>
    <mergeCell ref="A15:E15"/>
    <mergeCell ref="A17:E17"/>
  </mergeCells>
  <pageMargins left="0.78749999999999998" right="0.78749999999999998" top="1.05277777777778" bottom="1.05277777777778" header="0.78749999999999998" footer="0.78749999999999998"/>
  <pageSetup paperSize="9" scale="91" fitToHeight="0" orientation="portrait" horizontalDpi="300" verticalDpi="300" r:id="rId1"/>
  <headerFooter>
    <oddHeader>&amp;C&amp;"Times New Roman,Normal"&amp;12&amp;A</oddHeader>
    <oddFooter>&amp;C&amp;"Times New Roman,Normal"&amp;12Página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1D990A4ABA70345AAA71307C007BCF2" ma:contentTypeVersion="9" ma:contentTypeDescription="Crie um novo documento." ma:contentTypeScope="" ma:versionID="a952135e2bccd85dfa68ebb0695d8683">
  <xsd:schema xmlns:xsd="http://www.w3.org/2001/XMLSchema" xmlns:xs="http://www.w3.org/2001/XMLSchema" xmlns:p="http://schemas.microsoft.com/office/2006/metadata/properties" xmlns:ns2="8354ad2e-8f06-4a31-88ae-fb6a72f299eb" targetNamespace="http://schemas.microsoft.com/office/2006/metadata/properties" ma:root="true" ma:fieldsID="641dd983509ea49819fd12a1244cb4a9" ns2:_="">
    <xsd:import namespace="8354ad2e-8f06-4a31-88ae-fb6a72f299e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54ad2e-8f06-4a31-88ae-fb6a72f299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9dedead9-c757-482c-9d9c-129f1bf7743c"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354ad2e-8f06-4a31-88ae-fb6a72f299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5CEE365-7BAE-4FD9-A5E4-30B40679B9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54ad2e-8f06-4a31-88ae-fb6a72f299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168464-2ECF-4059-9733-571E35A25E8E}">
  <ds:schemaRefs>
    <ds:schemaRef ds:uri="http://schemas.microsoft.com/sharepoint/v3/contenttype/forms"/>
  </ds:schemaRefs>
</ds:datastoreItem>
</file>

<file path=customXml/itemProps3.xml><?xml version="1.0" encoding="utf-8"?>
<ds:datastoreItem xmlns:ds="http://schemas.openxmlformats.org/officeDocument/2006/customXml" ds:itemID="{1B4C32A8-A399-4E0B-8A86-E44B2D885084}">
  <ds:schemaRefs>
    <ds:schemaRef ds:uri="http://schemas.microsoft.com/office/2006/metadata/properties"/>
    <ds:schemaRef ds:uri="http://schemas.microsoft.com/office/infopath/2007/PartnerControls"/>
    <ds:schemaRef ds:uri="8354ad2e-8f06-4a31-88ae-fb6a72f299e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11</vt:i4>
      </vt:variant>
      <vt:variant>
        <vt:lpstr>Intervalos Nomeados</vt:lpstr>
      </vt:variant>
      <vt:variant>
        <vt:i4>9</vt:i4>
      </vt:variant>
    </vt:vector>
  </HeadingPairs>
  <TitlesOfParts>
    <vt:vector size="20" baseType="lpstr">
      <vt:lpstr>Planilha de Preços</vt:lpstr>
      <vt:lpstr>Quadro resumo</vt:lpstr>
      <vt:lpstr>Orientações - Portaria</vt:lpstr>
      <vt:lpstr>TECSUP-01 - RJ</vt:lpstr>
      <vt:lpstr>TECSUP-02 - RJ</vt:lpstr>
      <vt:lpstr>TECSUP-02 - SP</vt:lpstr>
      <vt:lpstr>TECSUP-02 - DF</vt:lpstr>
      <vt:lpstr>GERSUP</vt:lpstr>
      <vt:lpstr>Demais componentes</vt:lpstr>
      <vt:lpstr>Quadro E</vt:lpstr>
      <vt:lpstr>Memória de Cálculo - Componente</vt:lpstr>
      <vt:lpstr>'Demais componentes'!Area_de_impressao</vt:lpstr>
      <vt:lpstr>GERSUP!Area_de_impressao</vt:lpstr>
      <vt:lpstr>'Memória de Cálculo - Componente'!Area_de_impressao</vt:lpstr>
      <vt:lpstr>'Planilha de Preços'!Area_de_impressao</vt:lpstr>
      <vt:lpstr>'Quadro resumo'!Area_de_impressao</vt:lpstr>
      <vt:lpstr>'TECSUP-01 - RJ'!Area_de_impressao</vt:lpstr>
      <vt:lpstr>'TECSUP-02 - DF'!Area_de_impressao</vt:lpstr>
      <vt:lpstr>'TECSUP-02 - RJ'!Area_de_impressao</vt:lpstr>
      <vt:lpstr>'TECSUP-02 - SP'!Area_de_impressao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Patrick</dc:creator>
  <cp:keywords/>
  <dc:description/>
  <cp:lastModifiedBy>Felipe Mazza Mascarenhas</cp:lastModifiedBy>
  <cp:revision/>
  <cp:lastPrinted>2025-06-17T19:49:30Z</cp:lastPrinted>
  <dcterms:created xsi:type="dcterms:W3CDTF">2010-12-08T17:56:29Z</dcterms:created>
  <dcterms:modified xsi:type="dcterms:W3CDTF">2025-06-17T19:51:36Z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0x010100F1D990A4ABA70345AAA71307C007BCF2</vt:lpwstr>
  </property>
  <property fmtid="{D5CDD505-2E9C-101B-9397-08002B2CF9AE}" pid="4" name="MediaServiceImageTags">
    <vt:lpwstr/>
  </property>
</Properties>
</file>