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I:\DADM\ALOG\DCAD\Processos Licitatórios\Editais\2025\Pregão\2 - Numerados\14 - Limpeza SP - RC6580\"/>
    </mc:Choice>
  </mc:AlternateContent>
  <xr:revisionPtr revIDLastSave="0" documentId="13_ncr:1_{EA0721DE-F85C-4266-8423-BF3CB9DB8016}" xr6:coauthVersionLast="47" xr6:coauthVersionMax="47" xr10:uidLastSave="{00000000-0000-0000-0000-000000000000}"/>
  <bookViews>
    <workbookView xWindow="-120" yWindow="-120" windowWidth="20730" windowHeight="11040" tabRatio="681" xr2:uid="{00000000-000D-0000-FFFF-FFFF00000000}"/>
  </bookViews>
  <sheets>
    <sheet name="Quadro resumo" sheetId="7" r:id="rId1"/>
    <sheet name="Copeiro(a)" sheetId="28" r:id="rId2"/>
    <sheet name="ASG - Faxineiro" sheetId="27" r:id="rId3"/>
    <sheet name="Insumos M.O." sheetId="23" r:id="rId4"/>
    <sheet name="Material ASG" sheetId="29" r:id="rId5"/>
    <sheet name="Material Copa" sheetId="30" r:id="rId6"/>
  </sheets>
  <definedNames>
    <definedName name="_xlnm.Print_Area" localSheetId="2">'ASG - Faxineiro'!$A$1:$H$153</definedName>
    <definedName name="_xlnm.Print_Area" localSheetId="1">'Copeiro(a)'!$A$1:$H$154</definedName>
    <definedName name="_xlnm.Print_Area" localSheetId="3">'Insumos M.O.'!$A$1:$H$52</definedName>
    <definedName name="_xlnm.Print_Area" localSheetId="4">'Material ASG'!$A$1:$G$55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27" l="1"/>
  <c r="H69" i="28"/>
  <c r="G67" i="27"/>
  <c r="G61" i="27"/>
  <c r="G67" i="28"/>
  <c r="G61" i="28"/>
  <c r="G14" i="23"/>
  <c r="F9" i="23"/>
  <c r="G9" i="23"/>
  <c r="G51" i="23"/>
  <c r="H51" i="23" s="1"/>
  <c r="H52" i="23" l="1"/>
  <c r="H114" i="28" l="1"/>
  <c r="H115" i="27"/>
  <c r="H67" i="28" l="1"/>
  <c r="H61" i="28"/>
  <c r="H60" i="28"/>
  <c r="H67" i="27"/>
  <c r="G28" i="30"/>
  <c r="G27" i="30"/>
  <c r="G2" i="30"/>
  <c r="C31" i="23"/>
  <c r="G55" i="29"/>
  <c r="F38" i="23"/>
  <c r="F31" i="23"/>
  <c r="G31" i="23" l="1"/>
  <c r="G32" i="23" s="1"/>
  <c r="H113" i="27" s="1"/>
  <c r="G44" i="23"/>
  <c r="H44" i="23" s="1"/>
  <c r="A45" i="23"/>
  <c r="G45" i="23"/>
  <c r="H45" i="23" s="1"/>
  <c r="F24" i="23"/>
  <c r="G24" i="23" s="1"/>
  <c r="F23" i="23"/>
  <c r="G23" i="23" s="1"/>
  <c r="F22" i="23"/>
  <c r="G22" i="23" s="1"/>
  <c r="F21" i="23"/>
  <c r="G21" i="23" s="1"/>
  <c r="F20" i="23"/>
  <c r="G20" i="23" s="1"/>
  <c r="A20" i="23"/>
  <c r="A21" i="23" s="1"/>
  <c r="A22" i="23" s="1"/>
  <c r="A23" i="23" s="1"/>
  <c r="A24" i="23" s="1"/>
  <c r="F19" i="23"/>
  <c r="G19" i="23" s="1"/>
  <c r="F7" i="23"/>
  <c r="G7" i="23" s="1"/>
  <c r="F8" i="23"/>
  <c r="G8" i="23" s="1"/>
  <c r="F10" i="23"/>
  <c r="G10" i="23" s="1"/>
  <c r="F11" i="23"/>
  <c r="G11" i="23" s="1"/>
  <c r="F12" i="23"/>
  <c r="G12" i="23" s="1"/>
  <c r="F13" i="23"/>
  <c r="G13" i="23" s="1"/>
  <c r="H46" i="23" l="1"/>
  <c r="G25" i="23"/>
  <c r="H112" i="28" s="1"/>
  <c r="G3" i="30" l="1"/>
  <c r="G4" i="30"/>
  <c r="G5" i="30"/>
  <c r="G6" i="30"/>
  <c r="G7" i="30"/>
  <c r="G8" i="30"/>
  <c r="G9" i="30"/>
  <c r="G10" i="30"/>
  <c r="G11" i="30"/>
  <c r="G12" i="30"/>
  <c r="G13" i="30"/>
  <c r="G14" i="30"/>
  <c r="G15" i="30"/>
  <c r="G16" i="30"/>
  <c r="G17" i="30"/>
  <c r="G18" i="30"/>
  <c r="G19" i="30"/>
  <c r="G20" i="30"/>
  <c r="G21" i="30"/>
  <c r="G22" i="30"/>
  <c r="G23" i="30"/>
  <c r="G24" i="30"/>
  <c r="G25" i="30"/>
  <c r="G2" i="29"/>
  <c r="G3" i="29"/>
  <c r="G4" i="29"/>
  <c r="G5" i="29"/>
  <c r="G6" i="29"/>
  <c r="G7" i="29"/>
  <c r="G8" i="29"/>
  <c r="G9" i="29"/>
  <c r="G10" i="29"/>
  <c r="G11" i="29"/>
  <c r="G12" i="29"/>
  <c r="G13" i="29"/>
  <c r="G14" i="29"/>
  <c r="G15" i="29"/>
  <c r="G16" i="29"/>
  <c r="G17" i="29"/>
  <c r="G18" i="29"/>
  <c r="G19" i="29"/>
  <c r="G20" i="29"/>
  <c r="G21" i="29"/>
  <c r="G22" i="29"/>
  <c r="G23" i="29"/>
  <c r="G24" i="29"/>
  <c r="G25" i="29"/>
  <c r="G26" i="29"/>
  <c r="G27" i="29"/>
  <c r="G28" i="29"/>
  <c r="G29" i="29"/>
  <c r="G30" i="29"/>
  <c r="G31" i="29"/>
  <c r="G32" i="29"/>
  <c r="G33" i="29"/>
  <c r="G34" i="29"/>
  <c r="G35" i="29"/>
  <c r="G36" i="29"/>
  <c r="G37" i="29"/>
  <c r="G38" i="29"/>
  <c r="G39" i="29"/>
  <c r="G40" i="29"/>
  <c r="G41" i="29"/>
  <c r="G42" i="29"/>
  <c r="G43" i="29"/>
  <c r="G44" i="29"/>
  <c r="G45" i="29"/>
  <c r="G46" i="29"/>
  <c r="G47" i="29"/>
  <c r="G48" i="29"/>
  <c r="G49" i="29"/>
  <c r="G50" i="29"/>
  <c r="G51" i="29"/>
  <c r="G52" i="29"/>
  <c r="G53" i="29"/>
  <c r="H61" i="27" l="1"/>
  <c r="H60" i="27"/>
  <c r="G150" i="28"/>
  <c r="G149" i="28"/>
  <c r="G148" i="28"/>
  <c r="G123" i="28"/>
  <c r="G49" i="28"/>
  <c r="G56" i="28" s="1"/>
  <c r="G42" i="28"/>
  <c r="G41" i="28"/>
  <c r="H34" i="28"/>
  <c r="H30" i="28" s="1"/>
  <c r="H27" i="28"/>
  <c r="H26" i="28"/>
  <c r="H27" i="27"/>
  <c r="H34" i="27"/>
  <c r="G43" i="28" l="1"/>
  <c r="H75" i="28"/>
  <c r="H28" i="28"/>
  <c r="H29" i="28"/>
  <c r="H30" i="27"/>
  <c r="H32" i="28" l="1"/>
  <c r="H133" i="28" s="1"/>
  <c r="G150" i="27"/>
  <c r="G149" i="27"/>
  <c r="G148" i="27"/>
  <c r="G123" i="27"/>
  <c r="G49" i="27"/>
  <c r="G56" i="27" s="1"/>
  <c r="G42" i="27"/>
  <c r="G41" i="27"/>
  <c r="H26" i="27"/>
  <c r="H29" i="27" s="1"/>
  <c r="H41" i="28" l="1"/>
  <c r="H42" i="28"/>
  <c r="H28" i="27"/>
  <c r="G43" i="27"/>
  <c r="H43" i="28" l="1"/>
  <c r="H54" i="28" s="1"/>
  <c r="H147" i="28"/>
  <c r="H53" i="28"/>
  <c r="H52" i="28"/>
  <c r="H47" i="28"/>
  <c r="H73" i="28"/>
  <c r="H32" i="27"/>
  <c r="H49" i="28" l="1"/>
  <c r="H55" i="28"/>
  <c r="H82" i="28" s="1"/>
  <c r="H48" i="28"/>
  <c r="H56" i="28" s="1"/>
  <c r="H51" i="28"/>
  <c r="H42" i="27"/>
  <c r="H133" i="27"/>
  <c r="H41" i="27"/>
  <c r="H74" i="28" l="1"/>
  <c r="H76" i="28" s="1"/>
  <c r="H134" i="28" s="1"/>
  <c r="H86" i="28"/>
  <c r="H83" i="28"/>
  <c r="H81" i="28" s="1"/>
  <c r="H85" i="28"/>
  <c r="H84" i="28" s="1"/>
  <c r="H43" i="27"/>
  <c r="H147" i="27" s="1"/>
  <c r="H87" i="28" l="1"/>
  <c r="H100" i="28" s="1"/>
  <c r="H101" i="28" s="1"/>
  <c r="H106" i="28" s="1"/>
  <c r="H135" i="28"/>
  <c r="H95" i="28"/>
  <c r="H94" i="28" s="1"/>
  <c r="H47" i="27"/>
  <c r="H53" i="27"/>
  <c r="H49" i="27"/>
  <c r="H54" i="27"/>
  <c r="H51" i="27"/>
  <c r="H73" i="27"/>
  <c r="H48" i="27"/>
  <c r="H55" i="27"/>
  <c r="H83" i="27" s="1"/>
  <c r="H52" i="27"/>
  <c r="H93" i="28" l="1"/>
  <c r="H96" i="28" s="1"/>
  <c r="H105" i="28" s="1"/>
  <c r="H107" i="28" s="1"/>
  <c r="H136" i="28" s="1"/>
  <c r="H56" i="27"/>
  <c r="H86" i="27" s="1"/>
  <c r="H85" i="27"/>
  <c r="H84" i="27" s="1"/>
  <c r="H146" i="28" l="1"/>
  <c r="H148" i="28" s="1"/>
  <c r="H149" i="28" s="1"/>
  <c r="H74" i="27"/>
  <c r="H150" i="28" l="1"/>
  <c r="H151" i="28" s="1"/>
  <c r="F6" i="23" l="1"/>
  <c r="G6" i="23" s="1"/>
  <c r="F5" i="23"/>
  <c r="G5" i="23" s="1"/>
  <c r="A6" i="23"/>
  <c r="A7" i="23" s="1"/>
  <c r="A8" i="23" s="1"/>
  <c r="A12" i="23" s="1"/>
  <c r="A13" i="23" s="1"/>
  <c r="H112" i="27" l="1"/>
  <c r="H114" i="27"/>
  <c r="H116" i="27" l="1"/>
  <c r="H137" i="27" s="1"/>
  <c r="C11" i="7" l="1"/>
  <c r="H75" i="27" l="1"/>
  <c r="H76" i="27" s="1"/>
  <c r="H134" i="27" l="1"/>
  <c r="H82" i="27"/>
  <c r="H81" i="27" s="1"/>
  <c r="H87" i="27" s="1"/>
  <c r="H135" i="27" l="1"/>
  <c r="H95" i="27"/>
  <c r="H100" i="27"/>
  <c r="H101" i="27" s="1"/>
  <c r="H106" i="27" s="1"/>
  <c r="H94" i="27" l="1"/>
  <c r="H93" i="27"/>
  <c r="H96" i="27" l="1"/>
  <c r="H105" i="27" s="1"/>
  <c r="H107" i="27" s="1"/>
  <c r="H136" i="27" s="1"/>
  <c r="H138" i="27" s="1"/>
  <c r="H146" i="27" l="1"/>
  <c r="H148" i="27" s="1"/>
  <c r="H149" i="27" s="1"/>
  <c r="H121" i="27"/>
  <c r="H122" i="27" s="1"/>
  <c r="H123" i="27" s="1"/>
  <c r="H125" i="27" l="1"/>
  <c r="H126" i="27"/>
  <c r="H124" i="27"/>
  <c r="H150" i="27"/>
  <c r="H151" i="27" s="1"/>
  <c r="H127" i="27" l="1"/>
  <c r="H139" i="27" s="1"/>
  <c r="H140" i="27" s="1"/>
  <c r="H145" i="27" l="1"/>
  <c r="H152" i="27" s="1"/>
  <c r="E10" i="7"/>
  <c r="F10" i="7" s="1"/>
  <c r="G10" i="7" s="1"/>
  <c r="C38" i="23" l="1"/>
  <c r="G38" i="23" s="1"/>
  <c r="G39" i="23" s="1"/>
  <c r="H113" i="28" s="1"/>
  <c r="H116" i="28" s="1"/>
  <c r="H137" i="28" s="1"/>
  <c r="H138" i="28" s="1"/>
  <c r="H121" i="28" s="1"/>
  <c r="H122" i="28" s="1"/>
  <c r="H123" i="28" s="1"/>
  <c r="H124" i="28" l="1"/>
  <c r="H126" i="28"/>
  <c r="H125" i="28"/>
  <c r="H127" i="28" l="1"/>
  <c r="H139" i="28" s="1"/>
  <c r="H140" i="28" s="1"/>
  <c r="H145" i="28" s="1"/>
  <c r="H152" i="28" s="1"/>
  <c r="E9" i="7" l="1"/>
  <c r="F9" i="7" s="1"/>
  <c r="F11" i="7" s="1"/>
  <c r="G9" i="7" l="1"/>
  <c r="G11" i="7" s="1"/>
  <c r="G1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michelly</author>
    <author>Felipe Mazza Mascarenhas</author>
  </authors>
  <commentList>
    <comment ref="B23" authorId="0" shapeId="0" xr:uid="{BD1831F9-28B6-4DDF-97C5-A66BCAEC47AA}">
      <text>
        <r>
          <rPr>
            <sz val="9"/>
            <color indexed="81"/>
            <rFont val="Segoe UI"/>
            <family val="2"/>
          </rPr>
          <t xml:space="preserve">Nota 1: O Módulo 1 refere-se ao valor mensal devido ao empregado pela prestação do serviço no período de 12 meses.
</t>
        </r>
      </text>
    </comment>
    <comment ref="D27" authorId="0" shapeId="0" xr:uid="{F4BD54DA-99A5-430A-845C-2DB19AABDCA5}">
      <text>
        <r>
          <rPr>
            <sz val="9"/>
            <color indexed="81"/>
            <rFont val="Segoe UI"/>
            <family val="2"/>
          </rPr>
          <t>Grau mínimo 10%, grau médio 20% e grau máximo 40%.</t>
        </r>
      </text>
    </comment>
    <comment ref="D30" authorId="0" shapeId="0" xr:uid="{F04C2A58-D40B-4698-A10C-C16B9137D9DC}">
      <text>
        <r>
          <rPr>
            <sz val="9"/>
            <color indexed="81"/>
            <rFont val="Segoe UI"/>
            <family val="2"/>
          </rPr>
          <t>Considerando 220h mensais</t>
        </r>
        <r>
          <rPr>
            <b/>
            <sz val="9"/>
            <color indexed="81"/>
            <rFont val="Segoe UI"/>
            <family val="2"/>
          </rPr>
          <t>.</t>
        </r>
      </text>
    </comment>
    <comment ref="B39" authorId="0" shapeId="0" xr:uid="{C517AF9D-68C8-4D43-BAD6-61E2023F31CD}">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41" authorId="1" shapeId="0" xr:uid="{E246CD74-7587-4277-AFA9-48A968DD649A}">
      <text>
        <r>
          <rPr>
            <sz val="9"/>
            <color indexed="81"/>
            <rFont val="Segoe UI"/>
            <family val="2"/>
          </rPr>
          <t>Tot.1 ÷ 12 meses</t>
        </r>
      </text>
    </comment>
    <comment ref="G42" authorId="1" shapeId="0" xr:uid="{4337869E-5B6D-48C7-AB78-75E53391A581}">
      <text>
        <r>
          <rPr>
            <sz val="9"/>
            <color indexed="81"/>
            <rFont val="Segoe UI"/>
            <family val="2"/>
          </rPr>
          <t>(Tot.1 ÷ 12 meses) + [(Tot.1 ÷ 3) ÷ 12 meses]</t>
        </r>
      </text>
    </comment>
    <comment ref="B45" authorId="0" shapeId="0" xr:uid="{4DA928F0-7971-4B2C-98BC-75975C2D75FF}">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47" authorId="0" shapeId="0" xr:uid="{3DE63214-1D20-4CB3-82F0-1231B09D0A97}">
      <text>
        <r>
          <rPr>
            <sz val="9"/>
            <color indexed="81"/>
            <rFont val="Segoe UI"/>
            <family val="2"/>
          </rPr>
          <t>Percentual fixo:
Lei 8.212/91, Art. 22, I</t>
        </r>
      </text>
    </comment>
    <comment ref="G48" authorId="0" shapeId="0" xr:uid="{21A5E980-0F8A-4EC5-A559-48E57FFA28E2}">
      <text>
        <r>
          <rPr>
            <sz val="9"/>
            <color indexed="81"/>
            <rFont val="Segoe UI"/>
            <family val="2"/>
          </rPr>
          <t>Percentual fixo:
- C.F./88, Art. 212, §5º
- Decreto 6.003/2006, Art. 1º, §1º</t>
        </r>
      </text>
    </comment>
    <comment ref="E49" authorId="0" shapeId="0" xr:uid="{82143DFF-A755-474D-BFFF-D336C0CA2211}">
      <text>
        <r>
          <rPr>
            <sz val="9"/>
            <color indexed="81"/>
            <rFont val="Segoe UI"/>
            <family val="2"/>
          </rPr>
          <t>Riscos Ambientais do Trabalho:
1%, 2% ou 3%
Lei 8.212/91, Art. 22, II</t>
        </r>
      </text>
    </comment>
    <comment ref="F49" authorId="0" shapeId="0" xr:uid="{59184FEE-C5FC-4AC8-BBD6-1240F434C925}">
      <text>
        <r>
          <rPr>
            <sz val="9"/>
            <color indexed="81"/>
            <rFont val="Segoe UI"/>
            <family val="2"/>
          </rPr>
          <t>Fator Acidentário de Prevenção:
0,50 a 2
Decreto 6.957/09, Art. 1º, §1º</t>
        </r>
      </text>
    </comment>
    <comment ref="G51" authorId="0" shapeId="0" xr:uid="{DA6BB1CB-BDC5-4C20-A102-24E366015118}">
      <text>
        <r>
          <rPr>
            <sz val="9"/>
            <color indexed="81"/>
            <rFont val="Segoe UI"/>
            <family val="2"/>
          </rPr>
          <t>Percentual fixo:
- Lei 8.036/90, Art. 30</t>
        </r>
      </text>
    </comment>
    <comment ref="G52" authorId="0" shapeId="0" xr:uid="{54A24AE6-D03A-4607-9479-F3F81DEED930}">
      <text>
        <r>
          <rPr>
            <sz val="9"/>
            <color indexed="81"/>
            <rFont val="Segoe UI"/>
            <family val="2"/>
          </rPr>
          <t>Percentual fixo:
- Decreto-Lei 6.246/44, Art. 1º
- Decreto-Lei 8.621/46, Art. 4º</t>
        </r>
      </text>
    </comment>
    <comment ref="G53" authorId="0" shapeId="0" xr:uid="{B2AE1FD5-F7A3-4E52-9176-DA875BEC70F0}">
      <text>
        <r>
          <rPr>
            <sz val="9"/>
            <color indexed="81"/>
            <rFont val="Segoe UI"/>
            <family val="2"/>
          </rPr>
          <t>Percentual fixo:
- Lei 8.029/90, alterada pela Lei 8.154/90</t>
        </r>
      </text>
    </comment>
    <comment ref="G54" authorId="0" shapeId="0" xr:uid="{EC0AA71A-A85C-4EF0-A98E-B275C94306B2}">
      <text>
        <r>
          <rPr>
            <sz val="9"/>
            <color indexed="81"/>
            <rFont val="Segoe UI"/>
            <family val="2"/>
          </rPr>
          <t>Percentual fixo:
- Decreto-Lei 1.146/70, Art. 1º, inciso I</t>
        </r>
      </text>
    </comment>
    <comment ref="G55" authorId="0" shapeId="0" xr:uid="{4263B4C5-3E36-4570-B3CB-065864A45BB2}">
      <text>
        <r>
          <rPr>
            <sz val="9"/>
            <color indexed="81"/>
            <rFont val="Segoe UI"/>
            <family val="2"/>
          </rPr>
          <t>Percentual fixo:
- Lei 8.036/90, Art. 15</t>
        </r>
      </text>
    </comment>
    <comment ref="B58" authorId="0" shapeId="0" xr:uid="{2DD70951-8457-47C0-B1B9-0E28B9B7BB19}">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59" authorId="1" shapeId="0" xr:uid="{4A79B3D0-CE7C-4044-BA3F-24A09AE7AC8C}">
      <text>
        <r>
          <rPr>
            <sz val="9"/>
            <color indexed="81"/>
            <rFont val="Segoe UI"/>
            <family val="2"/>
          </rPr>
          <t>*Considerada média de 22 dias úteis mensais</t>
        </r>
      </text>
    </comment>
    <comment ref="C82" authorId="1" shapeId="0" xr:uid="{F24BF1AB-05E4-482A-A707-80D690AAA73C}">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83" authorId="1" shapeId="0" xr:uid="{4C117933-E6CF-48DE-BC56-7B996EFE6402}">
      <text>
        <r>
          <rPr>
            <sz val="9"/>
            <color indexed="81"/>
            <rFont val="Segoe UI"/>
            <family val="2"/>
          </rPr>
          <t>Percentual fixo</t>
        </r>
      </text>
    </comment>
    <comment ref="G84" authorId="1" shapeId="0" xr:uid="{00FB8612-2C6F-4BE7-92AA-46D32C566A0E}">
      <text>
        <r>
          <rPr>
            <sz val="9"/>
            <color indexed="81"/>
            <rFont val="Segoe UI"/>
            <family val="2"/>
          </rPr>
          <t>Percentual variável, desde que maior que 100%</t>
        </r>
      </text>
    </comment>
    <comment ref="F85" authorId="1" shapeId="0" xr:uid="{BC2B9BDE-B6F2-4DCB-BC58-FF606A3234B6}">
      <text>
        <r>
          <rPr>
            <sz val="9"/>
            <color indexed="81"/>
            <rFont val="Segoe UI"/>
            <family val="2"/>
          </rPr>
          <t>Percentual fixo</t>
        </r>
      </text>
    </comment>
    <comment ref="C86" authorId="1" shapeId="0" xr:uid="{432B7BF6-4C3C-4696-9B96-837B581C450A}">
      <text>
        <r>
          <rPr>
            <sz val="9"/>
            <color indexed="81"/>
            <rFont val="Segoe UI"/>
            <family val="2"/>
          </rPr>
          <t>(Remuneração +13º salário + Férias e Adicional de férias + FGTS + Benefícios) ÷ 12 meses</t>
        </r>
      </text>
    </comment>
    <comment ref="F86" authorId="1" shapeId="0" xr:uid="{49147818-0AC0-4579-B688-D759A265BDA8}">
      <text>
        <r>
          <rPr>
            <sz val="9"/>
            <color indexed="81"/>
            <rFont val="Segoe UI"/>
            <family val="2"/>
          </rPr>
          <t>Valor fixo</t>
        </r>
      </text>
    </comment>
    <comment ref="G86" authorId="1" shapeId="0" xr:uid="{CB9539FC-601C-4719-BEE2-E62D38A96D94}">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90" authorId="0" shapeId="0" xr:uid="{A19520E5-83AF-4613-A27E-F2D2EC981770}">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92" authorId="0" shapeId="0" xr:uid="{267E04C6-302E-4A71-97C4-475D1F8FDF74}">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93" authorId="1" shapeId="0" xr:uid="{89987BD3-B6DA-40F3-874F-4A3749C6275C}">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94" authorId="0" shapeId="0" xr:uid="{4DE33F88-696D-479A-A18F-430AC38C90EA}">
      <text>
        <r>
          <rPr>
            <sz val="9"/>
            <color indexed="81"/>
            <rFont val="Segoe UI"/>
            <family val="2"/>
          </rPr>
          <t>Necessidade da empresa, de acordo com as probabilidades consignadas em sua proposta, de um repositor durante o ano (em dias).</t>
        </r>
      </text>
    </comment>
    <comment ref="C95" authorId="1" shapeId="0" xr:uid="{8B188D1E-7989-445F-9F70-78601C4BE6A7}">
      <text>
        <r>
          <rPr>
            <sz val="9"/>
            <color indexed="81"/>
            <rFont val="Segoe UI"/>
            <family val="2"/>
          </rPr>
          <t>(Módulo 1 + Módulo 2 + Módulo 3) ÷ 30 dias</t>
        </r>
      </text>
    </comment>
    <comment ref="G99" authorId="0" shapeId="0" xr:uid="{B916C3B9-B9B7-49AE-9D3D-B9B2CD3EF45B}">
      <text>
        <r>
          <rPr>
            <sz val="9"/>
            <color indexed="81"/>
            <rFont val="Segoe UI"/>
            <family val="2"/>
          </rPr>
          <t xml:space="preserve">Dias necessários para substituição.
</t>
        </r>
      </text>
    </comment>
    <comment ref="B110" authorId="0" shapeId="0" xr:uid="{34C43C06-265D-4073-8E1D-B3AF43E7A309}">
      <text>
        <r>
          <rPr>
            <sz val="9"/>
            <color indexed="81"/>
            <rFont val="Segoe UI"/>
            <family val="2"/>
          </rPr>
          <t>Nota: Valores mensais por posto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michelly</author>
    <author>Felipe Mazza Mascarenhas</author>
  </authors>
  <commentList>
    <comment ref="B23" authorId="0" shapeId="0" xr:uid="{00000000-0006-0000-0100-000001000000}">
      <text>
        <r>
          <rPr>
            <sz val="9"/>
            <color indexed="81"/>
            <rFont val="Segoe UI"/>
            <family val="2"/>
          </rPr>
          <t xml:space="preserve">Nota 1: O Módulo 1 refere-se ao valor mensal devido ao empregado pela prestação do serviço no período de 12 meses.
</t>
        </r>
      </text>
    </comment>
    <comment ref="D27" authorId="0" shapeId="0" xr:uid="{00000000-0006-0000-0100-000002000000}">
      <text>
        <r>
          <rPr>
            <sz val="9"/>
            <color indexed="81"/>
            <rFont val="Segoe UI"/>
            <family val="2"/>
          </rPr>
          <t>Grau mínimo 10%, grau médio 20% e grau máximo 40%.</t>
        </r>
      </text>
    </comment>
    <comment ref="D30" authorId="0" shapeId="0" xr:uid="{00000000-0006-0000-0100-000003000000}">
      <text>
        <r>
          <rPr>
            <sz val="9"/>
            <color indexed="81"/>
            <rFont val="Segoe UI"/>
            <family val="2"/>
          </rPr>
          <t>Considerando 220h mensais</t>
        </r>
        <r>
          <rPr>
            <b/>
            <sz val="9"/>
            <color indexed="81"/>
            <rFont val="Segoe UI"/>
            <family val="2"/>
          </rPr>
          <t>.</t>
        </r>
      </text>
    </comment>
    <comment ref="B39" authorId="0" shapeId="0" xr:uid="{00000000-0006-0000-0100-000004000000}">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41" authorId="1" shapeId="0" xr:uid="{00000000-0006-0000-0100-000005000000}">
      <text>
        <r>
          <rPr>
            <sz val="9"/>
            <color indexed="81"/>
            <rFont val="Segoe UI"/>
            <family val="2"/>
          </rPr>
          <t>Tot.1 ÷ 12 meses</t>
        </r>
      </text>
    </comment>
    <comment ref="G42" authorId="1" shapeId="0" xr:uid="{00000000-0006-0000-0100-000006000000}">
      <text>
        <r>
          <rPr>
            <sz val="9"/>
            <color indexed="81"/>
            <rFont val="Segoe UI"/>
            <family val="2"/>
          </rPr>
          <t>(Tot.1 ÷ 12 meses) + [(Tot.1 ÷ 3) ÷ 12 meses]</t>
        </r>
      </text>
    </comment>
    <comment ref="B45" authorId="0" shapeId="0" xr:uid="{00000000-0006-0000-0100-000007000000}">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47" authorId="0" shapeId="0" xr:uid="{00000000-0006-0000-0100-000008000000}">
      <text>
        <r>
          <rPr>
            <sz val="9"/>
            <color indexed="81"/>
            <rFont val="Segoe UI"/>
            <family val="2"/>
          </rPr>
          <t>Percentual fixo:
Lei 8.212/91, Art. 22, I</t>
        </r>
      </text>
    </comment>
    <comment ref="G48" authorId="0" shapeId="0" xr:uid="{00000000-0006-0000-0100-000009000000}">
      <text>
        <r>
          <rPr>
            <sz val="9"/>
            <color indexed="81"/>
            <rFont val="Segoe UI"/>
            <family val="2"/>
          </rPr>
          <t>Percentual fixo:
- C.F./88, Art. 212, §5º
- Decreto 6.003/2006, Art. 1º, §1º</t>
        </r>
      </text>
    </comment>
    <comment ref="E49" authorId="0" shapeId="0" xr:uid="{00000000-0006-0000-0100-00000A000000}">
      <text>
        <r>
          <rPr>
            <sz val="9"/>
            <color indexed="81"/>
            <rFont val="Segoe UI"/>
            <family val="2"/>
          </rPr>
          <t>Riscos Ambientais do Trabalho:
1%, 2% ou 3%
Lei 8.212/91, Art. 22, II</t>
        </r>
      </text>
    </comment>
    <comment ref="F49" authorId="0" shapeId="0" xr:uid="{00000000-0006-0000-0100-00000B000000}">
      <text>
        <r>
          <rPr>
            <sz val="9"/>
            <color indexed="81"/>
            <rFont val="Segoe UI"/>
            <family val="2"/>
          </rPr>
          <t>Fator Acidentário de Prevenção:
0,50 a 2
Decreto 6.957/09, Art. 1º, §1º</t>
        </r>
      </text>
    </comment>
    <comment ref="G51" authorId="0" shapeId="0" xr:uid="{00000000-0006-0000-0100-00000C000000}">
      <text>
        <r>
          <rPr>
            <sz val="9"/>
            <color indexed="81"/>
            <rFont val="Segoe UI"/>
            <family val="2"/>
          </rPr>
          <t>Percentual fixo:
- Lei 8.036/90, Art. 30</t>
        </r>
      </text>
    </comment>
    <comment ref="G52" authorId="0" shapeId="0" xr:uid="{00000000-0006-0000-0100-00000D000000}">
      <text>
        <r>
          <rPr>
            <sz val="9"/>
            <color indexed="81"/>
            <rFont val="Segoe UI"/>
            <family val="2"/>
          </rPr>
          <t>Percentual fixo:
- Decreto-Lei 6.246/44, Art. 1º
- Decreto-Lei 8.621/46, Art. 4º</t>
        </r>
      </text>
    </comment>
    <comment ref="G53" authorId="0" shapeId="0" xr:uid="{00000000-0006-0000-0100-00000E000000}">
      <text>
        <r>
          <rPr>
            <sz val="9"/>
            <color indexed="81"/>
            <rFont val="Segoe UI"/>
            <family val="2"/>
          </rPr>
          <t>Percentual fixo:
- Lei 8.029/90, alterada pela Lei 8.154/90</t>
        </r>
      </text>
    </comment>
    <comment ref="G54" authorId="0" shapeId="0" xr:uid="{00000000-0006-0000-0100-00000F000000}">
      <text>
        <r>
          <rPr>
            <sz val="9"/>
            <color indexed="81"/>
            <rFont val="Segoe UI"/>
            <family val="2"/>
          </rPr>
          <t>Percentual fixo:
- Decreto-Lei 1.146/70, Art. 1º, inciso I</t>
        </r>
      </text>
    </comment>
    <comment ref="G55" authorId="0" shapeId="0" xr:uid="{00000000-0006-0000-0100-000010000000}">
      <text>
        <r>
          <rPr>
            <sz val="9"/>
            <color indexed="81"/>
            <rFont val="Segoe UI"/>
            <family val="2"/>
          </rPr>
          <t>Percentual fixo:
- Lei 8.036/90, Art. 15</t>
        </r>
      </text>
    </comment>
    <comment ref="B58" authorId="0" shapeId="0" xr:uid="{00000000-0006-0000-0100-000011000000}">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59" authorId="1" shapeId="0" xr:uid="{00000000-0006-0000-0100-000012000000}">
      <text>
        <r>
          <rPr>
            <sz val="9"/>
            <color indexed="81"/>
            <rFont val="Segoe UI"/>
            <family val="2"/>
          </rPr>
          <t>*Considerada média de 22 dias úteis mensais</t>
        </r>
      </text>
    </comment>
    <comment ref="C82" authorId="1" shapeId="0" xr:uid="{00000000-0006-0000-0100-000013000000}">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83" authorId="1" shapeId="0" xr:uid="{00000000-0006-0000-0100-000014000000}">
      <text>
        <r>
          <rPr>
            <sz val="9"/>
            <color indexed="81"/>
            <rFont val="Segoe UI"/>
            <family val="2"/>
          </rPr>
          <t>Percentual fixo</t>
        </r>
      </text>
    </comment>
    <comment ref="G84" authorId="1" shapeId="0" xr:uid="{00000000-0006-0000-0100-000015000000}">
      <text>
        <r>
          <rPr>
            <sz val="9"/>
            <color indexed="81"/>
            <rFont val="Segoe UI"/>
            <family val="2"/>
          </rPr>
          <t>Percentual variável, desde que maior que 100%</t>
        </r>
      </text>
    </comment>
    <comment ref="F85" authorId="1" shapeId="0" xr:uid="{00000000-0006-0000-0100-000016000000}">
      <text>
        <r>
          <rPr>
            <sz val="9"/>
            <color indexed="81"/>
            <rFont val="Segoe UI"/>
            <family val="2"/>
          </rPr>
          <t>Percentual fixo</t>
        </r>
      </text>
    </comment>
    <comment ref="C86" authorId="1" shapeId="0" xr:uid="{00000000-0006-0000-0100-000017000000}">
      <text>
        <r>
          <rPr>
            <sz val="9"/>
            <color indexed="81"/>
            <rFont val="Segoe UI"/>
            <family val="2"/>
          </rPr>
          <t>(Remuneração +13º salário + Férias e Adicional de férias + FGTS + Benefícios) ÷ 12 meses</t>
        </r>
      </text>
    </comment>
    <comment ref="F86" authorId="1" shapeId="0" xr:uid="{00000000-0006-0000-0100-000018000000}">
      <text>
        <r>
          <rPr>
            <sz val="9"/>
            <color indexed="81"/>
            <rFont val="Segoe UI"/>
            <family val="2"/>
          </rPr>
          <t>Valor fixo</t>
        </r>
      </text>
    </comment>
    <comment ref="G86" authorId="1" shapeId="0" xr:uid="{00000000-0006-0000-0100-000019000000}">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90" authorId="0" shapeId="0" xr:uid="{00000000-0006-0000-0100-00001A000000}">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92" authorId="0" shapeId="0" xr:uid="{00000000-0006-0000-0100-00001B000000}">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93" authorId="1" shapeId="0" xr:uid="{00000000-0006-0000-0100-00001C000000}">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94" authorId="0" shapeId="0" xr:uid="{00000000-0006-0000-0100-00001D000000}">
      <text>
        <r>
          <rPr>
            <sz val="9"/>
            <color indexed="81"/>
            <rFont val="Segoe UI"/>
            <family val="2"/>
          </rPr>
          <t>Necessidade da empresa, de acordo com as probabilidades consignadas em sua proposta, de um repositor durante o ano (em dias).</t>
        </r>
      </text>
    </comment>
    <comment ref="C95" authorId="1" shapeId="0" xr:uid="{00000000-0006-0000-0100-00001E000000}">
      <text>
        <r>
          <rPr>
            <sz val="9"/>
            <color indexed="81"/>
            <rFont val="Segoe UI"/>
            <family val="2"/>
          </rPr>
          <t>(Módulo 1 + Módulo 2 + Módulo 3) ÷ 30 dias</t>
        </r>
      </text>
    </comment>
    <comment ref="G99" authorId="0" shapeId="0" xr:uid="{00000000-0006-0000-0100-00001F000000}">
      <text>
        <r>
          <rPr>
            <sz val="9"/>
            <color indexed="81"/>
            <rFont val="Segoe UI"/>
            <family val="2"/>
          </rPr>
          <t xml:space="preserve">Dias necessários para substituição.
</t>
        </r>
      </text>
    </comment>
    <comment ref="B110" authorId="0" shapeId="0" xr:uid="{00000000-0006-0000-0100-000020000000}">
      <text>
        <r>
          <rPr>
            <sz val="9"/>
            <color indexed="81"/>
            <rFont val="Segoe UI"/>
            <family val="2"/>
          </rPr>
          <t>Nota: Valores mensais por posto</t>
        </r>
      </text>
    </comment>
  </commentList>
</comments>
</file>

<file path=xl/sharedStrings.xml><?xml version="1.0" encoding="utf-8"?>
<sst xmlns="http://schemas.openxmlformats.org/spreadsheetml/2006/main" count="926" uniqueCount="441">
  <si>
    <t>Adicional Noturno</t>
  </si>
  <si>
    <t>%</t>
  </si>
  <si>
    <t>Outros (especificar)</t>
  </si>
  <si>
    <t>Lucro</t>
  </si>
  <si>
    <t>A</t>
  </si>
  <si>
    <t>B</t>
  </si>
  <si>
    <t>C</t>
  </si>
  <si>
    <t>D</t>
  </si>
  <si>
    <t>E</t>
  </si>
  <si>
    <t>F</t>
  </si>
  <si>
    <t>G</t>
  </si>
  <si>
    <t>H</t>
  </si>
  <si>
    <t>Materiais</t>
  </si>
  <si>
    <t>Equipamentos</t>
  </si>
  <si>
    <t>4.1</t>
  </si>
  <si>
    <t>4.2</t>
  </si>
  <si>
    <t>Custos Indiretos</t>
  </si>
  <si>
    <t>Salário Base</t>
  </si>
  <si>
    <t>PIS</t>
  </si>
  <si>
    <t>COFINS</t>
  </si>
  <si>
    <t>ISS</t>
  </si>
  <si>
    <t>C.1</t>
  </si>
  <si>
    <t>C.2</t>
  </si>
  <si>
    <t>C.3</t>
  </si>
  <si>
    <t xml:space="preserve">Adicional Periculosidade </t>
  </si>
  <si>
    <t>Adicional Insalubridade</t>
  </si>
  <si>
    <t>Adicional de Hora Noturna Reduzida</t>
  </si>
  <si>
    <t>13º Salário, Férias e Adicional de Férias</t>
  </si>
  <si>
    <t>GPS, FGTS e Outras Contribuições</t>
  </si>
  <si>
    <t>SESC ou SESI</t>
  </si>
  <si>
    <t xml:space="preserve">INSS </t>
  </si>
  <si>
    <t xml:space="preserve">Salário Educação </t>
  </si>
  <si>
    <t xml:space="preserve">SENAI - SENAC </t>
  </si>
  <si>
    <t xml:space="preserve">SEBRAE </t>
  </si>
  <si>
    <t xml:space="preserve">INCRA </t>
  </si>
  <si>
    <t xml:space="preserve">FGTS </t>
  </si>
  <si>
    <t>Submódulo 2.1 - 13º Salário, Férias e Adicional de Férias</t>
  </si>
  <si>
    <t>Submódulo 2.3 - Benefícios Mensais e Diários</t>
  </si>
  <si>
    <t>2.1</t>
  </si>
  <si>
    <t>2.2</t>
  </si>
  <si>
    <t>2.3</t>
  </si>
  <si>
    <t>Benefícios Mensais e Diários</t>
  </si>
  <si>
    <t>Ausências Legais</t>
  </si>
  <si>
    <t>Módulo 4 - Custo de Reposição do Profissional Ausente</t>
  </si>
  <si>
    <t>Intrajornada</t>
  </si>
  <si>
    <t xml:space="preserve">Uniformes </t>
  </si>
  <si>
    <t>Subtotal (A + B + C + D + E)</t>
  </si>
  <si>
    <t xml:space="preserve">Transporte </t>
  </si>
  <si>
    <t>Valor (R$)</t>
  </si>
  <si>
    <t>PLANILHA DE CUSTOS E FORMAÇÃO DE PREÇOS</t>
  </si>
  <si>
    <t xml:space="preserve">Dados para composição dos custos referentes a mão de obra </t>
  </si>
  <si>
    <t xml:space="preserve">Tipo de Serviço (mesmo serviço com características distintas) </t>
  </si>
  <si>
    <t xml:space="preserve">Classificação Brasileira de Ocupações (CBO) </t>
  </si>
  <si>
    <t xml:space="preserve">Salário Normativo da Categoria Profissional </t>
  </si>
  <si>
    <t>Data-Base da Categoria (dia/mês/ano)</t>
  </si>
  <si>
    <t xml:space="preserve">Ano do Acordo, Convenção ou Dissídio Coletivo: </t>
  </si>
  <si>
    <t>Indicação dos sindicatos, acordos coletivos ou convenções coletivas</t>
  </si>
  <si>
    <t>Composição da Remuneração</t>
  </si>
  <si>
    <t>Total</t>
  </si>
  <si>
    <t>Provisão para Rescisão</t>
  </si>
  <si>
    <t>Insumos Diversos</t>
  </si>
  <si>
    <t>Custos Indiretos, Tributos e Lucro</t>
  </si>
  <si>
    <t>Férias e Adicional de Férias</t>
  </si>
  <si>
    <t>Módulo 1 - COMPOSIÇÃO DA REMUNERAÇÃO</t>
  </si>
  <si>
    <t>Módulo 2 - ENCARGOS E BENEFÍCIOS ANUAIS, MENSAIS E DIÁRIOS</t>
  </si>
  <si>
    <t>Submódulo 2.2 - Encargos Previdenciários (GPS), Fundo de Garantia por Tempo de Serviço (FGTS) e outras contribuições</t>
  </si>
  <si>
    <t>GPS, FGTS e outras contribuições</t>
  </si>
  <si>
    <t>Encargos e Benefícios Anuais, Mensais e Diários</t>
  </si>
  <si>
    <t>Quadro-Resumo do Módulo 2 - Encargos e Benefícios anuais, mensais e diários</t>
  </si>
  <si>
    <t>Módulo 3 - PROVISÃO PARA RESCISÃO</t>
  </si>
  <si>
    <t>Módulo 4 - CUSTO DE REPOSIÇÃO DO PROFISSIONAL AUSENTE</t>
  </si>
  <si>
    <t>Quadro-Resumo do Módulo 4 - Custo De Reposição do Profissional Ausente</t>
  </si>
  <si>
    <t>Custo de Reposição do Profissional Ausente</t>
  </si>
  <si>
    <t>Módulo 5 - INSUMOS DIVERSOS</t>
  </si>
  <si>
    <t>Módulo 6 - CUSTOS INDIRETOS, TRIBUTOS E LUCRO</t>
  </si>
  <si>
    <t>VALOR TOTAL POR EMPREGADO</t>
  </si>
  <si>
    <t>Módulo 1 - Composição da Remuneração</t>
  </si>
  <si>
    <t>Módulo 2 - Encargos e Benefícios Anuais, Mensais e Diários</t>
  </si>
  <si>
    <t>Módulo 3 - Provisão para Rescisão</t>
  </si>
  <si>
    <t>Módulo 5 - Insumos Diversos</t>
  </si>
  <si>
    <t>Módulo 6 - Custos Indiretos, Tributos e Lucro</t>
  </si>
  <si>
    <t>Item</t>
  </si>
  <si>
    <t>Custo Unitário</t>
  </si>
  <si>
    <t>Cargo</t>
  </si>
  <si>
    <t>Meses</t>
  </si>
  <si>
    <t>Valor Mensal</t>
  </si>
  <si>
    <t>Valor Total</t>
  </si>
  <si>
    <t>QUADRO RESUMO</t>
  </si>
  <si>
    <t>Submódulo 4.1 - Substituto nas Ausências Legais</t>
  </si>
  <si>
    <t>Substituto nas Ausências Legais</t>
  </si>
  <si>
    <t>Submódulo 4.2 - Substituto na Intrajornada</t>
  </si>
  <si>
    <t>Substituto na Intrajornada</t>
  </si>
  <si>
    <t>Substituto na cobertura de Intervalo para repouso ou alimentação</t>
  </si>
  <si>
    <t>Valor Unitário</t>
  </si>
  <si>
    <t>API com Probabilidade</t>
  </si>
  <si>
    <t>Aviso Prévio Indenizado - API</t>
  </si>
  <si>
    <t>Multa do FGTS do API</t>
  </si>
  <si>
    <t>APT com Probabilidade</t>
  </si>
  <si>
    <t>Multa do FGTS do APT</t>
  </si>
  <si>
    <t xml:space="preserve">FAP </t>
  </si>
  <si>
    <t>SAT - GIIL/RAT</t>
  </si>
  <si>
    <t xml:space="preserve">RAT </t>
  </si>
  <si>
    <t>Dias</t>
  </si>
  <si>
    <t>Valor Total por Empregado</t>
  </si>
  <si>
    <t>Tributos</t>
  </si>
  <si>
    <t>Total Custo Variável (Pagamento pelo Fato Gerador)</t>
  </si>
  <si>
    <t>Adicional de Hora Extra</t>
  </si>
  <si>
    <t>Quant. h/mês</t>
  </si>
  <si>
    <t>Férias</t>
  </si>
  <si>
    <r>
      <t>13º (Décimo-terceiro) salário</t>
    </r>
    <r>
      <rPr>
        <sz val="9"/>
        <color indexed="10"/>
        <rFont val="Tahoma"/>
        <family val="2"/>
      </rPr>
      <t xml:space="preserve"> </t>
    </r>
  </si>
  <si>
    <t>Custo diário do substituto</t>
  </si>
  <si>
    <t>Vida Útil (meses)</t>
  </si>
  <si>
    <t>Calça</t>
  </si>
  <si>
    <t>Camisa</t>
  </si>
  <si>
    <t>CUSTO TOTAL MENSAL</t>
  </si>
  <si>
    <t>Investimento</t>
  </si>
  <si>
    <t>Nº de Mudas por posto</t>
  </si>
  <si>
    <t>Custo anual por posto</t>
  </si>
  <si>
    <t>Custo mensal por posto</t>
  </si>
  <si>
    <t>Quant. por posto</t>
  </si>
  <si>
    <t>BASE DE CÁLCULO DOS TRIBUTOS</t>
  </si>
  <si>
    <t>Mão de Obra vinculada à execução contratual (valor por posto)</t>
  </si>
  <si>
    <t>Memória de cálculo da hora extra</t>
  </si>
  <si>
    <t>Quant. de postos</t>
  </si>
  <si>
    <t>Quant. de equipamentos</t>
  </si>
  <si>
    <t>VALOR TOTAL</t>
  </si>
  <si>
    <t>Valor da hora extra</t>
  </si>
  <si>
    <r>
      <t>Quantidade (</t>
    </r>
    <r>
      <rPr>
        <b/>
        <sz val="9"/>
        <color rgb="FFFF0000"/>
        <rFont val="Tahoma"/>
        <family val="2"/>
      </rPr>
      <t>Posto</t>
    </r>
    <r>
      <rPr>
        <b/>
        <sz val="9"/>
        <color theme="1"/>
        <rFont val="Tahoma"/>
        <family val="2"/>
      </rPr>
      <t xml:space="preserve">) </t>
    </r>
  </si>
  <si>
    <t>Anexo II</t>
  </si>
  <si>
    <t>Os valores destinados ao pagamento de férias, décimo terceiro salário, ausências legais e verbas rescisórias dos empregados da contratada que participarem da execução dos serviços contratados serão efetuados pela contratante à contratada somente na ocorrência do fato gerador</t>
  </si>
  <si>
    <t>Pagamento Mensal Sem Fato Gerador</t>
  </si>
  <si>
    <t>Categoria Profissional (nome do cargo)</t>
  </si>
  <si>
    <t>1.A x 30%</t>
  </si>
  <si>
    <t>Tot.1</t>
  </si>
  <si>
    <t>Tot.1 x 8,33%</t>
  </si>
  <si>
    <t>Tot.2.1</t>
  </si>
  <si>
    <t>Tot.1 x 11,11%</t>
  </si>
  <si>
    <t>(Tot.1 + Tot.2.1) x 20%</t>
  </si>
  <si>
    <t>(Tot.1 + Tot.2.1) x 2,5%</t>
  </si>
  <si>
    <t>(Tot.1 + Tot.2.1) x 1,5%</t>
  </si>
  <si>
    <t>(Tot.1 + Tot.2.1) x 1%</t>
  </si>
  <si>
    <t>(Tot.1 + Tot.2.1) x 0,6%</t>
  </si>
  <si>
    <t>(Tot.1 + Tot.2.1) x 0,2%</t>
  </si>
  <si>
    <t>(Tot.1 + Tot.2.1) x 8%</t>
  </si>
  <si>
    <t>(Tot.1 + Tot.2.1) x (RAT x FAP)</t>
  </si>
  <si>
    <t>Tot.2.2</t>
  </si>
  <si>
    <t>Tot.2.3</t>
  </si>
  <si>
    <t>Tot.2</t>
  </si>
  <si>
    <t>(VT diário x 22 d.u.) - (1.A x 6%)</t>
  </si>
  <si>
    <t>(VR/VA x 22 d.u.) - (Custo do empregado)</t>
  </si>
  <si>
    <t>(Tot.1 + Tot.2 + Tot.3) ÷ 30 dias</t>
  </si>
  <si>
    <t>Tot.3</t>
  </si>
  <si>
    <t>Tot.4.1</t>
  </si>
  <si>
    <t>Tot.4.2</t>
  </si>
  <si>
    <t>Tot.4</t>
  </si>
  <si>
    <t>Tot.5</t>
  </si>
  <si>
    <t>Tot.6</t>
  </si>
  <si>
    <t>(4.1.C x 30 dias) ÷ 12 meses</t>
  </si>
  <si>
    <t>6.A + 6.B + 6.C.1 + 6.C.2 + 6.C.3</t>
  </si>
  <si>
    <t>Tot.7</t>
  </si>
  <si>
    <t>Tot.8</t>
  </si>
  <si>
    <t>Provisão para férias, 13º salário , ausências legais, Rescisão</t>
  </si>
  <si>
    <t>Tot.2.1 + Tot.3 + Tot.4.1</t>
  </si>
  <si>
    <t>Outros (ausências legais, paternidade,  acidente de trabalho, maternidade, outros)</t>
  </si>
  <si>
    <r>
      <t xml:space="preserve">(3.B + 3.C) x </t>
    </r>
    <r>
      <rPr>
        <sz val="8"/>
        <color rgb="FFFF0000"/>
        <rFont val="Tahoma"/>
        <family val="2"/>
      </rPr>
      <t>XX</t>
    </r>
    <r>
      <rPr>
        <sz val="8"/>
        <rFont val="Tahoma"/>
        <family val="2"/>
      </rPr>
      <t>%</t>
    </r>
  </si>
  <si>
    <r>
      <t xml:space="preserve">3.E x </t>
    </r>
    <r>
      <rPr>
        <sz val="8"/>
        <color rgb="FFFF0000"/>
        <rFont val="Tahoma"/>
        <family val="2"/>
      </rPr>
      <t>XX</t>
    </r>
    <r>
      <rPr>
        <sz val="8"/>
        <rFont val="Tahoma"/>
        <family val="2"/>
      </rPr>
      <t>%</t>
    </r>
  </si>
  <si>
    <r>
      <t xml:space="preserve">(4.1.C x </t>
    </r>
    <r>
      <rPr>
        <sz val="8"/>
        <color rgb="FFFF0000"/>
        <rFont val="Tahoma"/>
        <family val="2"/>
      </rPr>
      <t>XX</t>
    </r>
    <r>
      <rPr>
        <sz val="8"/>
        <rFont val="Tahoma"/>
        <family val="2"/>
      </rPr>
      <t xml:space="preserve"> dias) ÷ 12 meses</t>
    </r>
  </si>
  <si>
    <r>
      <t xml:space="preserve">7.F x </t>
    </r>
    <r>
      <rPr>
        <sz val="8"/>
        <color rgb="FFFF0000"/>
        <rFont val="Tahoma"/>
        <family val="2"/>
      </rPr>
      <t>XX</t>
    </r>
    <r>
      <rPr>
        <sz val="8"/>
        <rFont val="Tahoma"/>
        <family val="2"/>
      </rPr>
      <t>%</t>
    </r>
  </si>
  <si>
    <r>
      <t xml:space="preserve">(7.F + 6.A) x </t>
    </r>
    <r>
      <rPr>
        <sz val="8"/>
        <color rgb="FFFF0000"/>
        <rFont val="Tahoma"/>
        <family val="2"/>
      </rPr>
      <t>XX</t>
    </r>
    <r>
      <rPr>
        <sz val="8"/>
        <rFont val="Tahoma"/>
        <family val="2"/>
      </rPr>
      <t>%</t>
    </r>
  </si>
  <si>
    <r>
      <t xml:space="preserve">(7.F + 6.A + 6.B) ÷ </t>
    </r>
    <r>
      <rPr>
        <sz val="8"/>
        <color rgb="FFFF0000"/>
        <rFont val="Tahoma"/>
        <family val="2"/>
      </rPr>
      <t>XX</t>
    </r>
  </si>
  <si>
    <r>
      <t xml:space="preserve">6.C x </t>
    </r>
    <r>
      <rPr>
        <sz val="8"/>
        <color rgb="FFFF0000"/>
        <rFont val="Tahoma"/>
        <family val="2"/>
      </rPr>
      <t>XX</t>
    </r>
    <r>
      <rPr>
        <sz val="8"/>
        <rFont val="Tahoma"/>
        <family val="2"/>
      </rPr>
      <t>%</t>
    </r>
  </si>
  <si>
    <r>
      <t xml:space="preserve">(8.B + 8.C) x </t>
    </r>
    <r>
      <rPr>
        <sz val="8"/>
        <color rgb="FFFF0000"/>
        <rFont val="Tahoma"/>
        <family val="2"/>
      </rPr>
      <t>XX</t>
    </r>
    <r>
      <rPr>
        <sz val="8"/>
        <color theme="1"/>
        <rFont val="Tahoma"/>
        <family val="2"/>
      </rPr>
      <t>%</t>
    </r>
  </si>
  <si>
    <r>
      <t xml:space="preserve">(8.B + 8.C + 8.D) x </t>
    </r>
    <r>
      <rPr>
        <sz val="8"/>
        <color rgb="FFFF0000"/>
        <rFont val="Tahoma"/>
        <family val="2"/>
      </rPr>
      <t>XX</t>
    </r>
    <r>
      <rPr>
        <sz val="8"/>
        <color theme="1"/>
        <rFont val="Tahoma"/>
        <family val="2"/>
      </rPr>
      <t>%</t>
    </r>
  </si>
  <si>
    <t>7.F + 7.G</t>
  </si>
  <si>
    <t>7.A + 7.B + 7.C + 7.D + 7.E</t>
  </si>
  <si>
    <r>
      <t xml:space="preserve">1.A x </t>
    </r>
    <r>
      <rPr>
        <sz val="8"/>
        <color rgb="FFFF0000"/>
        <rFont val="Tahoma"/>
        <family val="2"/>
      </rPr>
      <t>XX</t>
    </r>
    <r>
      <rPr>
        <sz val="8"/>
        <rFont val="Tahoma"/>
        <family val="2"/>
      </rPr>
      <t xml:space="preserve">% </t>
    </r>
    <r>
      <rPr>
        <sz val="8"/>
        <color rgb="FFFF0000"/>
        <rFont val="Tahoma"/>
        <family val="2"/>
      </rPr>
      <t>(10%, 20% ou 40%)</t>
    </r>
  </si>
  <si>
    <t>2.2.H x 40%</t>
  </si>
  <si>
    <t>Encargos Previdenciários, FGTS e outras contribuições</t>
  </si>
  <si>
    <t>8.A - 8.G</t>
  </si>
  <si>
    <r>
      <t xml:space="preserve">(8.B + 8.C + 8.D + 8.E) x </t>
    </r>
    <r>
      <rPr>
        <sz val="8"/>
        <color rgb="FFFF0000"/>
        <rFont val="Tahoma"/>
        <family val="2"/>
      </rPr>
      <t>XX</t>
    </r>
    <r>
      <rPr>
        <sz val="8"/>
        <color theme="1"/>
        <rFont val="Tahoma"/>
        <family val="2"/>
      </rPr>
      <t>%</t>
    </r>
  </si>
  <si>
    <t>8.B + 8.C + 8.D + 8.E + 8.F</t>
  </si>
  <si>
    <t>Aviso Prévio - Lei nº 12.506/2011, Art. 1º</t>
  </si>
  <si>
    <t>[(1.A + 1.B) x 20%]/220h x 8h x nº dias trabalhados mês</t>
  </si>
  <si>
    <r>
      <t xml:space="preserve">{[(1.A + 1.B + 1.C) ÷ 220h] x </t>
    </r>
    <r>
      <rPr>
        <sz val="8"/>
        <color rgb="FFFF0000"/>
        <rFont val="Tahoma"/>
        <family val="2"/>
      </rPr>
      <t>XX</t>
    </r>
    <r>
      <rPr>
        <sz val="8"/>
        <rFont val="Tahoma"/>
        <family val="2"/>
      </rPr>
      <t xml:space="preserve"> h} x </t>
    </r>
    <r>
      <rPr>
        <sz val="8"/>
        <color rgb="FFFF0000"/>
        <rFont val="Tahoma"/>
        <family val="2"/>
      </rPr>
      <t>XX</t>
    </r>
    <r>
      <rPr>
        <sz val="8"/>
        <rFont val="Tahoma"/>
        <family val="2"/>
      </rPr>
      <t xml:space="preserve">% </t>
    </r>
    <r>
      <rPr>
        <sz val="8"/>
        <color rgb="FFFF0000"/>
        <rFont val="Tahoma"/>
        <family val="2"/>
      </rPr>
      <t>(50% ou 100%)</t>
    </r>
  </si>
  <si>
    <t>(Tot.1 + Tot.2.1 + 2.2.H + Tot.2.3 - 2.3.A) ÷ 12 meses</t>
  </si>
  <si>
    <t>Tot. 2.1 x Encargos % 2.2</t>
  </si>
  <si>
    <r>
      <t xml:space="preserve">(Tot.1 + Tot.2 + Tot.3) ÷ 220h x (1+50%) x </t>
    </r>
    <r>
      <rPr>
        <sz val="8"/>
        <color rgb="FFFF0000"/>
        <rFont val="Tahoma"/>
        <family val="2"/>
      </rPr>
      <t>XX</t>
    </r>
    <r>
      <rPr>
        <sz val="8"/>
        <rFont val="Tahoma"/>
        <family val="2"/>
      </rPr>
      <t xml:space="preserve"> dias</t>
    </r>
  </si>
  <si>
    <t>excluir, se for o caso</t>
  </si>
  <si>
    <r>
      <t>[Local]</t>
    </r>
    <r>
      <rPr>
        <sz val="9"/>
        <rFont val="Tahoma"/>
        <family val="2"/>
      </rPr>
      <t xml:space="preserve">, </t>
    </r>
    <r>
      <rPr>
        <sz val="9"/>
        <color rgb="FFFF0000"/>
        <rFont val="Tahoma"/>
        <family val="2"/>
      </rPr>
      <t>XX</t>
    </r>
    <r>
      <rPr>
        <sz val="9"/>
        <rFont val="Tahoma"/>
        <family val="2"/>
      </rPr>
      <t xml:space="preserve"> de </t>
    </r>
    <r>
      <rPr>
        <sz val="9"/>
        <color rgb="FFFF0000"/>
        <rFont val="Tahoma"/>
        <family val="2"/>
      </rPr>
      <t>XXXXXX</t>
    </r>
    <r>
      <rPr>
        <sz val="9"/>
        <rFont val="Tahoma"/>
        <family val="2"/>
      </rPr>
      <t xml:space="preserve"> de </t>
    </r>
    <r>
      <rPr>
        <sz val="9"/>
        <color rgb="FFFF0000"/>
        <rFont val="Tahoma"/>
        <family val="2"/>
      </rPr>
      <t>XXXX</t>
    </r>
    <r>
      <rPr>
        <sz val="9"/>
        <rFont val="Tahoma"/>
        <family val="2"/>
      </rPr>
      <t>.</t>
    </r>
  </si>
  <si>
    <t>________________________________________</t>
  </si>
  <si>
    <t>[Assinatura do Representante legal]</t>
  </si>
  <si>
    <t xml:space="preserve"> Nome: ___________________</t>
  </si>
  <si>
    <t xml:space="preserve"> Cargo: ___________________</t>
  </si>
  <si>
    <t>CPF: ____________________</t>
  </si>
  <si>
    <t>RG: _____________________</t>
  </si>
  <si>
    <t>Preencher apenas as células em amarelo e substituir os caracteres em vermelho</t>
  </si>
  <si>
    <t>CUSTO POR EMPREGADO</t>
  </si>
  <si>
    <t>Módulo 7 - QUADRO-RESUMO DO CUSTO POR EMPREGADO</t>
  </si>
  <si>
    <t>PAGAMENTO MÍNIMO MENSAL SEM FATO GERADOR E/OU OUTRAS OCORRÊNCIAS</t>
  </si>
  <si>
    <t>Módulo 8- QUADRO-RESUMO DO PAGAMENTO MENSAL SEM FATO GERADOR E/OU OUTRAS OCORRÊNCIAS</t>
  </si>
  <si>
    <t>Prazo de depreciação do equipamento (meses)</t>
  </si>
  <si>
    <t>Contrato inicial</t>
  </si>
  <si>
    <t>{[(Tot.1+Tot.2.1+Tot.2.2)÷30 dias] x 3 dias} ÷ 12 meses</t>
  </si>
  <si>
    <t>Sal. Mínimo</t>
  </si>
  <si>
    <t>O proponente declara:
a) que as informações prestadas são verídicas, assumindo a responsabilidade integral por eventuais erros no enquadramento sindical ou fraude pela utilização de instrumento coletivo incompatível com o enquadramento sindical declarado, e por qualquer ônus decorrente de reenquadramentos que ocorram durante a vigência contratual, sujeitando-se às sanções previstas na Lei 13.303/16.
b) que a proposta econômica compreende a integralidade dos custos para atendimento dos direitos trabalhistas assegurados na Constituição Federal, nas leis trabalhistas, nas normas infralegais, nas convenções coletivas de trabalho e nos termos de ajustamento de conduta vigentes na data de entrega das propostas e que foi elaborada de forma independente.</t>
  </si>
  <si>
    <t xml:space="preserve">Seguem em anexo:
a) cópia da carta ou do registro sindical do sindicato ao qual este Licitante declara ser enquadrado.
b) cópia do Acordo, Convenção Coletiva de Trabalho ou Dissídio Coletivo utilizado por este Licitante para a elaboração da planilha de custos e formação de preços que embasam o valor global ofertado. </t>
  </si>
  <si>
    <t>Segue a indicação do enquadramento sindical do licitante, relacionando qual a atividade econômica preponderante e a justificativa para adoção do instrumento coletivo do trabalho em que se baseia a proposta: XXXX</t>
  </si>
  <si>
    <t>VALIDADE DA PROPOSTA: XX (XXXX) dias, a contar do dia da sessão de recebimento da mesma (observar o subitem 5.5 do Edital).</t>
  </si>
  <si>
    <t>Auxiliar de Serviços Gerais</t>
  </si>
  <si>
    <t>Copeiro(a)</t>
  </si>
  <si>
    <t>VT unitário</t>
  </si>
  <si>
    <t>VR Unitário</t>
  </si>
  <si>
    <t xml:space="preserve">   MATERIAL</t>
  </si>
  <si>
    <t>UN. MED.</t>
  </si>
  <si>
    <t xml:space="preserve">QTD Mensal (estimada) </t>
  </si>
  <si>
    <t>Álcool 70º</t>
  </si>
  <si>
    <t>Álcool 70°; composição pode incluir: álcool etílico hidratado, água, carbômero, neutralizante, benzoato de denatônio; cor transparente; capacidade: 1 litro.</t>
  </si>
  <si>
    <t>Litro</t>
  </si>
  <si>
    <t>Aromatizante de ambientes</t>
  </si>
  <si>
    <t>Aromatizante de ambientes desenvolvido para combater maus odores; tipo: spray aerossol; capacidade: 400ml.</t>
  </si>
  <si>
    <t>Frasco</t>
  </si>
  <si>
    <t>Desinfetante</t>
  </si>
  <si>
    <t>Desinfetante concentrado indicado para limpezas pesadas e ambientes com fluxo intenso; princípio ativo: quaternário de amônio; capacidade: 5l; rendimento aproximado: 150l.</t>
  </si>
  <si>
    <t>bombona 5L</t>
  </si>
  <si>
    <t>Detergente</t>
  </si>
  <si>
    <t>Detergente biodegradável concentrado; ideal desde limpezas leves até as mais pesadas; rendimento: 1000l (alto); capacidade: 5l.</t>
  </si>
  <si>
    <t>Esponja dupla face</t>
  </si>
  <si>
    <t>Esponja dupla face multiuso ideal para lavar louças, pias, fogões, entre outros; medidas (mm): 110 (C)x 75 (L) x 22 (A).</t>
  </si>
  <si>
    <t>unidade</t>
  </si>
  <si>
    <t>Flanela</t>
  </si>
  <si>
    <t>Flanela para limpeza; cor: branca; composição: algodão: tamanho aproximado: 30 (L) x 60cm (A).</t>
  </si>
  <si>
    <t>Hipoclorito de sódio</t>
  </si>
  <si>
    <t>Hipoclorito de sódio concentrado de uso geral, ideal para limpeza de pisos; concentração: 5%; capacidade: 5l.</t>
  </si>
  <si>
    <t>Luva de látex - Tamanho GG</t>
  </si>
  <si>
    <t>Luva de látex ideal para manuseio de produtos de limpeza e outros químicos; composição: látex, revestida com flocos de algodão, punho com virola; tipo: reutilizável; Tamanho GG</t>
  </si>
  <si>
    <t>Luva de látex - Tamanho G</t>
  </si>
  <si>
    <t>Luva de látex ideal para manuseio de produtos de limpeza e outros químicos; composição: látex, revestida com flocos de algodão, punho com virola; tipo: reutilizável; Tamanho G</t>
  </si>
  <si>
    <t>Luva de látex - Tamanho M</t>
  </si>
  <si>
    <t>Luva de látex ideal para manuseio de produtos de limpeza e outros químicos; composição: látex, revestida com flocos de algodão, punho com virola; tipo: reutilizável; Tamanho M</t>
  </si>
  <si>
    <t>Limpador líquido Multiuso 500ml</t>
  </si>
  <si>
    <t>Multiuso ideal para limpar superfícies do tipo azulejos, esmaltados, fórmicos, paredes, vidros, inox, entre outros; capacidade: 500ml; composição: lauramina óxida, lauril éter sulfato de sódio, alcalinizante, coadjuvantes, conservante, fragrância e água; dimensões: 8 × 8 × 27 cm; peso: 0,550kg.</t>
  </si>
  <si>
    <t>Pano de limpeza</t>
  </si>
  <si>
    <t>Pano de limpeza da cor branca ideal para remoção de pó e limpeza de pisos laminados, porcelanatos e madeira; composição: 100% algodão, textura aveludada; medidas: 43x68cm.</t>
  </si>
  <si>
    <t>Saco de lixo 100L</t>
  </si>
  <si>
    <t>Saco de lixo, alta resistência, matéria-prima: 100% reciclada; capacidade: 100L; cor: preto – lixo orgânico. Fardo com 100 unidades.</t>
  </si>
  <si>
    <t>Fardo</t>
  </si>
  <si>
    <t>Saco de lixo 60L</t>
  </si>
  <si>
    <t xml:space="preserve">Saco de lixo ideal para coleta seletiva que visa à separação dos tipos de resíduos orgânicos; matéria-prima: 100% reciclada; capacidade: 60L; cor: preto. Fardo com 100 unidades. </t>
  </si>
  <si>
    <t xml:space="preserve">Saco de lixo ideal para coleta seletiva que visa à separação dos tipos de resíduos recicláveis; matéria-prima: 100% reciclada; capacidade: 60L; cor: azul. Fardo com 100 unidades. </t>
  </si>
  <si>
    <t>Escova oval</t>
  </si>
  <si>
    <t>Escova oval para lavagem; composição: base em PP injetado ou madeira, cerda em PP resistente.</t>
  </si>
  <si>
    <t>Esponja de aço</t>
  </si>
  <si>
    <t>Esponja de aço ideal para limpeza de superfície; tipo: bombril; composição: lã de aço e minério de ferro; peso: 60g. Pacote com 08 unidades.</t>
  </si>
  <si>
    <t>Pacotes</t>
  </si>
  <si>
    <t>Vaselina líquida</t>
  </si>
  <si>
    <t>Vaselina líquida ideal para lubrificação e proteção de peças e partes contra ferrugem; capacidade: 1l</t>
  </si>
  <si>
    <t>Lata</t>
  </si>
  <si>
    <t>Fibra LT</t>
  </si>
  <si>
    <t>Fibra indicada para limpeza de sujidades; cor: verde/azul; peso: 0,26kg; composição: nylon, resina e abrasivos.</t>
  </si>
  <si>
    <t>Unidades</t>
  </si>
  <si>
    <t>Pano multiuso</t>
  </si>
  <si>
    <t>Pano multiuso desenvolvido para uma limpeza segura eficaz e remoção de sujidades em diferentes superfícies; dimensões aproximadas: 30x50cm; peso: 35g; composição: 50% viscose e 50% poliéster. (rolo com 30 unidades)</t>
  </si>
  <si>
    <t>Rolo</t>
  </si>
  <si>
    <t>Pasta de limpeza multiuso</t>
  </si>
  <si>
    <t>Pasta de limpeza multiuso indicada para limpeza de geladeiras, fogões, vidros, azulejos, entre outros; embalagem: 500g; composição: ácido graxo de origem animal, hidróxido de sódio, carbonato de sódio, essência eucalipto e água.</t>
  </si>
  <si>
    <t>Potes</t>
  </si>
  <si>
    <t>Papel higiênico</t>
  </si>
  <si>
    <t>Papel higiênico interfolhado - caixas com 8000 folhas cada caixa, sem perfume, folha dupla, branco de alta alvura e 100% celulose, tamanho 9,6 cm x 20,5 cm. O produto deverá ter a certificação FSC.</t>
  </si>
  <si>
    <t>Caixa</t>
  </si>
  <si>
    <t>Papel toalha</t>
  </si>
  <si>
    <t>Papel toalha interfolhado, folha dupla, 2 dobras, cor branca, tamanho de 22,5 cm x 21 cm caixas com 5.000 folhas cada caixa, composição do produto 100% celulose virgem, gramatura mínima de 35g/m² e máxima de 38g/m². Alvura (ABNT NBR NM ISO 2470:2001) superior a 80%.   Índice de maciez (ABNT NBR 15.134:2007) &lt; (menor) ou = (igual) que 5,5 nm/g. Quantidade de pintas (ABNT NBR 8259:2002) &lt; (menor) ou = (igual) que 20 mm²/m². Tempo de absorção de água (ABNT NBR ISO 12625-8:2012). Compatível com dispensador ofertado.</t>
  </si>
  <si>
    <t>Unidade</t>
  </si>
  <si>
    <t>Sabonete líquido Espuma</t>
  </si>
  <si>
    <t>Sabonete líquido espuma em refil - fragrância: erva doce; Unidade de 800 ml cada refil. Marca referência: Trilha, audax; produto biodegradável.</t>
  </si>
  <si>
    <t>Dispensador para papel toalha</t>
  </si>
  <si>
    <t>Dispensador de papel toalha, dimensões aproximadas: 24,3 x 14,7 x 12,0 cm; feito em plástico predominantemente; peso aproximado: 0,9kg..</t>
  </si>
  <si>
    <t>Dispensador de papel higiênico</t>
  </si>
  <si>
    <t>Dispenser para papel higiênico interfolhado; cor: branco;  dimensões: 13,3x12x13 cm; peso líquido: 0,6kg; capacidade para 2 pacotes.</t>
  </si>
  <si>
    <t>Dispensador de papel protetor de assento sanitário</t>
  </si>
  <si>
    <t>Dispenser de papel protetor de assento sanitário, para no mínimo 90 folhas.</t>
  </si>
  <si>
    <t>Dispensador para saco de descarte de absorvente higiênico</t>
  </si>
  <si>
    <t>Dispensador para saco de descarte de absorvente higiênico; cor: branca; medidas aproximadas (AxLxC): 14x10x3,6cm; fabricado em resina termoplástica de alta resistência.</t>
  </si>
  <si>
    <t>Café em pó</t>
  </si>
  <si>
    <t>Café em pó, torrado e moído, em pacotes de 0,5Kg. A qualidade do produto deve possuir certificado no PQC – Programa de Qualidade do Café, da ABIC, em plena validade, ou Laudo de avaliação do café, emitido por laboratório especializado, com nota de Qualidade Global mínima de 6,0 pontos na Escala Sensorial do Café e laudo de análise de microscopia do café, com tolerância de no máximo 1% de impureza. Aspecto: em pó homogêneo, torrado e moído; Tipo de Café: Gosto predominante de café arábica admitindo-se café arábicos ou conilon. Bebida: Dura ou mole, não se admitindo Rio e Rio Zona. Ref. Pilão ou similar;</t>
  </si>
  <si>
    <t>pcte</t>
  </si>
  <si>
    <t>Açúcar refinado</t>
  </si>
  <si>
    <t>Açúcar refinado branco, de primeira qualidade, obtido a partir da cana de açúcar, com aspecto, cor e odor característicos e sabor doce, isento de sujidades, parasitas e larvas, embalagem primária plástica atóxica, devidamente lacrada, peso: 1kg. Referência: União ou similar;</t>
  </si>
  <si>
    <t>kg</t>
  </si>
  <si>
    <t>Adoçante dietético</t>
  </si>
  <si>
    <t>Adoçante dietético Líquido sacarina sódico com 0,02 kcal frasco com 100ml</t>
  </si>
  <si>
    <t>frasco</t>
  </si>
  <si>
    <t>Copo de papel biodegradável - 200 ml</t>
  </si>
  <si>
    <t>Copo de papel descartável, biodegradável, impermeável, com capacidade aproximada de 200ml, caixa com 1.000 unidades, próprio para consumo de líquidos quentes e gelados</t>
  </si>
  <si>
    <t>cx</t>
  </si>
  <si>
    <t>Mexedor de Bambu ou madeira para bebidas</t>
  </si>
  <si>
    <t xml:space="preserve">Mexedor de Bambu ou madeira para bebidas, com medida de 10 cm (PACOTE COM 50 UNIDADES) </t>
  </si>
  <si>
    <t>Pá de lixo</t>
  </si>
  <si>
    <t>Pá de lixo com cabo longo; material: plástico; medidas aproximadas: 90cm de comprimento x 20cm de largura.</t>
  </si>
  <si>
    <t>Desentupidor de vaso</t>
  </si>
  <si>
    <t>Desentupidor de vaso sanitário com borracha e cabo longo; material: borracha e plástico; medidas aproximadas: 60cm x 15cm.</t>
  </si>
  <si>
    <t>Desentupidor de pia</t>
  </si>
  <si>
    <t>Desentupidor de pia; material: borracha resistente; medidas aproximadas: 100 (L) x 160mm (C).</t>
  </si>
  <si>
    <t>Colher de pau</t>
  </si>
  <si>
    <t>Colher de pau feito em madeira de material leve; peso aproximado: 40g; medidas aproximadas: 37x5x2cm (CxLxA). (PACOTE COM 50 UNIDADES)</t>
  </si>
  <si>
    <t>Vassoura de tina</t>
  </si>
  <si>
    <t>Vassoura para tina, fabricada em madeira (ou plástico e piaçava; medidas aproximadas: 30cm de comprimento.</t>
  </si>
  <si>
    <t>Vassoura de piaçava</t>
  </si>
  <si>
    <t>Vassoura de piaçava com cabo de madeira e base em nylon e aço; medidas aproximadas: 120 (C) x 20cm (L).</t>
  </si>
  <si>
    <t>Rodo</t>
  </si>
  <si>
    <t>Rodo de plástico; composição: plástico e borracha; dimensões aproximadas (CxA): 41 x 10,22cm; peso aproximado: 668g; composição: borracha.</t>
  </si>
  <si>
    <t>Feiticeira</t>
  </si>
  <si>
    <t>Feiticeira vassoura mágica ideal para varrer carpetes, tapetes e remoção de pelos; cabo rosqueado e desmontável; dimensões aproximadas: 107x24x28cm (AxCxL): peso aproximado: 1kg.</t>
  </si>
  <si>
    <t>Refil para mop</t>
  </si>
  <si>
    <t>Refil úmido avulso para mop; confeccionado em algodão com excelente poder de absorção: peso aproximado: 300g; medidas aproximadas (AxCxL): 5 X 35 X 17cm.</t>
  </si>
  <si>
    <t>Rodo de pia</t>
  </si>
  <si>
    <t>Rodo de pia; material: plástico e borracha; medidas aproximadas: 22x20cm.</t>
  </si>
  <si>
    <t>Coador de café</t>
  </si>
  <si>
    <t>Coador de papel nº 103; com microfibras que facilitam a passagem do café; medidas aproximadas: 2x15,4x20,4 cm.</t>
  </si>
  <si>
    <t>Álcool em gel para mãos</t>
  </si>
  <si>
    <t>Álcool em gel 70° com capacidade de 5l ideal para eliminar germes e bactérias, próprio para mãos, com validade mínima de 6 meses da data de entrega do material.</t>
  </si>
  <si>
    <t>Papel protetor de assento sanitário</t>
  </si>
  <si>
    <t>Papel protetor de assento sanitário, descartável, com caixa de 40 folhas; cor: branco; medidas: 42cm x 37cm; fabricado em 100% celulose virgem; peso aproximado: 0,500kg.</t>
  </si>
  <si>
    <t>Sacos de descarte de absorvente</t>
  </si>
  <si>
    <t xml:space="preserve">Saco para descarte de absorvente, caixa com 25 unidades; material: polietileno; medidas aproximadas: 125mm (A) x 85mm (L) x 20mm (E). </t>
  </si>
  <si>
    <t>Balde</t>
  </si>
  <si>
    <t>Balde plástico com capacidade de 10l; resistência aproximada de 13kg; multiuso reforçado e com alça inox.</t>
  </si>
  <si>
    <t>Suporte para fibra</t>
  </si>
  <si>
    <t>Suporte para fibra multiuso com cabo em plástico ou em aço; medidas aproximadas: 17cm (A) x 10cm (C) x 23cm (L); peso aproximado: 97g.</t>
  </si>
  <si>
    <t>Guardanapo</t>
  </si>
  <si>
    <t>Guardanapo de folha simples com 50 unidades; medidas: 24x22cm; composição&gt; 100% celulose; cor: branco.</t>
  </si>
  <si>
    <t>Pacote</t>
  </si>
  <si>
    <t>Sabão de coco em barra</t>
  </si>
  <si>
    <t>Sabão de coco em barra com 5 unidades de 180g (900g no total); tipo: glicerinado; cor: branco.</t>
  </si>
  <si>
    <t>MATERIAL</t>
  </si>
  <si>
    <t>QTD</t>
  </si>
  <si>
    <t>COPO DE ÁGUA</t>
  </si>
  <si>
    <t>Peça</t>
  </si>
  <si>
    <t>Copo de vidro long drink de 350ml, incolor, liso, material em vidro cristalino, formato cilíndrico, com design tradicional. Material de boa qualidade e resistência.  Referência Nadir Figueiredo ou similar, com mesmo padrão de qualidade.</t>
  </si>
  <si>
    <t>XICARA CAFÉ</t>
  </si>
  <si>
    <t>Xícara de café com pires, da cor branca, reta, no formato cilíndrico e material de porcelana com capacidade mínima de 70ml.  Referência Schmidt ou similar, com mesmo padrão de qualidade.</t>
  </si>
  <si>
    <t>XICARA DE CHÁ</t>
  </si>
  <si>
    <t>Xícara de chá com pires, da cor branca, reta, no formato cilíndrico e material de porcelana com capacidade mínima de 200ml. Referência Schmidt ou similar, com mesmo padrão de qualidade.</t>
  </si>
  <si>
    <t>TAÇA DE SOBREMESA DE VIDRO</t>
  </si>
  <si>
    <t>Taça de vidro para sobremesa, incolor, lisa, formato cilíndrico, com capacidade mínima de 220ml. Material de boa qualidade e resistência. Referência Nadir Figueiredo ou similar, com mesmo padrão de qualidade.</t>
  </si>
  <si>
    <t>JARRA DE VIDRO LISO C/ALÇA</t>
  </si>
  <si>
    <t xml:space="preserve">Jarra de vidro, incolor, lisa, com alça, design tradicional, com capacidade mínima de 2l. Material de boa qualidade e resistência. </t>
  </si>
  <si>
    <t>BANDEJA RETANGULAR</t>
  </si>
  <si>
    <t>Bandeja retangular, feita em aço inox de alta qualidade, com medidas de aproximadamente 30 x 50 cm e espessura 0,8 mm. Referência Tramontina ou similar, com mesmo padrão de qualidade.</t>
  </si>
  <si>
    <t>BANDEJA REDONDA ANTIDERRAPANTE</t>
  </si>
  <si>
    <t>Bandeja redonda, feita em aço inox de alta qualidade, com revestimento interno antiderrapante e diâmetro mínimo de 40cm e espessura 0,8 mm. Referência Tramontina ou similar, com mesmo padrão de qualidade.</t>
  </si>
  <si>
    <t>PORTA COPOS INOX</t>
  </si>
  <si>
    <t>Porta copos, para mesa, feito em aço inox de alta qualidade, com diâmetro mínimo de 8cm, e expessura mínima de 0,5 mm.  Referência Tramontina ou similar, com mesmo padrão de qualidade.</t>
  </si>
  <si>
    <t>CESTA DE VIME REDONDA</t>
  </si>
  <si>
    <t>Cesta Redonda de vime, feita com fibras sintéticas e com diâmetro de 30cm aproximadamente.</t>
  </si>
  <si>
    <t>CESTA DE VIME OVAL</t>
  </si>
  <si>
    <t>Cesta de vime Oval, feita com fibras sintéticas e com medidas aproximadas de 25cm (L) x 7cm (A) x 15cm (C).</t>
  </si>
  <si>
    <t>DISPENSER PARA DETERGENTE</t>
  </si>
  <si>
    <t>Dispenser porta detergente dosador e esponja bucha, em plástico sólido, na cor preta, com capacidade mínima de 650ml, nas medidas aproximadas de 10 x 8 x 18 cm.</t>
  </si>
  <si>
    <t>PORTA GUADANAPO</t>
  </si>
  <si>
    <t>Porta guardanapo feito todo em aço inox de alta qualidade, com medidas aproximadas de 6 x 15 x 3 cm. Referência Tramontina ou similar, com mesmo padrão de qualidade.</t>
  </si>
  <si>
    <t>COLHER DE SOBREMESA</t>
  </si>
  <si>
    <t>Colher de sobremesa, feita toda em aço inox de alta qualidade, com medidas aproximadas de 16 x 3 x 2 cm.  Referência Tramontina ou similar, com mesmo padrão de qualidade.</t>
  </si>
  <si>
    <t>COLHER DE CAFÉ</t>
  </si>
  <si>
    <t>Colher de café, feita toda em aço inox de alta qualidade, com medidas aproximadas de 9 x 2 x 1cm.  Referência Tramontina ou similar, com mesmo padrão de qualidade.</t>
  </si>
  <si>
    <t>COLHER DE CHÁ</t>
  </si>
  <si>
    <t>Colher de chá, feita toda em aço inox de alta qualidade, com medidas aproximadas de 13 x 3 x 2 cm.  Referência Tramontina ou similar, com mesmo padrão de qualidade.</t>
  </si>
  <si>
    <t>GARFO DE SOBREMASA</t>
  </si>
  <si>
    <t>Garfo de sobremesa, feito todo em aço inox de alta qualidade, com medidas aproximadas de 15 x 5 X 2 cm.  Referência Tramontina ou similar, com mesmo padrão de qualidade.</t>
  </si>
  <si>
    <t>PRATOS PARA SOBREMESA</t>
  </si>
  <si>
    <t>Pratos para sobremesa, todo branco, feito em porcelana, com medidas aproximadas de 20 cm de diâmetro, 2,3 cm de altura e aba de 1,3 cm. Referência Schmidt ou similar, com mesmo padrão de qualidade.</t>
  </si>
  <si>
    <t>PEGADORES DE INOX</t>
  </si>
  <si>
    <t>Pegar universal, feito em inox de alta qualidade, com comprimento de aproximadamente 20 cm. Referência Tramontina ou similar, com mesmo padrão de qualidade.</t>
  </si>
  <si>
    <t>ESPATULA DE BOLO</t>
  </si>
  <si>
    <t>Espátula de bolo na cor prata, feito em aço inox de alta qualidade, com medidas aproximadas de 25 cm de comprimento.  Referência Tramontina ou similar, com mesmo padrão de qualidade.</t>
  </si>
  <si>
    <t>BULE DE CAFEZINHO</t>
  </si>
  <si>
    <t>Bule de café inox de alta qualidade, com capacidade aproximada de 700ml. Bico fino, longo e com filtro, e com cantos arredondados; Tampa com alavanca articulada, e com mecanismo anatômico, permitindo encaixe da mão. Referência Tramontina ou similar, com mesmo padrão de qualidade.</t>
  </si>
  <si>
    <t>PRATO RASO</t>
  </si>
  <si>
    <t>Prato raso, todo branco, feito em porcelana, com medida aproximada de 25cm. Referência Schmidt ou similar, com mesmo padrão de qualidade.</t>
  </si>
  <si>
    <t>AÇUCAREIRO</t>
  </si>
  <si>
    <t>Açucareiro, com tampa removível, e colher, feitos em aço inox de alta qualidade, com capacidade mínima de 300 ml. Referência Tramotina ou similar, com mesmo padrão de qualidade.</t>
  </si>
  <si>
    <t>GARRAFA TÉRMICA</t>
  </si>
  <si>
    <t>Garrafa Térmica com capacidade mínima de 1,8 litros. Material: Inox; isolamento térmico: ampola de vidro; sistema de servir: pressão; conservação térmica mínima: de 6h a 9h; revestimento externo em aço inox. Ideal para preservar líquidos frios e quentes e permite transporte com praticidade. Dimensões aproximadas: 15,2 cm de comprimento x 13,5 cm de largura x 36,7 cm altura</t>
  </si>
  <si>
    <t>JOGO AMERICANO (FORRO DE MESA)</t>
  </si>
  <si>
    <t>Jogo americano (Forro de Mesa) liso, de fácil limpeza na parte superior, antiderrapante na parte inferior, formato retangular, impermeável, medindo aproximadamente 30 x 40 cm, cor neutra.</t>
  </si>
  <si>
    <t>Aspirador industrial de pó e líquido, com potência mínima de 2400w; capacidade mínima de 70 litros; mangueira com cumprimento mínimo de 2,00m; produtividade mínima na aspiração: 300m^3; Voltagem: 110v; tanque: inox; filtro: poliéster lavável - Referência: Hiper Clean.</t>
  </si>
  <si>
    <t>rodo limpa vidro, lava e seca; composição: aço e polipropileno; medidas aproximadas: 118cm (C) x 25cm (L) x 5cm (A)</t>
  </si>
  <si>
    <t>Borrifador/Pulverizador</t>
  </si>
  <si>
    <t>Borrifador com regulagem; tipo: spray; capacidade: 500ml; cor: transparente; material: plástico.</t>
  </si>
  <si>
    <t>Custo Mensal</t>
  </si>
  <si>
    <t>Custo Mensal unitário</t>
  </si>
  <si>
    <t xml:space="preserve">Custo Mensal </t>
  </si>
  <si>
    <t>Aba Material Copa</t>
  </si>
  <si>
    <t>UNIFORMES ASG</t>
  </si>
  <si>
    <t>Meia</t>
  </si>
  <si>
    <t>Agasalho</t>
  </si>
  <si>
    <t>Protetor Auricular</t>
  </si>
  <si>
    <t>Óculos de proteção</t>
  </si>
  <si>
    <t>UNIFORMES COPA</t>
  </si>
  <si>
    <t>Calça Social</t>
  </si>
  <si>
    <t>Camisa Social</t>
  </si>
  <si>
    <t>Sapato Social</t>
  </si>
  <si>
    <t>Avental/Jaleco</t>
  </si>
  <si>
    <t>EQUIPAMENTOS ASG</t>
  </si>
  <si>
    <t>Nº</t>
  </si>
  <si>
    <t>Material ASG</t>
  </si>
  <si>
    <t>Aba Material ASG</t>
  </si>
  <si>
    <t>Nº de postos</t>
  </si>
  <si>
    <t xml:space="preserve">Quantidade </t>
  </si>
  <si>
    <t>Quant. Por posto</t>
  </si>
  <si>
    <t>Material Copa</t>
  </si>
  <si>
    <t>Total para 30 meses</t>
  </si>
  <si>
    <t>Total mensal</t>
  </si>
  <si>
    <t>DESCRIÇÃO (material ASG)</t>
  </si>
  <si>
    <t>Descrição (Material COPA)</t>
  </si>
  <si>
    <t>Custo  unitário</t>
  </si>
  <si>
    <t>Custo Total</t>
  </si>
  <si>
    <t>Auxiliar de Serviços Gerais (Faxineiro)</t>
  </si>
  <si>
    <t>5134-25</t>
  </si>
  <si>
    <t>5143-20</t>
  </si>
  <si>
    <t>Prêmio Assiduidade</t>
  </si>
  <si>
    <t>Benefício Social Sindical</t>
  </si>
  <si>
    <t>Auxílio-Creche</t>
  </si>
  <si>
    <t>I</t>
  </si>
  <si>
    <t>Outros</t>
  </si>
  <si>
    <t>Dia do trabalhador em asseio e conservação</t>
  </si>
  <si>
    <t>Um Tíquete Refeirção extra dia 16/05. (1*VR/12)</t>
  </si>
  <si>
    <t>Auxílio Alimentação</t>
  </si>
  <si>
    <t>Auxílio Saúde</t>
  </si>
  <si>
    <t>EQUIPAMENTOS ASG E COPEIRA</t>
  </si>
  <si>
    <t>Registro eletrônico de ponto digital ou facial</t>
  </si>
  <si>
    <t>Equipamentos Registro Eletrônico e Ponto</t>
  </si>
  <si>
    <t>Luva Látex</t>
  </si>
  <si>
    <t>Bota cano curto antiderrapante</t>
  </si>
  <si>
    <t>Bota Cano longo Galocha</t>
  </si>
  <si>
    <t>Faxineiro</t>
  </si>
  <si>
    <t>Copeira</t>
  </si>
  <si>
    <t>SIEMACO-SP</t>
  </si>
  <si>
    <t>Tíquete Refeição</t>
  </si>
  <si>
    <t>CCT SP001369/2024, Termo Aditivo SP002003/2025, Termo Aditivo SP005002/2025 e Termo Aditivo SP002867/2025</t>
  </si>
  <si>
    <t>Ref.: Pregão eletrônico nº 14/2025</t>
  </si>
  <si>
    <r>
      <t>OBJETO:</t>
    </r>
    <r>
      <rPr>
        <sz val="9"/>
        <rFont val="Tahoma"/>
        <family val="2"/>
      </rPr>
      <t xml:space="preserve"> Prestação de Serviço continuado de limpeza, conservação e copeiragem, com fornecimento de materiais, equipamentos e itens de copa/cozinha para as dependências da Finep em São Paulo.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</si>
</sst>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R$&quot;\ #,##0.00;[Red]\-&quot;R$&quot;\ #,##0.00"/>
    <numFmt numFmtId="44" formatCode="_-&quot;R$&quot;\ * #,##0.00_-;\-&quot;R$&quot;\ * #,##0.00_-;_-&quot;R$&quot;\ * &quot;-&quot;??_-;_-@_-"/>
    <numFmt numFmtId="43" formatCode="_-* #,##0.00_-;\-* #,##0.00_-;_-* &quot;-&quot;??_-;_-@_-"/>
    <numFmt numFmtId="164" formatCode="_(&quot;R$ &quot;* #,##0.00_);_(&quot;R$ &quot;* \(#,##0.00\);_(&quot;R$ &quot;* &quot;-&quot;??_);_(@_)"/>
    <numFmt numFmtId="165" formatCode="#,##0.00_ ;\-#,##0.00\ "/>
    <numFmt numFmtId="166" formatCode="#,##0_ ;\-#,##0\ "/>
    <numFmt numFmtId="167" formatCode="&quot;R$&quot;\ #,##0.00"/>
    <numFmt numFmtId="168" formatCode="#,##0.0"/>
  </numFmts>
  <fonts count="34" x14ac:knownFonts="1">
    <font>
      <sz val="10"/>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9"/>
      <name val="Tahoma"/>
      <family val="2"/>
    </font>
    <font>
      <sz val="9"/>
      <name val="Tahoma"/>
      <family val="2"/>
    </font>
    <font>
      <b/>
      <sz val="10"/>
      <name val="Tahoma"/>
      <family val="2"/>
    </font>
    <font>
      <b/>
      <sz val="9"/>
      <color rgb="FFFF0000"/>
      <name val="Tahoma"/>
      <family val="2"/>
    </font>
    <font>
      <sz val="9"/>
      <color indexed="10"/>
      <name val="Tahoma"/>
      <family val="2"/>
    </font>
    <font>
      <sz val="9"/>
      <color rgb="FFFF0000"/>
      <name val="Tahoma"/>
      <family val="2"/>
    </font>
    <font>
      <b/>
      <sz val="11"/>
      <color theme="1"/>
      <name val="Tahoma"/>
      <family val="2"/>
    </font>
    <font>
      <sz val="8"/>
      <color theme="1"/>
      <name val="Tahoma"/>
      <family val="2"/>
    </font>
    <font>
      <sz val="9"/>
      <color theme="1"/>
      <name val="Tahoma"/>
      <family val="2"/>
    </font>
    <font>
      <b/>
      <sz val="9"/>
      <color theme="1"/>
      <name val="Tahoma"/>
      <family val="2"/>
    </font>
    <font>
      <sz val="8"/>
      <name val="Tahoma"/>
      <family val="2"/>
    </font>
    <font>
      <sz val="8"/>
      <color rgb="FFFF0000"/>
      <name val="Tahoma"/>
      <family val="2"/>
    </font>
    <font>
      <b/>
      <sz val="8"/>
      <color rgb="FFFF0000"/>
      <name val="Tahoma"/>
      <family val="2"/>
    </font>
    <font>
      <b/>
      <sz val="9"/>
      <color theme="3"/>
      <name val="Tahoma"/>
      <family val="2"/>
    </font>
    <font>
      <sz val="9"/>
      <color indexed="8"/>
      <name val="Tahoma"/>
      <family val="2"/>
    </font>
    <font>
      <b/>
      <sz val="8"/>
      <name val="Tahoma"/>
      <family val="2"/>
    </font>
    <font>
      <sz val="9"/>
      <color indexed="81"/>
      <name val="Segoe UI"/>
      <family val="2"/>
    </font>
    <font>
      <b/>
      <sz val="9"/>
      <color indexed="81"/>
      <name val="Segoe UI"/>
      <family val="2"/>
    </font>
    <font>
      <b/>
      <sz val="11"/>
      <name val="Tahoma"/>
      <family val="2"/>
    </font>
    <font>
      <b/>
      <sz val="8"/>
      <color theme="1"/>
      <name val="Tahoma"/>
      <family val="2"/>
    </font>
    <font>
      <sz val="7.5"/>
      <name val="Tahoma"/>
      <family val="2"/>
    </font>
    <font>
      <sz val="9"/>
      <color theme="3"/>
      <name val="Tahoma"/>
      <family val="2"/>
    </font>
    <font>
      <b/>
      <sz val="11"/>
      <color theme="1"/>
      <name val="Calibri"/>
      <family val="2"/>
      <scheme val="minor"/>
    </font>
    <font>
      <sz val="9"/>
      <color rgb="FF000000"/>
      <name val="Tahoma"/>
      <family val="2"/>
    </font>
    <font>
      <sz val="10"/>
      <color theme="1"/>
      <name val="Arial"/>
      <family val="2"/>
    </font>
    <font>
      <b/>
      <sz val="10"/>
      <color theme="0"/>
      <name val="Arial"/>
      <family val="2"/>
    </font>
    <font>
      <b/>
      <sz val="10"/>
      <color theme="1"/>
      <name val="Arial"/>
      <family val="2"/>
    </font>
    <font>
      <u/>
      <sz val="9"/>
      <name val="Tahoma"/>
      <family val="2"/>
    </font>
  </fonts>
  <fills count="1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FF"/>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5"/>
        <bgColor theme="5"/>
      </patternFill>
    </fill>
    <fill>
      <patternFill patternType="solid">
        <fgColor rgb="FFFFFF00"/>
        <bgColor indexed="64"/>
      </patternFill>
    </fill>
    <fill>
      <patternFill patternType="solid">
        <fgColor theme="8"/>
        <bgColor indexed="64"/>
      </patternFill>
    </fill>
    <fill>
      <patternFill patternType="solid">
        <fgColor rgb="FF00B05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right/>
      <top style="thin">
        <color theme="9" tint="0.39997558519241921"/>
      </top>
      <bottom style="thin">
        <color theme="9" tint="0.39997558519241921"/>
      </bottom>
      <diagonal/>
    </border>
    <border>
      <left style="medium">
        <color indexed="64"/>
      </left>
      <right/>
      <top style="medium">
        <color indexed="64"/>
      </top>
      <bottom style="thin">
        <color theme="5" tint="0.3999755851924192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4">
    <xf numFmtId="0" fontId="0" fillId="0" borderId="0"/>
    <xf numFmtId="164" fontId="3" fillId="0" borderId="0" applyFill="0" applyBorder="0" applyAlignment="0" applyProtection="0"/>
    <xf numFmtId="9" fontId="3" fillId="0" borderId="0" applyFill="0" applyBorder="0" applyAlignment="0" applyProtection="0"/>
    <xf numFmtId="43" fontId="3"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cellStyleXfs>
  <cellXfs count="324">
    <xf numFmtId="0" fontId="0" fillId="0" borderId="0" xfId="0"/>
    <xf numFmtId="0" fontId="14" fillId="0" borderId="0" xfId="0" applyFont="1" applyAlignment="1">
      <alignment vertical="center"/>
    </xf>
    <xf numFmtId="0" fontId="7" fillId="0" borderId="0" xfId="0" applyFont="1" applyAlignment="1">
      <alignment horizontal="center" vertical="center" wrapText="1"/>
    </xf>
    <xf numFmtId="0" fontId="14" fillId="5" borderId="1" xfId="0" applyFont="1" applyFill="1" applyBorder="1" applyAlignment="1">
      <alignment horizontal="center" vertical="center" wrapText="1"/>
    </xf>
    <xf numFmtId="8" fontId="14" fillId="0" borderId="1" xfId="0" applyNumberFormat="1" applyFont="1" applyBorder="1" applyAlignment="1">
      <alignment vertical="center" wrapText="1"/>
    </xf>
    <xf numFmtId="8" fontId="14" fillId="5" borderId="1" xfId="0" applyNumberFormat="1" applyFont="1" applyFill="1" applyBorder="1" applyAlignment="1">
      <alignment horizontal="right" vertical="center" wrapText="1"/>
    </xf>
    <xf numFmtId="8" fontId="15" fillId="0" borderId="1" xfId="0" applyNumberFormat="1" applyFont="1" applyBorder="1" applyAlignment="1">
      <alignment vertical="center"/>
    </xf>
    <xf numFmtId="8" fontId="6" fillId="0" borderId="1" xfId="0" applyNumberFormat="1" applyFont="1" applyBorder="1" applyAlignment="1">
      <alignment vertical="center"/>
    </xf>
    <xf numFmtId="0" fontId="20" fillId="6" borderId="17" xfId="0" applyFont="1" applyFill="1" applyBorder="1" applyAlignment="1">
      <alignment horizontal="center" vertical="center"/>
    </xf>
    <xf numFmtId="165" fontId="14" fillId="5" borderId="1" xfId="0" applyNumberFormat="1" applyFont="1" applyFill="1" applyBorder="1" applyAlignment="1">
      <alignment vertical="center"/>
    </xf>
    <xf numFmtId="10" fontId="14" fillId="0" borderId="1" xfId="2" applyNumberFormat="1" applyFont="1" applyBorder="1" applyAlignment="1">
      <alignment horizontal="center" vertical="center" wrapText="1"/>
    </xf>
    <xf numFmtId="0" fontId="6" fillId="0" borderId="8" xfId="0" applyFont="1" applyBorder="1" applyAlignment="1">
      <alignment horizontal="center" vertical="center"/>
    </xf>
    <xf numFmtId="0" fontId="5" fillId="0" borderId="0" xfId="0" applyFont="1" applyAlignment="1">
      <alignment vertical="center"/>
    </xf>
    <xf numFmtId="0" fontId="8" fillId="0" borderId="0" xfId="0" applyFont="1" applyAlignment="1">
      <alignment horizontal="left" vertical="center"/>
    </xf>
    <xf numFmtId="0" fontId="6" fillId="0" borderId="1" xfId="0" applyFont="1" applyBorder="1" applyAlignment="1">
      <alignment horizontal="center" vertical="center"/>
    </xf>
    <xf numFmtId="0" fontId="7" fillId="3" borderId="1" xfId="0" applyFont="1" applyFill="1" applyBorder="1" applyAlignment="1">
      <alignment vertical="center"/>
    </xf>
    <xf numFmtId="43" fontId="7" fillId="0" borderId="1" xfId="3" applyFont="1" applyBorder="1" applyAlignment="1">
      <alignment vertical="center"/>
    </xf>
    <xf numFmtId="43" fontId="6" fillId="3" borderId="1" xfId="3" applyFont="1" applyFill="1" applyBorder="1" applyAlignment="1">
      <alignment vertical="center"/>
    </xf>
    <xf numFmtId="43" fontId="6" fillId="0" borderId="0" xfId="3" applyFont="1" applyFill="1" applyBorder="1" applyAlignment="1">
      <alignment vertical="center"/>
    </xf>
    <xf numFmtId="10" fontId="7" fillId="0" borderId="1" xfId="0" applyNumberFormat="1" applyFont="1" applyBorder="1" applyAlignment="1">
      <alignment horizontal="center" vertical="center"/>
    </xf>
    <xf numFmtId="43" fontId="7" fillId="0" borderId="1" xfId="3" applyFont="1" applyFill="1" applyBorder="1" applyAlignment="1">
      <alignment vertical="center"/>
    </xf>
    <xf numFmtId="10" fontId="6" fillId="3" borderId="1" xfId="0" applyNumberFormat="1" applyFont="1" applyFill="1" applyBorder="1" applyAlignment="1">
      <alignment horizontal="center" vertical="center"/>
    </xf>
    <xf numFmtId="10" fontId="6" fillId="3" borderId="13" xfId="0" applyNumberFormat="1" applyFont="1" applyFill="1" applyBorder="1" applyAlignment="1">
      <alignment horizontal="center" vertical="center"/>
    </xf>
    <xf numFmtId="43" fontId="6" fillId="0" borderId="1" xfId="3" applyFont="1" applyFill="1" applyBorder="1" applyAlignment="1">
      <alignment vertical="center"/>
    </xf>
    <xf numFmtId="10" fontId="11" fillId="0" borderId="1" xfId="0" applyNumberFormat="1" applyFont="1" applyBorder="1" applyAlignment="1">
      <alignment horizontal="center" vertical="center"/>
    </xf>
    <xf numFmtId="0" fontId="16" fillId="0" borderId="0" xfId="0" applyFont="1" applyAlignment="1">
      <alignment horizontal="left" vertical="center" wrapText="1"/>
    </xf>
    <xf numFmtId="43" fontId="7" fillId="0" borderId="1" xfId="3" applyFont="1" applyFill="1" applyBorder="1" applyAlignment="1">
      <alignment horizontal="center" vertical="center"/>
    </xf>
    <xf numFmtId="2" fontId="6" fillId="0" borderId="0" xfId="0" applyNumberFormat="1" applyFont="1" applyAlignment="1">
      <alignment vertical="center"/>
    </xf>
    <xf numFmtId="0" fontId="6" fillId="3" borderId="1" xfId="0" applyFont="1" applyFill="1" applyBorder="1" applyAlignment="1">
      <alignment vertical="center"/>
    </xf>
    <xf numFmtId="164" fontId="6" fillId="3" borderId="1" xfId="1" applyFont="1" applyFill="1" applyBorder="1" applyAlignment="1">
      <alignment vertical="center"/>
    </xf>
    <xf numFmtId="2" fontId="5" fillId="0" borderId="0" xfId="0" applyNumberFormat="1" applyFont="1" applyAlignment="1">
      <alignment vertical="center"/>
    </xf>
    <xf numFmtId="165" fontId="15" fillId="2" borderId="1" xfId="0" applyNumberFormat="1" applyFont="1" applyFill="1" applyBorder="1" applyAlignment="1">
      <alignment vertical="center"/>
    </xf>
    <xf numFmtId="43" fontId="7" fillId="7" borderId="1" xfId="3" applyFont="1" applyFill="1" applyBorder="1" applyAlignment="1">
      <alignment vertical="center"/>
    </xf>
    <xf numFmtId="9" fontId="7" fillId="7" borderId="1" xfId="2" applyFont="1" applyFill="1" applyBorder="1" applyAlignment="1">
      <alignment horizontal="center" vertical="center"/>
    </xf>
    <xf numFmtId="10" fontId="7" fillId="7" borderId="1" xfId="2" applyNumberFormat="1" applyFont="1" applyFill="1" applyBorder="1" applyAlignment="1">
      <alignment horizontal="center" vertical="center"/>
    </xf>
    <xf numFmtId="43" fontId="7" fillId="0" borderId="1" xfId="0" applyNumberFormat="1" applyFont="1" applyBorder="1" applyAlignment="1">
      <alignment vertical="center"/>
    </xf>
    <xf numFmtId="9" fontId="7" fillId="7" borderId="2" xfId="0" applyNumberFormat="1" applyFont="1" applyFill="1" applyBorder="1" applyAlignment="1">
      <alignment horizontal="center" vertical="center"/>
    </xf>
    <xf numFmtId="0" fontId="7" fillId="7" borderId="2" xfId="0" applyFont="1" applyFill="1" applyBorder="1" applyAlignment="1">
      <alignment horizontal="center" vertical="center"/>
    </xf>
    <xf numFmtId="43" fontId="7" fillId="7" borderId="1" xfId="3" applyFont="1" applyFill="1" applyBorder="1" applyAlignment="1">
      <alignment horizontal="right" vertical="center"/>
    </xf>
    <xf numFmtId="10" fontId="7" fillId="7" borderId="1" xfId="0" applyNumberFormat="1" applyFont="1" applyFill="1" applyBorder="1" applyAlignment="1">
      <alignment horizontal="center" vertical="center"/>
    </xf>
    <xf numFmtId="1" fontId="7" fillId="3" borderId="1" xfId="0" applyNumberFormat="1" applyFont="1" applyFill="1" applyBorder="1" applyAlignment="1">
      <alignment horizontal="center" vertical="center"/>
    </xf>
    <xf numFmtId="9" fontId="7" fillId="3" borderId="1" xfId="0" applyNumberFormat="1" applyFont="1" applyFill="1" applyBorder="1" applyAlignment="1">
      <alignment horizontal="center" vertical="center"/>
    </xf>
    <xf numFmtId="0" fontId="15" fillId="4" borderId="1" xfId="0" applyFont="1" applyFill="1" applyBorder="1" applyAlignment="1">
      <alignment horizontal="center" vertical="center" wrapText="1"/>
    </xf>
    <xf numFmtId="4" fontId="15" fillId="4" borderId="1" xfId="0" applyNumberFormat="1" applyFont="1" applyFill="1" applyBorder="1" applyAlignment="1">
      <alignment horizontal="center" vertical="center" wrapText="1"/>
    </xf>
    <xf numFmtId="0" fontId="14" fillId="5" borderId="0" xfId="0" applyFont="1" applyFill="1" applyAlignment="1">
      <alignment horizontal="center" vertical="center" wrapText="1"/>
    </xf>
    <xf numFmtId="0" fontId="15" fillId="5" borderId="0" xfId="0" applyFont="1" applyFill="1" applyAlignment="1">
      <alignment horizontal="center" vertical="center" wrapText="1"/>
    </xf>
    <xf numFmtId="4" fontId="14" fillId="5" borderId="1" xfId="0" applyNumberFormat="1" applyFont="1" applyFill="1" applyBorder="1" applyAlignment="1">
      <alignment horizontal="center" vertical="center" wrapText="1"/>
    </xf>
    <xf numFmtId="3" fontId="14" fillId="5" borderId="1" xfId="0" applyNumberFormat="1" applyFont="1" applyFill="1" applyBorder="1" applyAlignment="1">
      <alignment horizontal="center" vertical="center" wrapText="1"/>
    </xf>
    <xf numFmtId="4" fontId="15" fillId="5" borderId="0" xfId="0" applyNumberFormat="1" applyFont="1" applyFill="1" applyAlignment="1">
      <alignment horizontal="center" vertical="center" wrapText="1"/>
    </xf>
    <xf numFmtId="4" fontId="14" fillId="7" borderId="1" xfId="0" applyNumberFormat="1" applyFont="1" applyFill="1" applyBorder="1" applyAlignment="1">
      <alignment horizontal="center" vertical="center" wrapText="1"/>
    </xf>
    <xf numFmtId="3" fontId="14" fillId="7" borderId="1" xfId="0" applyNumberFormat="1" applyFont="1" applyFill="1" applyBorder="1" applyAlignment="1">
      <alignment horizontal="center" vertical="center" wrapText="1"/>
    </xf>
    <xf numFmtId="10" fontId="7" fillId="7" borderId="1" xfId="0" applyNumberFormat="1" applyFont="1" applyFill="1" applyBorder="1" applyAlignment="1">
      <alignment horizontal="right" vertical="center"/>
    </xf>
    <xf numFmtId="10" fontId="7" fillId="7" borderId="1" xfId="2" applyNumberFormat="1" applyFont="1" applyFill="1" applyBorder="1" applyAlignment="1">
      <alignment horizontal="right" vertical="center"/>
    </xf>
    <xf numFmtId="0" fontId="7" fillId="3" borderId="1" xfId="2" applyNumberFormat="1" applyFont="1" applyFill="1" applyBorder="1" applyAlignment="1">
      <alignment horizontal="right" vertical="center"/>
    </xf>
    <xf numFmtId="43" fontId="7" fillId="0" borderId="1" xfId="3" applyFont="1" applyBorder="1" applyAlignment="1">
      <alignment horizontal="center" vertical="center"/>
    </xf>
    <xf numFmtId="0" fontId="7" fillId="5"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166" fontId="14" fillId="0" borderId="1" xfId="3" applyNumberFormat="1" applyFont="1" applyFill="1" applyBorder="1" applyAlignment="1">
      <alignment horizontal="center" vertical="center" wrapText="1"/>
    </xf>
    <xf numFmtId="0" fontId="7" fillId="0" borderId="0" xfId="0" applyFont="1" applyAlignment="1">
      <alignment vertical="center"/>
    </xf>
    <xf numFmtId="8" fontId="7" fillId="0" borderId="0" xfId="0" applyNumberFormat="1" applyFont="1" applyAlignment="1">
      <alignment vertical="center"/>
    </xf>
    <xf numFmtId="8" fontId="6" fillId="2" borderId="1" xfId="0" applyNumberFormat="1" applyFont="1" applyFill="1" applyBorder="1" applyAlignment="1">
      <alignment vertical="center"/>
    </xf>
    <xf numFmtId="2" fontId="7" fillId="7" borderId="1" xfId="0" applyNumberFormat="1" applyFont="1" applyFill="1" applyBorder="1" applyAlignment="1">
      <alignment horizontal="center" vertical="center"/>
    </xf>
    <xf numFmtId="0" fontId="6" fillId="0" borderId="0" xfId="0" applyFont="1" applyAlignment="1">
      <alignment vertical="center"/>
    </xf>
    <xf numFmtId="0" fontId="5" fillId="5" borderId="0" xfId="0" applyFont="1" applyFill="1" applyAlignment="1">
      <alignment vertical="center"/>
    </xf>
    <xf numFmtId="0" fontId="17" fillId="5" borderId="0" xfId="0" applyFont="1" applyFill="1" applyAlignment="1">
      <alignment vertical="center"/>
    </xf>
    <xf numFmtId="0" fontId="18" fillId="5" borderId="0" xfId="0" applyFont="1" applyFill="1" applyAlignment="1">
      <alignment horizontal="center" vertical="center"/>
    </xf>
    <xf numFmtId="0" fontId="6" fillId="5" borderId="0" xfId="0" applyFont="1" applyFill="1" applyAlignment="1">
      <alignment horizontal="left" vertical="center"/>
    </xf>
    <xf numFmtId="0" fontId="7" fillId="5" borderId="0" xfId="0" applyFont="1" applyFill="1" applyAlignment="1">
      <alignment horizontal="center" vertical="center"/>
    </xf>
    <xf numFmtId="0" fontId="8" fillId="5" borderId="0" xfId="0" applyFont="1" applyFill="1" applyAlignment="1">
      <alignment horizontal="left" vertical="center"/>
    </xf>
    <xf numFmtId="0" fontId="7" fillId="5" borderId="9" xfId="0" applyFont="1" applyFill="1" applyBorder="1" applyAlignment="1">
      <alignment vertical="center"/>
    </xf>
    <xf numFmtId="0" fontId="7" fillId="5" borderId="3" xfId="0" applyFont="1" applyFill="1" applyBorder="1" applyAlignment="1">
      <alignment vertical="center"/>
    </xf>
    <xf numFmtId="0" fontId="7" fillId="5" borderId="10" xfId="0" applyFont="1" applyFill="1" applyBorder="1" applyAlignment="1">
      <alignment vertical="center"/>
    </xf>
    <xf numFmtId="43" fontId="7" fillId="5" borderId="1" xfId="3" applyFont="1" applyFill="1" applyBorder="1" applyAlignment="1">
      <alignment vertical="center"/>
    </xf>
    <xf numFmtId="43" fontId="6" fillId="5" borderId="0" xfId="3" applyFont="1" applyFill="1" applyBorder="1" applyAlignment="1">
      <alignment vertical="center"/>
    </xf>
    <xf numFmtId="0" fontId="3" fillId="5" borderId="0" xfId="0" applyFont="1" applyFill="1" applyAlignment="1">
      <alignment vertical="center"/>
    </xf>
    <xf numFmtId="0" fontId="16" fillId="5" borderId="14" xfId="0" applyFont="1" applyFill="1" applyBorder="1" applyAlignment="1">
      <alignment horizontal="left" vertical="center" wrapText="1"/>
    </xf>
    <xf numFmtId="0" fontId="16" fillId="5" borderId="0" xfId="0" applyFont="1" applyFill="1" applyAlignment="1">
      <alignment horizontal="left" vertical="center" wrapText="1"/>
    </xf>
    <xf numFmtId="0" fontId="16" fillId="5" borderId="18" xfId="0" applyFont="1" applyFill="1" applyBorder="1" applyAlignment="1">
      <alignment horizontal="left" vertical="center" wrapText="1"/>
    </xf>
    <xf numFmtId="10" fontId="6" fillId="5" borderId="0" xfId="0" applyNumberFormat="1" applyFont="1" applyFill="1" applyAlignment="1">
      <alignment horizontal="center" vertical="center"/>
    </xf>
    <xf numFmtId="2" fontId="6" fillId="5" borderId="0" xfId="0" applyNumberFormat="1" applyFont="1" applyFill="1" applyAlignment="1">
      <alignment vertical="center"/>
    </xf>
    <xf numFmtId="0" fontId="4" fillId="5" borderId="0" xfId="0" applyFont="1" applyFill="1" applyAlignment="1">
      <alignment vertical="center"/>
    </xf>
    <xf numFmtId="0" fontId="7" fillId="0" borderId="11" xfId="0" applyFont="1" applyBorder="1" applyAlignment="1">
      <alignment vertical="center"/>
    </xf>
    <xf numFmtId="0" fontId="6" fillId="3" borderId="10" xfId="0" applyFont="1" applyFill="1" applyBorder="1" applyAlignment="1">
      <alignment vertical="center"/>
    </xf>
    <xf numFmtId="0" fontId="7" fillId="0" borderId="1" xfId="0" applyFont="1" applyBorder="1" applyAlignment="1">
      <alignment vertical="center"/>
    </xf>
    <xf numFmtId="0" fontId="6" fillId="0" borderId="9" xfId="0" applyFont="1" applyBorder="1" applyAlignment="1">
      <alignment vertical="center"/>
    </xf>
    <xf numFmtId="0" fontId="7" fillId="0" borderId="9" xfId="0" applyFont="1" applyBorder="1" applyAlignment="1">
      <alignment vertical="center" wrapText="1"/>
    </xf>
    <xf numFmtId="0" fontId="14" fillId="0" borderId="1" xfId="0" applyFont="1" applyBorder="1" applyAlignment="1">
      <alignment vertical="center" wrapText="1"/>
    </xf>
    <xf numFmtId="43" fontId="6" fillId="0" borderId="1" xfId="3" applyFont="1" applyFill="1" applyBorder="1" applyAlignment="1">
      <alignment horizontal="center" vertical="center"/>
    </xf>
    <xf numFmtId="0" fontId="6" fillId="3" borderId="9" xfId="0" applyFont="1" applyFill="1" applyBorder="1" applyAlignment="1">
      <alignment horizontal="center" vertical="center"/>
    </xf>
    <xf numFmtId="0" fontId="6" fillId="3" borderId="3" xfId="0" applyFont="1" applyFill="1" applyBorder="1" applyAlignment="1">
      <alignment horizontal="center" vertical="center"/>
    </xf>
    <xf numFmtId="0" fontId="15" fillId="2" borderId="1" xfId="0" applyFont="1" applyFill="1" applyBorder="1" applyAlignment="1">
      <alignment horizontal="center" vertical="center"/>
    </xf>
    <xf numFmtId="0" fontId="6" fillId="0" borderId="9" xfId="0" applyFont="1" applyBorder="1" applyAlignment="1">
      <alignment horizontal="center" vertical="center"/>
    </xf>
    <xf numFmtId="0" fontId="19" fillId="5" borderId="0" xfId="0" applyFont="1" applyFill="1" applyAlignment="1">
      <alignment horizontal="left" vertical="center"/>
    </xf>
    <xf numFmtId="0" fontId="7" fillId="0" borderId="9" xfId="0" applyFont="1" applyBorder="1" applyAlignment="1">
      <alignment vertical="center"/>
    </xf>
    <xf numFmtId="0" fontId="7" fillId="0" borderId="3" xfId="0" applyFont="1" applyBorder="1" applyAlignment="1">
      <alignment vertical="center"/>
    </xf>
    <xf numFmtId="0" fontId="6" fillId="3" borderId="1" xfId="0" applyFont="1" applyFill="1" applyBorder="1" applyAlignment="1">
      <alignment horizontal="center" vertical="center"/>
    </xf>
    <xf numFmtId="0" fontId="21" fillId="5" borderId="0" xfId="0" applyFont="1" applyFill="1" applyAlignment="1">
      <alignment horizontal="left" vertical="center"/>
    </xf>
    <xf numFmtId="0" fontId="6" fillId="5" borderId="12"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0" xfId="0" applyFont="1" applyFill="1" applyAlignment="1">
      <alignment horizontal="center" vertical="center"/>
    </xf>
    <xf numFmtId="0" fontId="6" fillId="0" borderId="0" xfId="0" applyFont="1" applyAlignment="1">
      <alignment horizontal="center" vertical="center"/>
    </xf>
    <xf numFmtId="0" fontId="9" fillId="5" borderId="0" xfId="0" applyFont="1" applyFill="1" applyAlignment="1">
      <alignment horizontal="center" vertical="center"/>
    </xf>
    <xf numFmtId="43" fontId="7" fillId="0" borderId="0" xfId="3" applyFont="1" applyBorder="1" applyAlignment="1">
      <alignment vertical="center"/>
    </xf>
    <xf numFmtId="43" fontId="7" fillId="5" borderId="0" xfId="3" applyFont="1" applyFill="1" applyBorder="1" applyAlignment="1">
      <alignment vertical="center"/>
    </xf>
    <xf numFmtId="43" fontId="7" fillId="0" borderId="0" xfId="3" applyFont="1" applyBorder="1" applyAlignment="1">
      <alignment horizontal="center" vertical="center"/>
    </xf>
    <xf numFmtId="43" fontId="7" fillId="0" borderId="0" xfId="0" applyNumberFormat="1" applyFont="1" applyAlignment="1">
      <alignment vertical="center"/>
    </xf>
    <xf numFmtId="43" fontId="7" fillId="0" borderId="0" xfId="3" applyFont="1" applyFill="1" applyBorder="1" applyAlignment="1">
      <alignment vertical="center"/>
    </xf>
    <xf numFmtId="0" fontId="6" fillId="5" borderId="0" xfId="0" applyFont="1" applyFill="1" applyAlignment="1">
      <alignment horizontal="center" vertical="center" wrapText="1"/>
    </xf>
    <xf numFmtId="43" fontId="6" fillId="0" borderId="0" xfId="3" applyFont="1" applyFill="1" applyBorder="1" applyAlignment="1">
      <alignment horizontal="center" vertical="center"/>
    </xf>
    <xf numFmtId="43" fontId="7" fillId="0" borderId="0" xfId="3" applyFont="1" applyFill="1" applyBorder="1" applyAlignment="1">
      <alignment horizontal="center" vertical="center"/>
    </xf>
    <xf numFmtId="165" fontId="14" fillId="5" borderId="0" xfId="0" applyNumberFormat="1" applyFont="1" applyFill="1" applyAlignment="1">
      <alignment vertical="center"/>
    </xf>
    <xf numFmtId="165" fontId="11" fillId="0" borderId="0" xfId="1" applyNumberFormat="1" applyFont="1" applyBorder="1" applyAlignment="1">
      <alignment horizontal="right" vertical="center" wrapText="1"/>
    </xf>
    <xf numFmtId="0" fontId="11" fillId="0" borderId="0" xfId="0" applyFont="1" applyAlignment="1">
      <alignment horizontal="left" vertical="center" wrapText="1"/>
    </xf>
    <xf numFmtId="0" fontId="0" fillId="0" borderId="0" xfId="0" applyAlignment="1">
      <alignment vertical="center"/>
    </xf>
    <xf numFmtId="165" fontId="14" fillId="0" borderId="1" xfId="0" applyNumberFormat="1" applyFont="1" applyBorder="1" applyAlignment="1">
      <alignment vertical="center"/>
    </xf>
    <xf numFmtId="165" fontId="14" fillId="0" borderId="0" xfId="0" applyNumberFormat="1" applyFont="1" applyAlignment="1">
      <alignment vertical="center"/>
    </xf>
    <xf numFmtId="0" fontId="19" fillId="0" borderId="0" xfId="0" applyFont="1" applyAlignment="1">
      <alignment horizontal="left" vertical="center"/>
    </xf>
    <xf numFmtId="0" fontId="15" fillId="0" borderId="0" xfId="0" applyFont="1" applyAlignment="1">
      <alignment horizontal="center" vertical="center"/>
    </xf>
    <xf numFmtId="0" fontId="6" fillId="0" borderId="0" xfId="0" applyFont="1" applyAlignment="1">
      <alignment horizontal="center" vertical="center" wrapText="1"/>
    </xf>
    <xf numFmtId="43" fontId="7" fillId="0" borderId="0" xfId="3" applyFont="1" applyFill="1" applyBorder="1" applyAlignment="1">
      <alignment horizontal="right" vertical="center"/>
    </xf>
    <xf numFmtId="164" fontId="6" fillId="0" borderId="0" xfId="1" applyFont="1" applyFill="1" applyBorder="1" applyAlignment="1">
      <alignment vertical="center"/>
    </xf>
    <xf numFmtId="165" fontId="15" fillId="0" borderId="0" xfId="0" applyNumberFormat="1" applyFont="1" applyAlignment="1">
      <alignment vertical="center"/>
    </xf>
    <xf numFmtId="43" fontId="6" fillId="0" borderId="0" xfId="0" applyNumberFormat="1" applyFont="1" applyAlignment="1">
      <alignment horizontal="center" vertical="center"/>
    </xf>
    <xf numFmtId="0" fontId="6" fillId="8" borderId="1" xfId="0" applyFont="1" applyFill="1" applyBorder="1" applyAlignment="1">
      <alignment horizontal="center" vertical="center"/>
    </xf>
    <xf numFmtId="0" fontId="7" fillId="8" borderId="3" xfId="0" applyFont="1" applyFill="1" applyBorder="1" applyAlignment="1">
      <alignment vertical="center"/>
    </xf>
    <xf numFmtId="10" fontId="7" fillId="8" borderId="1" xfId="2" applyNumberFormat="1" applyFont="1" applyFill="1" applyBorder="1" applyAlignment="1">
      <alignment horizontal="center" vertical="center"/>
    </xf>
    <xf numFmtId="43" fontId="7" fillId="8" borderId="1" xfId="3" applyFont="1" applyFill="1" applyBorder="1" applyAlignment="1">
      <alignment vertical="center"/>
    </xf>
    <xf numFmtId="43" fontId="11" fillId="5" borderId="0" xfId="3" applyFont="1" applyFill="1" applyBorder="1" applyAlignment="1">
      <alignment vertical="center"/>
    </xf>
    <xf numFmtId="0" fontId="6" fillId="8" borderId="13" xfId="0" applyFont="1" applyFill="1" applyBorder="1" applyAlignment="1">
      <alignment horizontal="center" vertical="center"/>
    </xf>
    <xf numFmtId="10" fontId="7" fillId="8" borderId="1" xfId="2" applyNumberFormat="1" applyFont="1" applyFill="1" applyBorder="1" applyAlignment="1">
      <alignment vertical="center"/>
    </xf>
    <xf numFmtId="0" fontId="11" fillId="0" borderId="0" xfId="0" applyFont="1" applyAlignment="1">
      <alignment horizontal="center" vertical="center"/>
    </xf>
    <xf numFmtId="0" fontId="7" fillId="0" borderId="0" xfId="0" applyFont="1" applyAlignment="1">
      <alignment horizontal="center" vertical="center"/>
    </xf>
    <xf numFmtId="0" fontId="6" fillId="3" borderId="10" xfId="0" applyFont="1" applyFill="1" applyBorder="1" applyAlignment="1">
      <alignment horizontal="center" vertical="center"/>
    </xf>
    <xf numFmtId="0" fontId="6" fillId="0" borderId="2" xfId="0" applyFont="1" applyBorder="1" applyAlignment="1">
      <alignment horizontal="center" vertical="center"/>
    </xf>
    <xf numFmtId="0" fontId="19" fillId="0" borderId="1" xfId="0" applyFont="1" applyBorder="1" applyAlignment="1">
      <alignment vertical="center" wrapText="1"/>
    </xf>
    <xf numFmtId="165" fontId="27" fillId="0" borderId="1" xfId="1" applyNumberFormat="1" applyFont="1" applyBorder="1" applyAlignment="1">
      <alignment horizontal="right" vertical="center" wrapText="1"/>
    </xf>
    <xf numFmtId="0" fontId="15" fillId="0" borderId="0" xfId="0" applyFont="1" applyAlignment="1">
      <alignment horizontal="center" vertical="center" wrapText="1"/>
    </xf>
    <xf numFmtId="0" fontId="14" fillId="0" borderId="0" xfId="0" applyFont="1" applyAlignment="1">
      <alignment horizontal="center" vertical="center" wrapText="1"/>
    </xf>
    <xf numFmtId="4" fontId="14" fillId="0" borderId="0" xfId="0" applyNumberFormat="1" applyFont="1" applyAlignment="1">
      <alignment horizontal="center" vertical="center" wrapText="1"/>
    </xf>
    <xf numFmtId="0" fontId="12" fillId="0" borderId="0" xfId="0" applyFont="1" applyAlignment="1">
      <alignment vertical="center" wrapText="1"/>
    </xf>
    <xf numFmtId="0" fontId="14" fillId="0" borderId="1" xfId="0" applyFont="1" applyBorder="1" applyAlignment="1">
      <alignment horizontal="left" vertical="center" wrapText="1"/>
    </xf>
    <xf numFmtId="3" fontId="14" fillId="0" borderId="1" xfId="0" applyNumberFormat="1" applyFont="1" applyBorder="1" applyAlignment="1">
      <alignment horizontal="center" vertical="center" wrapText="1"/>
    </xf>
    <xf numFmtId="0" fontId="6" fillId="0" borderId="1" xfId="0" applyFont="1" applyBorder="1" applyAlignment="1">
      <alignment vertical="center"/>
    </xf>
    <xf numFmtId="0" fontId="16" fillId="5" borderId="0" xfId="0" applyFont="1" applyFill="1" applyAlignment="1">
      <alignment vertical="center"/>
    </xf>
    <xf numFmtId="0" fontId="27" fillId="0" borderId="11" xfId="0" applyFont="1" applyBorder="1" applyAlignment="1">
      <alignment vertical="center" wrapText="1"/>
    </xf>
    <xf numFmtId="0" fontId="6" fillId="3" borderId="2" xfId="0" applyFont="1" applyFill="1" applyBorder="1" applyAlignment="1">
      <alignment horizontal="center" vertical="center"/>
    </xf>
    <xf numFmtId="0" fontId="6" fillId="2" borderId="9" xfId="0" applyFont="1" applyFill="1" applyBorder="1" applyAlignment="1">
      <alignment vertical="center"/>
    </xf>
    <xf numFmtId="0" fontId="6" fillId="2" borderId="10" xfId="0" applyFont="1" applyFill="1" applyBorder="1" applyAlignment="1">
      <alignment vertical="center"/>
    </xf>
    <xf numFmtId="0" fontId="8" fillId="9" borderId="1" xfId="0" applyFont="1" applyFill="1" applyBorder="1" applyAlignment="1">
      <alignment horizontal="center" vertical="center"/>
    </xf>
    <xf numFmtId="0" fontId="6" fillId="5" borderId="8" xfId="0" applyFont="1" applyFill="1" applyBorder="1" applyAlignment="1">
      <alignment vertical="center" wrapText="1"/>
    </xf>
    <xf numFmtId="0" fontId="6" fillId="5" borderId="16" xfId="0" applyFont="1" applyFill="1" applyBorder="1" applyAlignment="1">
      <alignment vertical="center" wrapText="1"/>
    </xf>
    <xf numFmtId="10" fontId="7" fillId="0" borderId="2" xfId="0" applyNumberFormat="1" applyFont="1" applyBorder="1" applyAlignment="1">
      <alignment horizontal="center" vertical="center"/>
    </xf>
    <xf numFmtId="43" fontId="7" fillId="0" borderId="2" xfId="3" applyFont="1" applyFill="1" applyBorder="1" applyAlignment="1">
      <alignment vertical="center"/>
    </xf>
    <xf numFmtId="0" fontId="6" fillId="5" borderId="0" xfId="0" applyFont="1" applyFill="1" applyAlignment="1">
      <alignment vertical="center"/>
    </xf>
    <xf numFmtId="0" fontId="6" fillId="0" borderId="8" xfId="0" applyFont="1" applyBorder="1" applyAlignment="1">
      <alignment vertical="center"/>
    </xf>
    <xf numFmtId="0" fontId="6" fillId="0" borderId="16" xfId="0" applyFont="1" applyBorder="1" applyAlignment="1">
      <alignment vertical="center"/>
    </xf>
    <xf numFmtId="0" fontId="6" fillId="5" borderId="8" xfId="0" applyFont="1" applyFill="1" applyBorder="1" applyAlignment="1">
      <alignment vertical="center"/>
    </xf>
    <xf numFmtId="0" fontId="6" fillId="5" borderId="16" xfId="0" applyFont="1" applyFill="1" applyBorder="1" applyAlignment="1">
      <alignment vertical="center"/>
    </xf>
    <xf numFmtId="0" fontId="13" fillId="5" borderId="9" xfId="0" applyFont="1" applyFill="1" applyBorder="1" applyAlignment="1">
      <alignment vertical="center"/>
    </xf>
    <xf numFmtId="0" fontId="13" fillId="5" borderId="3" xfId="0" applyFont="1" applyFill="1" applyBorder="1" applyAlignment="1">
      <alignment vertical="center"/>
    </xf>
    <xf numFmtId="0" fontId="13" fillId="5" borderId="10" xfId="0" applyFont="1" applyFill="1" applyBorder="1" applyAlignment="1">
      <alignment vertical="center"/>
    </xf>
    <xf numFmtId="0" fontId="13" fillId="0" borderId="10" xfId="0" applyFont="1" applyBorder="1" applyAlignment="1">
      <alignment vertical="center"/>
    </xf>
    <xf numFmtId="0" fontId="6" fillId="3" borderId="2" xfId="0" applyFont="1" applyFill="1" applyBorder="1" applyAlignment="1">
      <alignment vertical="center"/>
    </xf>
    <xf numFmtId="0" fontId="6" fillId="3" borderId="16" xfId="0" applyFont="1" applyFill="1" applyBorder="1" applyAlignment="1">
      <alignment vertical="center" wrapText="1"/>
    </xf>
    <xf numFmtId="0" fontId="6" fillId="2" borderId="3" xfId="0" applyFont="1" applyFill="1" applyBorder="1" applyAlignment="1">
      <alignment vertical="center"/>
    </xf>
    <xf numFmtId="0" fontId="14" fillId="5" borderId="2" xfId="0" applyFont="1" applyFill="1" applyBorder="1" applyAlignment="1">
      <alignment vertical="center" wrapText="1"/>
    </xf>
    <xf numFmtId="0" fontId="13" fillId="5" borderId="16" xfId="0" applyFont="1" applyFill="1" applyBorder="1" applyAlignment="1">
      <alignment vertical="center"/>
    </xf>
    <xf numFmtId="165" fontId="14" fillId="5" borderId="2" xfId="0" applyNumberFormat="1" applyFont="1" applyFill="1" applyBorder="1" applyAlignment="1">
      <alignment vertical="center"/>
    </xf>
    <xf numFmtId="0" fontId="25" fillId="2" borderId="10" xfId="0" applyFont="1" applyFill="1" applyBorder="1" applyAlignment="1">
      <alignment vertical="center"/>
    </xf>
    <xf numFmtId="0" fontId="21" fillId="3" borderId="3" xfId="0" applyFont="1" applyFill="1" applyBorder="1" applyAlignment="1">
      <alignment vertical="center"/>
    </xf>
    <xf numFmtId="0" fontId="21" fillId="3" borderId="10" xfId="0" applyFont="1" applyFill="1" applyBorder="1" applyAlignment="1">
      <alignment vertical="center"/>
    </xf>
    <xf numFmtId="0" fontId="6" fillId="5" borderId="18" xfId="0" applyFont="1" applyFill="1" applyBorder="1" applyAlignment="1">
      <alignment horizontal="center" vertical="center"/>
    </xf>
    <xf numFmtId="0" fontId="16" fillId="0" borderId="9" xfId="0" applyFont="1" applyBorder="1" applyAlignment="1">
      <alignment vertical="center"/>
    </xf>
    <xf numFmtId="0" fontId="16" fillId="0" borderId="3" xfId="0" applyFont="1" applyBorder="1" applyAlignment="1">
      <alignment vertical="center"/>
    </xf>
    <xf numFmtId="0" fontId="16" fillId="0" borderId="10" xfId="0" applyFont="1" applyBorder="1" applyAlignment="1">
      <alignment vertical="center"/>
    </xf>
    <xf numFmtId="0" fontId="16" fillId="0" borderId="9" xfId="0" applyFont="1" applyBorder="1" applyAlignment="1">
      <alignment vertical="center" wrapText="1"/>
    </xf>
    <xf numFmtId="0" fontId="16" fillId="0" borderId="3" xfId="0" applyFont="1" applyBorder="1" applyAlignment="1">
      <alignment vertical="center" wrapText="1"/>
    </xf>
    <xf numFmtId="0" fontId="16" fillId="0" borderId="10" xfId="0" applyFont="1" applyBorder="1" applyAlignment="1">
      <alignment vertical="center" wrapText="1"/>
    </xf>
    <xf numFmtId="0" fontId="21" fillId="0" borderId="9" xfId="0" applyFont="1" applyBorder="1" applyAlignment="1">
      <alignment vertical="center"/>
    </xf>
    <xf numFmtId="0" fontId="21" fillId="0" borderId="3" xfId="0" applyFont="1" applyBorder="1" applyAlignment="1">
      <alignment vertical="center"/>
    </xf>
    <xf numFmtId="0" fontId="21" fillId="0" borderId="10" xfId="0" applyFont="1" applyBorder="1" applyAlignment="1">
      <alignment vertical="center"/>
    </xf>
    <xf numFmtId="0" fontId="21" fillId="3" borderId="9" xfId="0" applyFont="1" applyFill="1" applyBorder="1" applyAlignment="1">
      <alignment vertical="center"/>
    </xf>
    <xf numFmtId="4" fontId="16" fillId="8" borderId="1" xfId="0" applyNumberFormat="1" applyFont="1" applyFill="1" applyBorder="1" applyAlignment="1">
      <alignment vertical="center"/>
    </xf>
    <xf numFmtId="0" fontId="16" fillId="8" borderId="1" xfId="0" applyFont="1" applyFill="1" applyBorder="1" applyAlignment="1">
      <alignment vertical="center"/>
    </xf>
    <xf numFmtId="0" fontId="16" fillId="0" borderId="1" xfId="0" applyFont="1" applyBorder="1" applyAlignment="1">
      <alignment vertical="center"/>
    </xf>
    <xf numFmtId="0" fontId="16" fillId="7" borderId="1" xfId="0" applyFont="1" applyFill="1" applyBorder="1" applyAlignment="1">
      <alignment vertical="center"/>
    </xf>
    <xf numFmtId="43" fontId="7" fillId="0" borderId="1" xfId="3" applyFont="1" applyFill="1" applyBorder="1" applyAlignment="1">
      <alignment horizontal="right" vertical="center"/>
    </xf>
    <xf numFmtId="0" fontId="28" fillId="0" borderId="16"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2" xfId="0" applyFont="1" applyBorder="1" applyAlignment="1">
      <alignment horizontal="center" vertical="center"/>
    </xf>
    <xf numFmtId="0" fontId="28" fillId="0" borderId="7" xfId="0" applyFont="1" applyBorder="1" applyAlignment="1">
      <alignment horizontal="center" vertical="center" wrapText="1"/>
    </xf>
    <xf numFmtId="0" fontId="28" fillId="0" borderId="0" xfId="0" applyFont="1" applyAlignment="1">
      <alignment horizontal="center" vertical="center"/>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vertical="center" wrapText="1"/>
    </xf>
    <xf numFmtId="0" fontId="30" fillId="0" borderId="19" xfId="0" applyFont="1" applyBorder="1" applyAlignment="1">
      <alignment horizontal="center" vertical="center" wrapText="1"/>
    </xf>
    <xf numFmtId="4" fontId="15" fillId="0" borderId="0" xfId="0" applyNumberFormat="1" applyFont="1" applyAlignment="1">
      <alignment horizontal="center" vertical="center" wrapText="1"/>
    </xf>
    <xf numFmtId="0" fontId="28" fillId="14" borderId="1" xfId="0" applyFont="1" applyFill="1" applyBorder="1" applyAlignment="1">
      <alignment horizontal="center" vertical="center" wrapText="1"/>
    </xf>
    <xf numFmtId="0" fontId="30" fillId="13" borderId="1" xfId="0" applyFont="1" applyFill="1" applyBorder="1" applyAlignment="1">
      <alignment horizontal="center" vertical="center" wrapText="1"/>
    </xf>
    <xf numFmtId="0" fontId="29" fillId="11" borderId="0" xfId="0" applyFont="1" applyFill="1" applyAlignment="1">
      <alignment vertical="center" wrapText="1"/>
    </xf>
    <xf numFmtId="0" fontId="14" fillId="0" borderId="0" xfId="0" applyFont="1" applyAlignment="1">
      <alignment horizontal="center" vertical="center"/>
    </xf>
    <xf numFmtId="0" fontId="14" fillId="0" borderId="0" xfId="0" applyFont="1" applyAlignment="1">
      <alignment horizontal="justify" vertical="center" wrapText="1"/>
    </xf>
    <xf numFmtId="0" fontId="29" fillId="12" borderId="0" xfId="0" applyFont="1" applyFill="1" applyAlignment="1">
      <alignment vertical="center" wrapText="1"/>
    </xf>
    <xf numFmtId="168" fontId="14" fillId="0" borderId="1" xfId="0" applyNumberFormat="1" applyFont="1" applyBorder="1" applyAlignment="1">
      <alignment horizontal="center" vertical="center" wrapText="1"/>
    </xf>
    <xf numFmtId="43" fontId="30" fillId="11" borderId="1" xfId="3" applyFont="1" applyFill="1" applyBorder="1"/>
    <xf numFmtId="43" fontId="32" fillId="16" borderId="1" xfId="0" applyNumberFormat="1" applyFont="1" applyFill="1" applyBorder="1"/>
    <xf numFmtId="0" fontId="4" fillId="16" borderId="21" xfId="0" applyFont="1" applyFill="1" applyBorder="1" applyAlignment="1">
      <alignment horizontal="center" vertical="center"/>
    </xf>
    <xf numFmtId="43" fontId="4" fillId="16" borderId="22" xfId="3" applyFont="1" applyFill="1" applyBorder="1" applyAlignment="1">
      <alignment horizontal="center" vertical="center"/>
    </xf>
    <xf numFmtId="0" fontId="0" fillId="7" borderId="10" xfId="0" applyFill="1" applyBorder="1" applyAlignment="1">
      <alignment horizontal="center" vertical="center" wrapText="1"/>
    </xf>
    <xf numFmtId="0" fontId="0" fillId="7" borderId="1" xfId="0" applyFill="1" applyBorder="1" applyAlignment="1">
      <alignment horizontal="center" vertical="center"/>
    </xf>
    <xf numFmtId="0" fontId="0" fillId="7" borderId="0" xfId="0" applyFill="1"/>
    <xf numFmtId="0" fontId="31" fillId="15" borderId="20" xfId="0" applyFont="1" applyFill="1" applyBorder="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16" fillId="0" borderId="12" xfId="0" applyFont="1" applyBorder="1" applyAlignment="1">
      <alignment vertical="center"/>
    </xf>
    <xf numFmtId="0" fontId="16" fillId="0" borderId="15" xfId="0" applyFont="1" applyBorder="1" applyAlignment="1">
      <alignment vertical="center"/>
    </xf>
    <xf numFmtId="0" fontId="16" fillId="0" borderId="8" xfId="0" applyFont="1" applyBorder="1" applyAlignment="1">
      <alignment vertical="center"/>
    </xf>
    <xf numFmtId="0" fontId="16" fillId="0" borderId="2" xfId="0" applyFont="1" applyBorder="1" applyAlignment="1">
      <alignment vertical="center"/>
    </xf>
    <xf numFmtId="0" fontId="16" fillId="7" borderId="2" xfId="0" applyFont="1" applyFill="1" applyBorder="1" applyAlignment="1">
      <alignment vertical="center"/>
    </xf>
    <xf numFmtId="0" fontId="7" fillId="0" borderId="0" xfId="0" applyFont="1" applyAlignment="1">
      <alignment horizontal="left" vertical="center" wrapText="1"/>
    </xf>
    <xf numFmtId="0" fontId="24" fillId="3" borderId="6"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4"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33" fillId="0" borderId="0" xfId="0" applyFont="1" applyAlignment="1">
      <alignment horizontal="left" vertical="center" wrapText="1"/>
    </xf>
    <xf numFmtId="0" fontId="6" fillId="5" borderId="0" xfId="0" applyFont="1" applyFill="1" applyAlignment="1">
      <alignment horizontal="center" vertical="center"/>
    </xf>
    <xf numFmtId="0" fontId="9" fillId="5" borderId="0" xfId="0" applyFont="1" applyFill="1" applyAlignment="1">
      <alignment horizontal="center" vertical="center"/>
    </xf>
    <xf numFmtId="0" fontId="9" fillId="4" borderId="9"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15" fillId="2" borderId="1"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1" xfId="0" applyFont="1" applyFill="1" applyBorder="1" applyAlignment="1">
      <alignment horizontal="left" vertical="center"/>
    </xf>
    <xf numFmtId="0" fontId="14" fillId="7" borderId="1" xfId="0" applyFont="1" applyFill="1" applyBorder="1" applyAlignment="1">
      <alignment horizontal="left" vertical="center"/>
    </xf>
    <xf numFmtId="14" fontId="14" fillId="7" borderId="1" xfId="0" applyNumberFormat="1" applyFont="1" applyFill="1" applyBorder="1" applyAlignment="1">
      <alignment horizontal="left" vertical="center"/>
    </xf>
    <xf numFmtId="0" fontId="14" fillId="7" borderId="1" xfId="0" applyFont="1" applyFill="1" applyBorder="1" applyAlignment="1">
      <alignment horizontal="left" vertical="center" wrapText="1"/>
    </xf>
    <xf numFmtId="167" fontId="14" fillId="7" borderId="1" xfId="0" applyNumberFormat="1" applyFont="1" applyFill="1" applyBorder="1" applyAlignment="1">
      <alignment horizontal="left" vertical="center"/>
    </xf>
    <xf numFmtId="0" fontId="16" fillId="0" borderId="9" xfId="0" applyFont="1" applyBorder="1" applyAlignment="1">
      <alignment horizontal="left" vertical="center"/>
    </xf>
    <xf numFmtId="0" fontId="16" fillId="0" borderId="3" xfId="0" applyFont="1" applyBorder="1" applyAlignment="1">
      <alignment horizontal="left" vertical="center"/>
    </xf>
    <xf numFmtId="0" fontId="16" fillId="0" borderId="10" xfId="0" applyFont="1" applyBorder="1" applyAlignment="1">
      <alignment horizontal="left" vertical="center"/>
    </xf>
    <xf numFmtId="0" fontId="16" fillId="8" borderId="9" xfId="0" applyFont="1" applyFill="1" applyBorder="1" applyAlignment="1">
      <alignment horizontal="left" vertical="center"/>
    </xf>
    <xf numFmtId="0" fontId="16" fillId="8" borderId="3" xfId="0" applyFont="1" applyFill="1" applyBorder="1" applyAlignment="1">
      <alignment horizontal="left" vertical="center"/>
    </xf>
    <xf numFmtId="0" fontId="16" fillId="8" borderId="10" xfId="0" applyFont="1" applyFill="1" applyBorder="1" applyAlignment="1">
      <alignment horizontal="left" vertical="center"/>
    </xf>
    <xf numFmtId="0" fontId="6" fillId="3" borderId="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 xfId="0" applyFont="1" applyFill="1" applyBorder="1" applyAlignment="1">
      <alignment horizontal="center" vertical="center"/>
    </xf>
    <xf numFmtId="10" fontId="7" fillId="0" borderId="15" xfId="0" applyNumberFormat="1" applyFont="1" applyBorder="1" applyAlignment="1">
      <alignment horizontal="center" vertical="center"/>
    </xf>
    <xf numFmtId="10" fontId="7" fillId="0" borderId="16" xfId="0" applyNumberFormat="1" applyFont="1" applyBorder="1" applyAlignment="1">
      <alignment horizontal="center" vertical="center"/>
    </xf>
    <xf numFmtId="43" fontId="7" fillId="0" borderId="1" xfId="3"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5" xfId="0" applyFont="1" applyFill="1" applyBorder="1" applyAlignment="1">
      <alignment horizontal="center" vertical="center"/>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6" xfId="0" applyFont="1" applyFill="1" applyBorder="1" applyAlignment="1">
      <alignment horizontal="center" vertical="center"/>
    </xf>
    <xf numFmtId="0" fontId="6" fillId="0" borderId="13" xfId="0" applyFont="1" applyBorder="1" applyAlignment="1">
      <alignment horizontal="center" vertical="center"/>
    </xf>
    <xf numFmtId="0" fontId="6" fillId="0" borderId="2" xfId="0" applyFont="1" applyBorder="1" applyAlignment="1">
      <alignment horizontal="center" vertical="center"/>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16" fillId="0" borderId="1" xfId="0" applyFont="1" applyBorder="1" applyAlignment="1">
      <alignment horizontal="left" vertical="center" wrapText="1"/>
    </xf>
    <xf numFmtId="0" fontId="6" fillId="2" borderId="10" xfId="0" applyFont="1" applyFill="1" applyBorder="1" applyAlignment="1">
      <alignment horizontal="center" vertical="center"/>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3" borderId="9" xfId="0" applyFont="1" applyFill="1" applyBorder="1" applyAlignment="1">
      <alignment horizontal="left" vertical="center"/>
    </xf>
    <xf numFmtId="0" fontId="6" fillId="3" borderId="3" xfId="0" applyFont="1" applyFill="1" applyBorder="1" applyAlignment="1">
      <alignment horizontal="left" vertical="center"/>
    </xf>
    <xf numFmtId="0" fontId="6" fillId="3" borderId="10" xfId="0" applyFont="1" applyFill="1" applyBorder="1" applyAlignment="1">
      <alignment horizontal="left" vertical="center"/>
    </xf>
    <xf numFmtId="0" fontId="25" fillId="2" borderId="9" xfId="0" applyFont="1" applyFill="1" applyBorder="1" applyAlignment="1">
      <alignment horizontal="left" vertical="center"/>
    </xf>
    <xf numFmtId="0" fontId="25" fillId="2" borderId="3" xfId="0" applyFont="1" applyFill="1" applyBorder="1" applyAlignment="1">
      <alignment horizontal="left" vertical="center"/>
    </xf>
    <xf numFmtId="0" fontId="27" fillId="0" borderId="9"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0" xfId="0" applyFont="1" applyBorder="1" applyAlignment="1">
      <alignment horizontal="center" vertical="center" wrapText="1"/>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13" fillId="5" borderId="9" xfId="0" applyFont="1" applyFill="1" applyBorder="1" applyAlignment="1">
      <alignment horizontal="left" vertical="center"/>
    </xf>
    <xf numFmtId="0" fontId="13" fillId="5" borderId="3" xfId="0" applyFont="1" applyFill="1" applyBorder="1" applyAlignment="1">
      <alignment horizontal="left" vertical="center"/>
    </xf>
    <xf numFmtId="0" fontId="13" fillId="0" borderId="9" xfId="0" applyFont="1" applyBorder="1" applyAlignment="1">
      <alignment horizontal="left" vertical="center" wrapText="1"/>
    </xf>
    <xf numFmtId="0" fontId="13" fillId="0" borderId="3" xfId="0" applyFont="1" applyBorder="1" applyAlignment="1">
      <alignment horizontal="left" vertical="center" wrapText="1"/>
    </xf>
    <xf numFmtId="0" fontId="13" fillId="0" borderId="10" xfId="0" applyFont="1" applyBorder="1" applyAlignment="1">
      <alignment horizontal="left" vertical="center" wrapText="1"/>
    </xf>
    <xf numFmtId="0" fontId="21" fillId="3" borderId="3" xfId="0" applyFont="1" applyFill="1" applyBorder="1" applyAlignment="1">
      <alignment horizontal="left" vertical="center"/>
    </xf>
    <xf numFmtId="0" fontId="19" fillId="5" borderId="0" xfId="0" applyFont="1" applyFill="1" applyAlignment="1">
      <alignment horizontal="left" vertical="center"/>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15" fillId="2" borderId="9" xfId="0" applyFont="1" applyFill="1" applyBorder="1" applyAlignment="1">
      <alignment horizontal="center" vertical="center"/>
    </xf>
    <xf numFmtId="0" fontId="15" fillId="2" borderId="3" xfId="0" applyFont="1" applyFill="1" applyBorder="1" applyAlignment="1">
      <alignment horizontal="center" vertical="center"/>
    </xf>
    <xf numFmtId="0" fontId="6" fillId="0" borderId="10" xfId="0" applyFont="1" applyBorder="1" applyAlignment="1">
      <alignment horizontal="center" vertical="center"/>
    </xf>
    <xf numFmtId="0" fontId="12" fillId="17" borderId="6" xfId="0" applyFont="1" applyFill="1" applyBorder="1" applyAlignment="1">
      <alignment horizontal="center" vertical="center" wrapText="1"/>
    </xf>
    <xf numFmtId="0" fontId="12" fillId="17" borderId="5" xfId="0" applyFont="1" applyFill="1" applyBorder="1" applyAlignment="1">
      <alignment horizontal="center" vertical="center" wrapText="1"/>
    </xf>
    <xf numFmtId="0" fontId="12" fillId="17" borderId="4"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0" borderId="4" xfId="0" applyFont="1" applyFill="1" applyBorder="1" applyAlignment="1">
      <alignment horizontal="center" vertical="center" wrapText="1"/>
    </xf>
    <xf numFmtId="0" fontId="12" fillId="18" borderId="6" xfId="0" applyFont="1" applyFill="1" applyBorder="1" applyAlignment="1">
      <alignment horizontal="center" vertical="center" wrapText="1"/>
    </xf>
    <xf numFmtId="0" fontId="12" fillId="18" borderId="5" xfId="0" applyFont="1" applyFill="1" applyBorder="1" applyAlignment="1">
      <alignment horizontal="center" vertical="center" wrapText="1"/>
    </xf>
    <xf numFmtId="0" fontId="12" fillId="18" borderId="4" xfId="0" applyFont="1" applyFill="1" applyBorder="1" applyAlignment="1">
      <alignment horizontal="center" vertical="center" wrapText="1"/>
    </xf>
    <xf numFmtId="0" fontId="30" fillId="11" borderId="1" xfId="0" applyFont="1" applyFill="1" applyBorder="1" applyAlignment="1">
      <alignment horizontal="center"/>
    </xf>
    <xf numFmtId="0" fontId="32" fillId="16" borderId="1" xfId="0" applyFont="1" applyFill="1" applyBorder="1" applyAlignment="1">
      <alignment horizontal="center"/>
    </xf>
    <xf numFmtId="0" fontId="7" fillId="0" borderId="1" xfId="0" applyFont="1" applyBorder="1" applyAlignment="1">
      <alignment vertical="center" wrapText="1"/>
    </xf>
  </cellXfs>
  <cellStyles count="14">
    <cellStyle name="Moeda" xfId="1" builtinId="4"/>
    <cellStyle name="Moeda 2" xfId="6" xr:uid="{00000000-0005-0000-0000-000001000000}"/>
    <cellStyle name="Moeda 3" xfId="11" xr:uid="{00000000-0005-0000-0000-000002000000}"/>
    <cellStyle name="Normal" xfId="0" builtinId="0"/>
    <cellStyle name="Normal 2" xfId="5" xr:uid="{00000000-0005-0000-0000-000004000000}"/>
    <cellStyle name="Normal 3" xfId="4" xr:uid="{00000000-0005-0000-0000-000005000000}"/>
    <cellStyle name="Normal 4" xfId="12" xr:uid="{00000000-0005-0000-0000-000006000000}"/>
    <cellStyle name="Porcentagem" xfId="2" builtinId="5"/>
    <cellStyle name="Porcentagem 2" xfId="7" xr:uid="{00000000-0005-0000-0000-000008000000}"/>
    <cellStyle name="Porcentagem 3" xfId="10" xr:uid="{00000000-0005-0000-0000-000009000000}"/>
    <cellStyle name="Vírgula" xfId="3" builtinId="3"/>
    <cellStyle name="Vírgula 2" xfId="8" xr:uid="{00000000-0005-0000-0000-00000B000000}"/>
    <cellStyle name="Vírgula 3" xfId="9" xr:uid="{00000000-0005-0000-0000-00000C000000}"/>
    <cellStyle name="Vírgula 4" xfId="13" xr:uid="{00000000-0005-0000-0000-00000D000000}"/>
  </cellStyles>
  <dxfs count="19">
    <dxf>
      <numFmt numFmtId="0" formatCode="General"/>
    </dxf>
    <dxf>
      <fill>
        <patternFill patternType="solid">
          <fgColor indexed="64"/>
          <bgColor rgb="FFFFFF99"/>
        </patternFill>
      </fill>
    </dxf>
    <dxf>
      <font>
        <b val="0"/>
        <i val="0"/>
        <strike val="0"/>
        <condense val="0"/>
        <extend val="0"/>
        <outline val="0"/>
        <shadow val="0"/>
        <u val="none"/>
        <vertAlign val="baseline"/>
        <sz val="9"/>
        <color theme="1"/>
        <name val="Tahoma"/>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Tahoma"/>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9"/>
        <color theme="1"/>
        <name val="Tahoma"/>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rgb="FF000000"/>
        <name val="Tahoma"/>
        <family val="2"/>
        <scheme val="none"/>
      </font>
      <fill>
        <patternFill patternType="solid">
          <fgColor indexed="64"/>
          <bgColor rgb="FFFFFFFF"/>
        </patternFill>
      </fill>
      <alignment horizontal="general"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border outline="0">
        <bottom style="medium">
          <color indexed="64"/>
        </bottom>
      </border>
    </dxf>
    <dxf>
      <font>
        <b/>
      </font>
      <alignment horizontal="general" vertical="center" textRotation="0" wrapText="1" indent="0" justifyLastLine="0" shrinkToFit="0" readingOrder="0"/>
    </dxf>
    <dxf>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FFFF99"/>
      <color rgb="FF00CC00"/>
      <color rgb="FF33C3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ED0F8C-ADD3-4E87-B3BF-AAC364F2921C}" name="Tabela1" displayName="Tabela1" ref="B1:G53" totalsRowShown="0" headerRowDxfId="18" headerRowBorderDxfId="17" tableBorderDxfId="16" totalsRowBorderDxfId="15">
  <autoFilter ref="B1:G53" xr:uid="{40ED0F8C-ADD3-4E87-B3BF-AAC364F2921C}"/>
  <tableColumns count="6">
    <tableColumn id="1" xr3:uid="{BECC2B43-C769-4276-9895-8CEABFABBC39}" name="   MATERIAL" dataDxfId="14"/>
    <tableColumn id="2" xr3:uid="{0C298B53-1961-44D5-A246-14B0BC4BF1ED}" name="DESCRIÇÃO (material ASG)" dataDxfId="13"/>
    <tableColumn id="3" xr3:uid="{78643CA5-8E71-4EB2-9239-E97D123826AE}" name="UN. MED." dataDxfId="12"/>
    <tableColumn id="4" xr3:uid="{D19CF64C-14FA-4B78-A07C-F784B78F3104}" name="QTD Mensal (estimada) " dataDxfId="11"/>
    <tableColumn id="8" xr3:uid="{D0B8FC7E-53AF-459E-9C7F-37E6F5F5034B}" name="Custo Mensal unitário" dataDxfId="10"/>
    <tableColumn id="9" xr3:uid="{916E401C-F254-43D6-AB54-4BF16FF6C611}" name="Custo Mensal " dataDxfId="9">
      <calculatedColumnFormula>E2*F2</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C8FE196-7F4A-4DD2-9E90-C0FB37BDCE04}" name="Tabela2" displayName="Tabela2" ref="B1:G25" totalsRowShown="0" headerRowDxfId="8" headerRowBorderDxfId="7" tableBorderDxfId="6">
  <autoFilter ref="B1:G25" xr:uid="{8C8FE196-7F4A-4DD2-9E90-C0FB37BDCE04}"/>
  <tableColumns count="6">
    <tableColumn id="1" xr3:uid="{5A1DF4BB-EB44-4CCD-BF6F-2E0FE8E875C5}" name="MATERIAL" dataDxfId="5"/>
    <tableColumn id="2" xr3:uid="{C868AB75-3B97-4518-B65C-EC2FFEBFE13C}" name="UN. MED." dataDxfId="4"/>
    <tableColumn id="3" xr3:uid="{1488C447-85B5-43FB-847B-5DBE4C84EBA3}" name="Descrição (Material COPA)" dataDxfId="3"/>
    <tableColumn id="4" xr3:uid="{11EBEE00-F3AA-469D-BD0B-C4406404F2B2}" name="QTD" dataDxfId="2"/>
    <tableColumn id="5" xr3:uid="{E82B8C1C-6907-46D6-8D71-E50BFCE9EF13}" name="Custo  unitário" dataDxfId="1"/>
    <tableColumn id="9" xr3:uid="{B077125C-1A17-4229-9648-E16BD6B47028}" name="Custo Total" dataDxfId="0">
      <calculatedColumnFormula>Tabela2[[#This Row],[QTD]]*Tabela2[[#This Row],[Custo  unitário]]</calculatedColumnFormula>
    </tableColumn>
  </tableColumns>
  <tableStyleInfo name="TableStyleMedium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H29"/>
  <sheetViews>
    <sheetView showGridLines="0" tabSelected="1" view="pageBreakPreview" zoomScale="110" zoomScaleNormal="100" zoomScaleSheetLayoutView="110" workbookViewId="0">
      <selection activeCell="D8" sqref="D8"/>
    </sheetView>
  </sheetViews>
  <sheetFormatPr defaultColWidth="9.28515625" defaultRowHeight="22.5" customHeight="1" x14ac:dyDescent="0.2"/>
  <cols>
    <col min="1" max="1" width="3.28515625" style="59" customWidth="1"/>
    <col min="2" max="2" width="20.7109375" style="59" customWidth="1"/>
    <col min="3" max="4" width="13.28515625" style="59" customWidth="1"/>
    <col min="5" max="5" width="14.28515625" style="59" customWidth="1"/>
    <col min="6" max="6" width="13.7109375" style="59" customWidth="1"/>
    <col min="7" max="7" width="16.28515625" style="59" bestFit="1" customWidth="1"/>
    <col min="8" max="8" width="14.7109375" style="59" bestFit="1" customWidth="1"/>
    <col min="9" max="16384" width="9.28515625" style="59"/>
  </cols>
  <sheetData>
    <row r="1" spans="2:8" ht="22.5" customHeight="1" x14ac:dyDescent="0.2">
      <c r="B1" s="232" t="s">
        <v>128</v>
      </c>
      <c r="C1" s="232"/>
      <c r="D1" s="232"/>
      <c r="E1" s="232"/>
      <c r="F1" s="232"/>
      <c r="G1" s="232"/>
    </row>
    <row r="3" spans="2:8" ht="22.5" customHeight="1" x14ac:dyDescent="0.2">
      <c r="B3" s="63" t="s">
        <v>439</v>
      </c>
    </row>
    <row r="4" spans="2:8" ht="22.5" customHeight="1" x14ac:dyDescent="0.2">
      <c r="B4" s="233" t="s">
        <v>440</v>
      </c>
      <c r="C4" s="233"/>
      <c r="D4" s="233"/>
      <c r="E4" s="233"/>
      <c r="F4" s="233"/>
      <c r="G4" s="233"/>
      <c r="H4" s="60"/>
    </row>
    <row r="5" spans="2:8" ht="22.5" customHeight="1" thickBot="1" x14ac:dyDescent="0.25"/>
    <row r="6" spans="2:8" ht="22.5" customHeight="1" thickBot="1" x14ac:dyDescent="0.25">
      <c r="B6" s="226" t="s">
        <v>87</v>
      </c>
      <c r="C6" s="227"/>
      <c r="D6" s="227"/>
      <c r="E6" s="227"/>
      <c r="F6" s="227"/>
      <c r="G6" s="228"/>
    </row>
    <row r="7" spans="2:8" ht="22.5" customHeight="1" x14ac:dyDescent="0.2">
      <c r="B7" s="11"/>
      <c r="C7" s="11"/>
      <c r="D7" s="11"/>
      <c r="E7" s="11"/>
      <c r="F7" s="11"/>
      <c r="G7" s="11"/>
    </row>
    <row r="8" spans="2:8" ht="22.5" customHeight="1" x14ac:dyDescent="0.2">
      <c r="B8" s="42" t="s">
        <v>83</v>
      </c>
      <c r="C8" s="42" t="s">
        <v>127</v>
      </c>
      <c r="D8" s="42" t="s">
        <v>84</v>
      </c>
      <c r="E8" s="42" t="s">
        <v>93</v>
      </c>
      <c r="F8" s="42" t="s">
        <v>85</v>
      </c>
      <c r="G8" s="42" t="s">
        <v>86</v>
      </c>
    </row>
    <row r="9" spans="2:8" ht="22.5" customHeight="1" x14ac:dyDescent="0.2">
      <c r="B9" s="323" t="s">
        <v>209</v>
      </c>
      <c r="C9" s="58">
        <v>1</v>
      </c>
      <c r="D9" s="3">
        <v>30</v>
      </c>
      <c r="E9" s="4">
        <f>'Copeiro(a)'!H140</f>
        <v>7817.5471666666663</v>
      </c>
      <c r="F9" s="5">
        <f>E9*C9</f>
        <v>7817.5471666666663</v>
      </c>
      <c r="G9" s="5">
        <f>F9*D9</f>
        <v>234526.41499999998</v>
      </c>
    </row>
    <row r="10" spans="2:8" ht="22.5" customHeight="1" x14ac:dyDescent="0.2">
      <c r="B10" s="323" t="s">
        <v>208</v>
      </c>
      <c r="C10" s="58">
        <v>2</v>
      </c>
      <c r="D10" s="3">
        <v>30</v>
      </c>
      <c r="E10" s="4">
        <f>'ASG - Faxineiro'!H140</f>
        <v>12522.794166666668</v>
      </c>
      <c r="F10" s="5">
        <f>E10*C10</f>
        <v>25045.588333333337</v>
      </c>
      <c r="G10" s="5">
        <f>F10*D10</f>
        <v>751367.65000000014</v>
      </c>
    </row>
    <row r="11" spans="2:8" ht="22.5" customHeight="1" x14ac:dyDescent="0.2">
      <c r="B11" s="14" t="s">
        <v>58</v>
      </c>
      <c r="C11" s="58">
        <f>SUM(C9:C9)</f>
        <v>1</v>
      </c>
      <c r="D11" s="230"/>
      <c r="E11" s="231"/>
      <c r="F11" s="7">
        <f>SUM(F9:F9)</f>
        <v>7817.5471666666663</v>
      </c>
      <c r="G11" s="6">
        <f>SUM(G9:G10)</f>
        <v>985894.06500000018</v>
      </c>
    </row>
    <row r="12" spans="2:8" ht="22.5" customHeight="1" x14ac:dyDescent="0.2">
      <c r="B12" s="229" t="s">
        <v>125</v>
      </c>
      <c r="C12" s="229"/>
      <c r="D12" s="229"/>
      <c r="E12" s="229"/>
      <c r="F12" s="229"/>
      <c r="G12" s="61">
        <f>G11</f>
        <v>985894.06500000018</v>
      </c>
    </row>
    <row r="13" spans="2:8" ht="13.9" customHeight="1" x14ac:dyDescent="0.2">
      <c r="F13" s="1"/>
    </row>
    <row r="14" spans="2:8" ht="100.9" customHeight="1" x14ac:dyDescent="0.2">
      <c r="B14" s="234" t="s">
        <v>204</v>
      </c>
      <c r="C14" s="234"/>
      <c r="D14" s="234"/>
      <c r="E14" s="234"/>
      <c r="F14" s="234"/>
      <c r="G14" s="234"/>
    </row>
    <row r="15" spans="2:8" ht="13.9" customHeight="1" x14ac:dyDescent="0.2">
      <c r="F15" s="1"/>
    </row>
    <row r="16" spans="2:8" ht="49.5" customHeight="1" x14ac:dyDescent="0.2">
      <c r="B16" s="225" t="s">
        <v>205</v>
      </c>
      <c r="C16" s="225"/>
      <c r="D16" s="225"/>
      <c r="E16" s="225"/>
      <c r="F16" s="225"/>
      <c r="G16" s="225"/>
    </row>
    <row r="17" spans="2:7" ht="13.9" customHeight="1" x14ac:dyDescent="0.2">
      <c r="F17" s="1"/>
    </row>
    <row r="18" spans="2:7" ht="29.65" customHeight="1" x14ac:dyDescent="0.2">
      <c r="B18" s="225" t="s">
        <v>206</v>
      </c>
      <c r="C18" s="225"/>
      <c r="D18" s="225"/>
      <c r="E18" s="225"/>
      <c r="F18" s="225"/>
      <c r="G18" s="225"/>
    </row>
    <row r="19" spans="2:7" ht="13.9" customHeight="1" x14ac:dyDescent="0.2">
      <c r="F19" s="1"/>
    </row>
    <row r="20" spans="2:7" ht="22.5" customHeight="1" x14ac:dyDescent="0.2">
      <c r="B20" s="225" t="s">
        <v>207</v>
      </c>
      <c r="C20" s="225"/>
      <c r="D20" s="225"/>
      <c r="E20" s="225"/>
      <c r="F20" s="225"/>
      <c r="G20" s="225"/>
    </row>
    <row r="21" spans="2:7" ht="22.5" customHeight="1" x14ac:dyDescent="0.2">
      <c r="F21" s="1"/>
    </row>
    <row r="22" spans="2:7" ht="22.5" customHeight="1" x14ac:dyDescent="0.2">
      <c r="D22" s="131" t="s">
        <v>188</v>
      </c>
      <c r="F22" s="1"/>
    </row>
    <row r="23" spans="2:7" ht="22.5" customHeight="1" x14ac:dyDescent="0.2">
      <c r="E23" s="132"/>
    </row>
    <row r="24" spans="2:7" ht="22.5" customHeight="1" x14ac:dyDescent="0.2">
      <c r="D24" s="132" t="s">
        <v>189</v>
      </c>
    </row>
    <row r="25" spans="2:7" ht="22.5" customHeight="1" x14ac:dyDescent="0.2">
      <c r="D25" s="132" t="s">
        <v>190</v>
      </c>
    </row>
    <row r="26" spans="2:7" ht="22.5" customHeight="1" x14ac:dyDescent="0.2">
      <c r="D26" s="132" t="s">
        <v>191</v>
      </c>
    </row>
    <row r="27" spans="2:7" ht="22.5" customHeight="1" x14ac:dyDescent="0.2">
      <c r="D27" s="132" t="s">
        <v>192</v>
      </c>
    </row>
    <row r="28" spans="2:7" ht="22.5" customHeight="1" x14ac:dyDescent="0.2">
      <c r="D28" s="132" t="s">
        <v>193</v>
      </c>
    </row>
    <row r="29" spans="2:7" ht="22.5" customHeight="1" x14ac:dyDescent="0.2">
      <c r="D29" s="132" t="s">
        <v>194</v>
      </c>
    </row>
  </sheetData>
  <mergeCells count="9">
    <mergeCell ref="B20:G20"/>
    <mergeCell ref="B6:G6"/>
    <mergeCell ref="B12:F12"/>
    <mergeCell ref="D11:E11"/>
    <mergeCell ref="B1:G1"/>
    <mergeCell ref="B4:G4"/>
    <mergeCell ref="B14:G14"/>
    <mergeCell ref="B16:G16"/>
    <mergeCell ref="B18:G18"/>
  </mergeCells>
  <printOptions horizontalCentered="1"/>
  <pageMargins left="0.51181102362204722" right="0.51181102362204722" top="0.98425196850393704" bottom="0.78740157480314965" header="0.31496062992125984" footer="0.31496062992125984"/>
  <pageSetup paperSize="9" scale="9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BB023-9E96-4F84-B200-62E2489D9539}">
  <sheetPr>
    <tabColor theme="5" tint="0.39997558519241921"/>
  </sheetPr>
  <dimension ref="B1:I153"/>
  <sheetViews>
    <sheetView showGridLines="0" view="pageBreakPreview" topLeftCell="A115" zoomScale="90" zoomScaleNormal="100" zoomScaleSheetLayoutView="90" workbookViewId="0">
      <selection activeCell="I47" sqref="I47:I56"/>
    </sheetView>
  </sheetViews>
  <sheetFormatPr defaultColWidth="9.28515625" defaultRowHeight="12.75" x14ac:dyDescent="0.2"/>
  <cols>
    <col min="1" max="1" width="3.5703125" style="64" customWidth="1"/>
    <col min="2" max="2" width="8.28515625" style="64" customWidth="1"/>
    <col min="3" max="3" width="39.28515625" style="64" customWidth="1"/>
    <col min="4" max="4" width="29.28515625" style="64" customWidth="1"/>
    <col min="5" max="6" width="8.28515625" style="64" customWidth="1"/>
    <col min="7" max="7" width="9.28515625" style="64" customWidth="1"/>
    <col min="8" max="9" width="15.28515625" style="64" customWidth="1"/>
    <col min="10" max="16384" width="9.28515625" style="64"/>
  </cols>
  <sheetData>
    <row r="1" spans="2:9" x14ac:dyDescent="0.2">
      <c r="C1" s="114"/>
      <c r="D1" s="12"/>
      <c r="E1" s="12"/>
      <c r="F1" s="12"/>
      <c r="G1" s="12"/>
      <c r="H1" s="12"/>
      <c r="I1" s="12"/>
    </row>
    <row r="2" spans="2:9" x14ac:dyDescent="0.2">
      <c r="B2" s="235" t="s">
        <v>49</v>
      </c>
      <c r="C2" s="235"/>
      <c r="D2" s="235"/>
      <c r="E2" s="235"/>
      <c r="F2" s="235"/>
      <c r="G2" s="235"/>
      <c r="H2" s="235"/>
      <c r="I2" s="100"/>
    </row>
    <row r="3" spans="2:9" x14ac:dyDescent="0.2">
      <c r="B3" s="236" t="s">
        <v>195</v>
      </c>
      <c r="C3" s="236"/>
      <c r="D3" s="236"/>
      <c r="E3" s="236"/>
      <c r="F3" s="236"/>
      <c r="G3" s="236"/>
      <c r="H3" s="236"/>
      <c r="I3" s="102"/>
    </row>
    <row r="4" spans="2:9" x14ac:dyDescent="0.2">
      <c r="B4" s="66"/>
      <c r="C4" s="66"/>
      <c r="D4" s="66"/>
      <c r="E4" s="66"/>
      <c r="F4" s="66"/>
      <c r="G4" s="66"/>
      <c r="H4" s="66"/>
      <c r="I4" s="66"/>
    </row>
    <row r="5" spans="2:9" x14ac:dyDescent="0.2">
      <c r="B5" s="66"/>
      <c r="C5" s="66"/>
      <c r="D5" s="66"/>
      <c r="E5" s="66"/>
      <c r="F5" s="66"/>
      <c r="G5" s="66"/>
      <c r="H5" s="66"/>
      <c r="I5" s="66"/>
    </row>
    <row r="6" spans="2:9" x14ac:dyDescent="0.2">
      <c r="B6" s="143" t="s">
        <v>131</v>
      </c>
      <c r="C6" s="143"/>
      <c r="D6" s="237" t="s">
        <v>209</v>
      </c>
      <c r="E6" s="238"/>
      <c r="F6" s="239"/>
      <c r="I6" s="13"/>
    </row>
    <row r="7" spans="2:9" x14ac:dyDescent="0.2">
      <c r="B7" s="66"/>
      <c r="C7" s="66"/>
      <c r="D7" s="66"/>
      <c r="E7" s="66"/>
      <c r="F7" s="66"/>
      <c r="G7" s="66"/>
      <c r="H7" s="66"/>
      <c r="I7" s="12"/>
    </row>
    <row r="8" spans="2:9" x14ac:dyDescent="0.2">
      <c r="B8" s="240" t="s">
        <v>50</v>
      </c>
      <c r="C8" s="240"/>
      <c r="D8" s="240"/>
      <c r="E8" s="240"/>
      <c r="F8" s="240"/>
      <c r="G8" s="144"/>
      <c r="H8" s="144"/>
      <c r="I8" s="65"/>
    </row>
    <row r="9" spans="2:9" x14ac:dyDescent="0.2">
      <c r="B9" s="241">
        <v>1</v>
      </c>
      <c r="C9" s="242" t="s">
        <v>51</v>
      </c>
      <c r="D9" s="242"/>
      <c r="E9" s="242"/>
      <c r="F9" s="242"/>
      <c r="G9" s="144"/>
      <c r="H9" s="144"/>
      <c r="I9" s="65"/>
    </row>
    <row r="10" spans="2:9" x14ac:dyDescent="0.2">
      <c r="B10" s="241"/>
      <c r="C10" s="243" t="s">
        <v>435</v>
      </c>
      <c r="D10" s="243"/>
      <c r="E10" s="243"/>
      <c r="F10" s="243"/>
      <c r="G10" s="144"/>
      <c r="H10" s="144"/>
      <c r="I10" s="65"/>
    </row>
    <row r="11" spans="2:9" x14ac:dyDescent="0.2">
      <c r="B11" s="241">
        <v>2</v>
      </c>
      <c r="C11" s="242" t="s">
        <v>52</v>
      </c>
      <c r="D11" s="242"/>
      <c r="E11" s="242"/>
      <c r="F11" s="242"/>
      <c r="G11" s="144"/>
      <c r="H11" s="144"/>
      <c r="I11" s="65"/>
    </row>
    <row r="12" spans="2:9" x14ac:dyDescent="0.2">
      <c r="B12" s="241"/>
      <c r="C12" s="243" t="s">
        <v>417</v>
      </c>
      <c r="D12" s="243"/>
      <c r="E12" s="243"/>
      <c r="F12" s="243"/>
      <c r="G12" s="144"/>
      <c r="H12" s="144"/>
      <c r="I12" s="65"/>
    </row>
    <row r="13" spans="2:9" x14ac:dyDescent="0.2">
      <c r="B13" s="241">
        <v>3</v>
      </c>
      <c r="C13" s="242" t="s">
        <v>53</v>
      </c>
      <c r="D13" s="242"/>
      <c r="E13" s="242"/>
      <c r="F13" s="242"/>
      <c r="G13" s="144"/>
      <c r="H13" s="144"/>
      <c r="I13" s="65"/>
    </row>
    <row r="14" spans="2:9" x14ac:dyDescent="0.2">
      <c r="B14" s="241"/>
      <c r="C14" s="246">
        <v>1729.24</v>
      </c>
      <c r="D14" s="246"/>
      <c r="E14" s="246"/>
      <c r="F14" s="246"/>
      <c r="G14" s="144"/>
      <c r="H14" s="144"/>
      <c r="I14" s="65"/>
    </row>
    <row r="15" spans="2:9" x14ac:dyDescent="0.2">
      <c r="B15" s="241">
        <v>4</v>
      </c>
      <c r="C15" s="242" t="s">
        <v>54</v>
      </c>
      <c r="D15" s="242"/>
      <c r="E15" s="242"/>
      <c r="F15" s="242"/>
      <c r="G15" s="144"/>
      <c r="H15" s="144"/>
      <c r="I15" s="65"/>
    </row>
    <row r="16" spans="2:9" x14ac:dyDescent="0.2">
      <c r="B16" s="241"/>
      <c r="C16" s="244">
        <v>45658</v>
      </c>
      <c r="D16" s="243"/>
      <c r="E16" s="243"/>
      <c r="F16" s="243"/>
      <c r="G16" s="144"/>
      <c r="H16" s="144"/>
      <c r="I16" s="65"/>
    </row>
    <row r="17" spans="2:9" x14ac:dyDescent="0.2">
      <c r="B17" s="241">
        <v>5</v>
      </c>
      <c r="C17" s="242" t="s">
        <v>55</v>
      </c>
      <c r="D17" s="242"/>
      <c r="E17" s="242"/>
      <c r="F17" s="242"/>
      <c r="G17" s="144"/>
      <c r="H17" s="144"/>
      <c r="I17" s="65"/>
    </row>
    <row r="18" spans="2:9" ht="28.5" customHeight="1" x14ac:dyDescent="0.2">
      <c r="B18" s="241"/>
      <c r="C18" s="245" t="s">
        <v>438</v>
      </c>
      <c r="D18" s="245"/>
      <c r="E18" s="245"/>
      <c r="F18" s="245"/>
      <c r="G18" s="144"/>
      <c r="H18" s="144"/>
      <c r="I18" s="65"/>
    </row>
    <row r="19" spans="2:9" x14ac:dyDescent="0.2">
      <c r="B19" s="241">
        <v>6</v>
      </c>
      <c r="C19" s="242" t="s">
        <v>56</v>
      </c>
      <c r="D19" s="242"/>
      <c r="E19" s="242"/>
      <c r="F19" s="242"/>
      <c r="G19" s="144"/>
      <c r="H19" s="144"/>
      <c r="I19" s="65"/>
    </row>
    <row r="20" spans="2:9" x14ac:dyDescent="0.2">
      <c r="B20" s="241"/>
      <c r="C20" s="243" t="s">
        <v>436</v>
      </c>
      <c r="D20" s="243"/>
      <c r="E20" s="243"/>
      <c r="F20" s="243"/>
      <c r="G20" s="144"/>
      <c r="H20" s="144"/>
      <c r="I20" s="65"/>
    </row>
    <row r="21" spans="2:9" x14ac:dyDescent="0.2">
      <c r="B21" s="67"/>
      <c r="C21" s="67"/>
      <c r="D21" s="67"/>
      <c r="E21" s="67"/>
      <c r="F21" s="67"/>
      <c r="G21" s="68"/>
      <c r="H21" s="68"/>
      <c r="I21" s="65"/>
    </row>
    <row r="22" spans="2:9" x14ac:dyDescent="0.2">
      <c r="B22" s="69"/>
      <c r="C22" s="69"/>
      <c r="D22" s="69"/>
      <c r="E22" s="69"/>
      <c r="F22" s="69"/>
      <c r="G22" s="69"/>
      <c r="H22" s="149" t="s">
        <v>201</v>
      </c>
    </row>
    <row r="23" spans="2:9" x14ac:dyDescent="0.2">
      <c r="B23" s="254" t="s">
        <v>63</v>
      </c>
      <c r="C23" s="255"/>
      <c r="D23" s="255"/>
      <c r="E23" s="255"/>
      <c r="F23" s="255"/>
      <c r="G23" s="147"/>
      <c r="H23" s="148"/>
      <c r="I23" s="101"/>
    </row>
    <row r="24" spans="2:9" x14ac:dyDescent="0.2">
      <c r="B24" s="96">
        <v>1</v>
      </c>
      <c r="C24" s="230" t="s">
        <v>57</v>
      </c>
      <c r="D24" s="253"/>
      <c r="E24" s="253"/>
      <c r="F24" s="231"/>
      <c r="G24" s="146" t="s">
        <v>1</v>
      </c>
      <c r="H24" s="146" t="s">
        <v>48</v>
      </c>
      <c r="I24" s="101"/>
    </row>
    <row r="25" spans="2:9" ht="12.75" customHeight="1" x14ac:dyDescent="0.2">
      <c r="B25" s="14" t="s">
        <v>4</v>
      </c>
      <c r="C25" s="94" t="s">
        <v>17</v>
      </c>
      <c r="D25" s="247"/>
      <c r="E25" s="248"/>
      <c r="F25" s="249"/>
      <c r="G25" s="15"/>
      <c r="H25" s="32">
        <v>1729.04</v>
      </c>
      <c r="I25" s="107"/>
    </row>
    <row r="26" spans="2:9" x14ac:dyDescent="0.2">
      <c r="B26" s="14" t="s">
        <v>5</v>
      </c>
      <c r="C26" s="94" t="s">
        <v>24</v>
      </c>
      <c r="D26" s="247" t="s">
        <v>132</v>
      </c>
      <c r="E26" s="248"/>
      <c r="F26" s="249"/>
      <c r="G26" s="33"/>
      <c r="H26" s="16">
        <f>TRUNC(H$25*$G26,2)</f>
        <v>0</v>
      </c>
      <c r="I26" s="103"/>
    </row>
    <row r="27" spans="2:9" x14ac:dyDescent="0.2">
      <c r="B27" s="14" t="s">
        <v>6</v>
      </c>
      <c r="C27" s="95" t="s">
        <v>25</v>
      </c>
      <c r="D27" s="173" t="s">
        <v>175</v>
      </c>
      <c r="E27" s="184" t="s">
        <v>203</v>
      </c>
      <c r="F27" s="183">
        <v>1518</v>
      </c>
      <c r="G27" s="33"/>
      <c r="H27" s="16">
        <f>TRUNC(F$27*$G27,2)</f>
        <v>0</v>
      </c>
      <c r="I27" s="103"/>
    </row>
    <row r="28" spans="2:9" x14ac:dyDescent="0.2">
      <c r="B28" s="14" t="s">
        <v>7</v>
      </c>
      <c r="C28" s="95" t="s">
        <v>0</v>
      </c>
      <c r="D28" s="247" t="s">
        <v>182</v>
      </c>
      <c r="E28" s="248"/>
      <c r="F28" s="249"/>
      <c r="G28" s="34"/>
      <c r="H28" s="73">
        <f>TRUNC(((H$25+H26)*$G28)/220*8*15,2)</f>
        <v>0</v>
      </c>
      <c r="I28" s="104"/>
    </row>
    <row r="29" spans="2:9" x14ac:dyDescent="0.2">
      <c r="B29" s="124" t="s">
        <v>8</v>
      </c>
      <c r="C29" s="125" t="s">
        <v>26</v>
      </c>
      <c r="D29" s="250" t="s">
        <v>182</v>
      </c>
      <c r="E29" s="251"/>
      <c r="F29" s="252"/>
      <c r="G29" s="126"/>
      <c r="H29" s="127">
        <f>TRUNC(((H25+H26)*$G29)/220*1*15,2)</f>
        <v>0</v>
      </c>
      <c r="I29" s="128" t="s">
        <v>187</v>
      </c>
    </row>
    <row r="30" spans="2:9" x14ac:dyDescent="0.2">
      <c r="B30" s="129" t="s">
        <v>9</v>
      </c>
      <c r="C30" s="125" t="s">
        <v>106</v>
      </c>
      <c r="D30" s="250" t="s">
        <v>183</v>
      </c>
      <c r="E30" s="251"/>
      <c r="F30" s="252"/>
      <c r="G30" s="130"/>
      <c r="H30" s="127">
        <f>TRUNC($G$34*H34*(1+$G$30),2)</f>
        <v>0</v>
      </c>
      <c r="I30" s="128" t="s">
        <v>187</v>
      </c>
    </row>
    <row r="31" spans="2:9" x14ac:dyDescent="0.2">
      <c r="B31" s="14" t="s">
        <v>10</v>
      </c>
      <c r="C31" s="95" t="s">
        <v>2</v>
      </c>
      <c r="D31" s="247"/>
      <c r="E31" s="248"/>
      <c r="F31" s="249"/>
      <c r="G31" s="34"/>
      <c r="H31" s="54"/>
      <c r="I31" s="105"/>
    </row>
    <row r="32" spans="2:9" x14ac:dyDescent="0.2">
      <c r="B32" s="14" t="s">
        <v>133</v>
      </c>
      <c r="C32" s="230" t="s">
        <v>58</v>
      </c>
      <c r="D32" s="253"/>
      <c r="E32" s="253"/>
      <c r="F32" s="231"/>
      <c r="G32" s="28"/>
      <c r="H32" s="17">
        <f>SUM(H25:H31)</f>
        <v>1729.04</v>
      </c>
      <c r="I32" s="18"/>
    </row>
    <row r="33" spans="2:9" ht="22.5" x14ac:dyDescent="0.2">
      <c r="B33" s="100"/>
      <c r="C33" s="265" t="s">
        <v>122</v>
      </c>
      <c r="D33" s="265"/>
      <c r="E33" s="265"/>
      <c r="F33" s="265"/>
      <c r="G33" s="57" t="s">
        <v>107</v>
      </c>
      <c r="H33" s="56" t="s">
        <v>126</v>
      </c>
      <c r="I33" s="2"/>
    </row>
    <row r="34" spans="2:9" x14ac:dyDescent="0.2">
      <c r="B34" s="100"/>
      <c r="C34" s="265"/>
      <c r="D34" s="265"/>
      <c r="E34" s="265"/>
      <c r="F34" s="265"/>
      <c r="G34" s="55"/>
      <c r="H34" s="35">
        <f>IF($G$34="",0,TRUNC((H25+H26+H27)/220,2))</f>
        <v>0</v>
      </c>
      <c r="I34" s="106"/>
    </row>
    <row r="35" spans="2:9" x14ac:dyDescent="0.2">
      <c r="B35" s="100"/>
      <c r="C35" s="100"/>
      <c r="D35" s="100"/>
      <c r="E35" s="100"/>
      <c r="F35" s="100"/>
      <c r="G35" s="100"/>
      <c r="H35" s="74"/>
      <c r="I35" s="18"/>
    </row>
    <row r="36" spans="2:9" x14ac:dyDescent="0.2">
      <c r="B36" s="100"/>
      <c r="C36" s="100"/>
      <c r="D36" s="100"/>
      <c r="E36" s="100"/>
      <c r="F36" s="100"/>
      <c r="G36" s="100"/>
      <c r="H36" s="74"/>
      <c r="I36" s="18"/>
    </row>
    <row r="37" spans="2:9" ht="12.75" customHeight="1" x14ac:dyDescent="0.2">
      <c r="B37" s="254" t="s">
        <v>64</v>
      </c>
      <c r="C37" s="255"/>
      <c r="D37" s="255"/>
      <c r="E37" s="255"/>
      <c r="F37" s="255"/>
      <c r="G37" s="147"/>
      <c r="H37" s="148"/>
      <c r="I37" s="101"/>
    </row>
    <row r="38" spans="2:9" x14ac:dyDescent="0.2">
      <c r="B38" s="266"/>
      <c r="C38" s="267"/>
      <c r="D38" s="267"/>
      <c r="E38" s="267"/>
      <c r="F38" s="267"/>
      <c r="G38" s="63"/>
      <c r="H38" s="63"/>
      <c r="I38" s="101"/>
    </row>
    <row r="39" spans="2:9" x14ac:dyDescent="0.2">
      <c r="B39" s="268" t="s">
        <v>36</v>
      </c>
      <c r="C39" s="268"/>
      <c r="D39" s="268"/>
      <c r="E39" s="268"/>
      <c r="F39" s="268"/>
      <c r="G39" s="63"/>
      <c r="H39" s="63"/>
      <c r="I39" s="101"/>
    </row>
    <row r="40" spans="2:9" x14ac:dyDescent="0.2">
      <c r="B40" s="146" t="s">
        <v>38</v>
      </c>
      <c r="C40" s="269" t="s">
        <v>27</v>
      </c>
      <c r="D40" s="270"/>
      <c r="E40" s="270"/>
      <c r="F40" s="271"/>
      <c r="G40" s="96" t="s">
        <v>1</v>
      </c>
      <c r="H40" s="96" t="s">
        <v>48</v>
      </c>
      <c r="I40" s="101"/>
    </row>
    <row r="41" spans="2:9" x14ac:dyDescent="0.2">
      <c r="B41" s="14" t="s">
        <v>4</v>
      </c>
      <c r="C41" s="94" t="s">
        <v>109</v>
      </c>
      <c r="D41" s="247" t="s">
        <v>134</v>
      </c>
      <c r="E41" s="248"/>
      <c r="F41" s="249"/>
      <c r="G41" s="152">
        <f>1/12</f>
        <v>8.3333333333333329E-2</v>
      </c>
      <c r="H41" s="153">
        <f>TRUNC((H$32*$G41),2)</f>
        <v>144.08000000000001</v>
      </c>
      <c r="I41" s="107"/>
    </row>
    <row r="42" spans="2:9" x14ac:dyDescent="0.2">
      <c r="B42" s="14" t="s">
        <v>5</v>
      </c>
      <c r="C42" s="94" t="s">
        <v>62</v>
      </c>
      <c r="D42" s="247" t="s">
        <v>136</v>
      </c>
      <c r="E42" s="248"/>
      <c r="F42" s="249"/>
      <c r="G42" s="19">
        <f>(1/12)+(1/3/12)</f>
        <v>0.1111111111111111</v>
      </c>
      <c r="H42" s="20">
        <f>TRUNC((H$32*$G42),2)</f>
        <v>192.11</v>
      </c>
      <c r="I42" s="107"/>
    </row>
    <row r="43" spans="2:9" x14ac:dyDescent="0.2">
      <c r="B43" s="14" t="s">
        <v>135</v>
      </c>
      <c r="C43" s="230" t="s">
        <v>58</v>
      </c>
      <c r="D43" s="253"/>
      <c r="E43" s="253"/>
      <c r="F43" s="231"/>
      <c r="G43" s="21">
        <f>TRUNC(SUM(G41:G42),4)</f>
        <v>0.19439999999999999</v>
      </c>
      <c r="H43" s="17">
        <f>SUM(H41:H42)</f>
        <v>336.19000000000005</v>
      </c>
      <c r="I43" s="18"/>
    </row>
    <row r="44" spans="2:9" x14ac:dyDescent="0.2">
      <c r="B44" s="259"/>
      <c r="C44" s="260"/>
      <c r="D44" s="260"/>
      <c r="E44" s="260"/>
      <c r="F44" s="260"/>
      <c r="G44" s="260"/>
      <c r="H44" s="261"/>
      <c r="I44" s="100"/>
    </row>
    <row r="45" spans="2:9" ht="30" customHeight="1" x14ac:dyDescent="0.2">
      <c r="B45" s="262" t="s">
        <v>65</v>
      </c>
      <c r="C45" s="263"/>
      <c r="D45" s="263"/>
      <c r="E45" s="263"/>
      <c r="F45" s="264"/>
      <c r="G45" s="150"/>
      <c r="H45" s="151"/>
      <c r="I45" s="108"/>
    </row>
    <row r="46" spans="2:9" x14ac:dyDescent="0.2">
      <c r="B46" s="96" t="s">
        <v>39</v>
      </c>
      <c r="C46" s="230" t="s">
        <v>66</v>
      </c>
      <c r="D46" s="253"/>
      <c r="E46" s="253"/>
      <c r="F46" s="231"/>
      <c r="G46" s="96" t="s">
        <v>1</v>
      </c>
      <c r="H46" s="96" t="s">
        <v>48</v>
      </c>
      <c r="I46" s="101"/>
    </row>
    <row r="47" spans="2:9" x14ac:dyDescent="0.2">
      <c r="B47" s="14" t="s">
        <v>4</v>
      </c>
      <c r="C47" s="94" t="s">
        <v>30</v>
      </c>
      <c r="D47" s="247" t="s">
        <v>137</v>
      </c>
      <c r="E47" s="248"/>
      <c r="F47" s="249"/>
      <c r="G47" s="19">
        <v>0.2</v>
      </c>
      <c r="H47" s="20">
        <f>TRUNC((H$32+H$43)*$G47,2)</f>
        <v>413.04</v>
      </c>
      <c r="I47" s="107"/>
    </row>
    <row r="48" spans="2:9" x14ac:dyDescent="0.2">
      <c r="B48" s="14" t="s">
        <v>5</v>
      </c>
      <c r="C48" s="82" t="s">
        <v>31</v>
      </c>
      <c r="D48" s="247" t="s">
        <v>138</v>
      </c>
      <c r="E48" s="248"/>
      <c r="F48" s="249"/>
      <c r="G48" s="19">
        <v>2.5000000000000001E-2</v>
      </c>
      <c r="H48" s="20">
        <f>TRUNC((H$32+H$43)*$G48,2)</f>
        <v>51.63</v>
      </c>
      <c r="I48" s="107"/>
    </row>
    <row r="49" spans="2:9" x14ac:dyDescent="0.2">
      <c r="B49" s="272" t="s">
        <v>6</v>
      </c>
      <c r="C49" s="274" t="s">
        <v>100</v>
      </c>
      <c r="D49" s="276" t="s">
        <v>144</v>
      </c>
      <c r="E49" s="8" t="s">
        <v>101</v>
      </c>
      <c r="F49" s="8" t="s">
        <v>99</v>
      </c>
      <c r="G49" s="256">
        <f>E50*F50</f>
        <v>0.06</v>
      </c>
      <c r="H49" s="258">
        <f>TRUNC((H$32+H$43)*$G49,2)</f>
        <v>123.91</v>
      </c>
      <c r="I49" s="110"/>
    </row>
    <row r="50" spans="2:9" x14ac:dyDescent="0.2">
      <c r="B50" s="273"/>
      <c r="C50" s="275"/>
      <c r="D50" s="276"/>
      <c r="E50" s="36">
        <v>0.03</v>
      </c>
      <c r="F50" s="37">
        <v>2</v>
      </c>
      <c r="G50" s="257"/>
      <c r="H50" s="258"/>
      <c r="I50" s="110"/>
    </row>
    <row r="51" spans="2:9" x14ac:dyDescent="0.2">
      <c r="B51" s="14" t="s">
        <v>7</v>
      </c>
      <c r="C51" s="94" t="s">
        <v>29</v>
      </c>
      <c r="D51" s="247" t="s">
        <v>139</v>
      </c>
      <c r="E51" s="248"/>
      <c r="F51" s="249"/>
      <c r="G51" s="19">
        <v>1.4999999999999999E-2</v>
      </c>
      <c r="H51" s="20">
        <f>TRUNC((H$32+H$43)*$G51,2)</f>
        <v>30.97</v>
      </c>
      <c r="I51" s="107"/>
    </row>
    <row r="52" spans="2:9" x14ac:dyDescent="0.2">
      <c r="B52" s="14" t="s">
        <v>8</v>
      </c>
      <c r="C52" s="94" t="s">
        <v>32</v>
      </c>
      <c r="D52" s="247" t="s">
        <v>140</v>
      </c>
      <c r="E52" s="248"/>
      <c r="F52" s="249"/>
      <c r="G52" s="19">
        <v>0.01</v>
      </c>
      <c r="H52" s="20">
        <f>TRUNC((H$32+H$43)*$G52,2)</f>
        <v>20.65</v>
      </c>
      <c r="I52" s="107"/>
    </row>
    <row r="53" spans="2:9" x14ac:dyDescent="0.2">
      <c r="B53" s="14" t="s">
        <v>9</v>
      </c>
      <c r="C53" s="94" t="s">
        <v>33</v>
      </c>
      <c r="D53" s="247" t="s">
        <v>141</v>
      </c>
      <c r="E53" s="248"/>
      <c r="F53" s="249"/>
      <c r="G53" s="19">
        <v>6.0000000000000001E-3</v>
      </c>
      <c r="H53" s="20">
        <f>TRUNC((H$32+H$43)*$G53,2)</f>
        <v>12.39</v>
      </c>
      <c r="I53" s="107"/>
    </row>
    <row r="54" spans="2:9" x14ac:dyDescent="0.2">
      <c r="B54" s="14" t="s">
        <v>10</v>
      </c>
      <c r="C54" s="94" t="s">
        <v>34</v>
      </c>
      <c r="D54" s="247" t="s">
        <v>142</v>
      </c>
      <c r="E54" s="248"/>
      <c r="F54" s="249"/>
      <c r="G54" s="19">
        <v>2E-3</v>
      </c>
      <c r="H54" s="20">
        <f>TRUNC((H$32+H$43)*$G54,2)</f>
        <v>4.13</v>
      </c>
      <c r="I54" s="107"/>
    </row>
    <row r="55" spans="2:9" x14ac:dyDescent="0.2">
      <c r="B55" s="14" t="s">
        <v>11</v>
      </c>
      <c r="C55" s="94" t="s">
        <v>35</v>
      </c>
      <c r="D55" s="247" t="s">
        <v>143</v>
      </c>
      <c r="E55" s="248"/>
      <c r="F55" s="249"/>
      <c r="G55" s="19">
        <v>0.08</v>
      </c>
      <c r="H55" s="20">
        <f>TRUNC((H$32+H$43)*$G55,2)</f>
        <v>165.21</v>
      </c>
      <c r="I55" s="107"/>
    </row>
    <row r="56" spans="2:9" x14ac:dyDescent="0.2">
      <c r="B56" s="14" t="s">
        <v>145</v>
      </c>
      <c r="C56" s="230" t="s">
        <v>58</v>
      </c>
      <c r="D56" s="253"/>
      <c r="E56" s="253"/>
      <c r="F56" s="231"/>
      <c r="G56" s="22">
        <f>SUM(G47:G55)</f>
        <v>0.39800000000000008</v>
      </c>
      <c r="H56" s="17">
        <f>SUM(H47:H55)</f>
        <v>821.93000000000006</v>
      </c>
      <c r="I56" s="18"/>
    </row>
    <row r="57" spans="2:9" x14ac:dyDescent="0.2">
      <c r="B57" s="278"/>
      <c r="C57" s="279"/>
      <c r="D57" s="279"/>
      <c r="E57" s="279"/>
      <c r="F57" s="279"/>
      <c r="G57" s="279"/>
      <c r="H57" s="280"/>
      <c r="I57" s="119"/>
    </row>
    <row r="58" spans="2:9" ht="12.75" customHeight="1" x14ac:dyDescent="0.2">
      <c r="B58" s="262" t="s">
        <v>37</v>
      </c>
      <c r="C58" s="263"/>
      <c r="D58" s="263"/>
      <c r="E58" s="263"/>
      <c r="F58" s="264"/>
      <c r="G58" s="150"/>
      <c r="H58" s="151"/>
      <c r="I58" s="119"/>
    </row>
    <row r="59" spans="2:9" x14ac:dyDescent="0.2">
      <c r="B59" s="96" t="s">
        <v>40</v>
      </c>
      <c r="C59" s="230" t="s">
        <v>41</v>
      </c>
      <c r="D59" s="253"/>
      <c r="E59" s="253"/>
      <c r="F59" s="253"/>
      <c r="G59" s="83"/>
      <c r="H59" s="96" t="s">
        <v>48</v>
      </c>
      <c r="I59" s="101"/>
    </row>
    <row r="60" spans="2:9" ht="12.75" customHeight="1" x14ac:dyDescent="0.2">
      <c r="B60" s="14" t="s">
        <v>4</v>
      </c>
      <c r="C60" s="94" t="s">
        <v>47</v>
      </c>
      <c r="D60" s="173" t="s">
        <v>148</v>
      </c>
      <c r="E60" s="174"/>
      <c r="F60" s="185" t="s">
        <v>210</v>
      </c>
      <c r="G60" s="186">
        <v>8.9</v>
      </c>
      <c r="H60" s="187">
        <f>IF((TRUNC((G60*2*22)-(H$25*6%),2))&lt;0,"0,00",(TRUNC((G60*2*22)-(H$25*6%),2)))</f>
        <v>287.85000000000002</v>
      </c>
      <c r="I60" s="120"/>
    </row>
    <row r="61" spans="2:9" ht="12.75" customHeight="1" x14ac:dyDescent="0.2">
      <c r="B61" s="14" t="s">
        <v>5</v>
      </c>
      <c r="C61" s="94" t="s">
        <v>437</v>
      </c>
      <c r="D61" s="173" t="s">
        <v>149</v>
      </c>
      <c r="E61" s="174"/>
      <c r="F61" s="185" t="s">
        <v>211</v>
      </c>
      <c r="G61" s="186">
        <f>20.76-1.39</f>
        <v>19.37</v>
      </c>
      <c r="H61" s="187">
        <f>G61*22</f>
        <v>426.14000000000004</v>
      </c>
      <c r="I61" s="120"/>
    </row>
    <row r="62" spans="2:9" ht="12.75" customHeight="1" x14ac:dyDescent="0.2">
      <c r="B62" s="14" t="s">
        <v>6</v>
      </c>
      <c r="C62" s="94" t="s">
        <v>426</v>
      </c>
      <c r="D62" s="173"/>
      <c r="E62" s="174"/>
      <c r="F62" s="174"/>
      <c r="G62" s="175"/>
      <c r="H62" s="38">
        <v>144.68</v>
      </c>
      <c r="I62" s="120"/>
    </row>
    <row r="63" spans="2:9" x14ac:dyDescent="0.2">
      <c r="B63" s="14" t="s">
        <v>7</v>
      </c>
      <c r="C63" s="94" t="s">
        <v>427</v>
      </c>
      <c r="D63" s="173"/>
      <c r="E63" s="174"/>
      <c r="F63" s="174"/>
      <c r="G63" s="175"/>
      <c r="H63" s="38">
        <v>35.33</v>
      </c>
      <c r="I63" s="120"/>
    </row>
    <row r="64" spans="2:9" x14ac:dyDescent="0.2">
      <c r="B64" s="14" t="s">
        <v>8</v>
      </c>
      <c r="C64" s="94" t="s">
        <v>419</v>
      </c>
      <c r="D64" s="173"/>
      <c r="E64" s="174"/>
      <c r="F64" s="174"/>
      <c r="G64" s="175"/>
      <c r="H64" s="38">
        <v>300</v>
      </c>
      <c r="I64" s="120"/>
    </row>
    <row r="65" spans="2:9" x14ac:dyDescent="0.2">
      <c r="B65" s="14" t="s">
        <v>9</v>
      </c>
      <c r="C65" s="94" t="s">
        <v>421</v>
      </c>
      <c r="D65" s="173"/>
      <c r="E65" s="220"/>
      <c r="F65" s="220"/>
      <c r="G65" s="221"/>
      <c r="H65" s="38">
        <v>455.4</v>
      </c>
      <c r="I65" s="120"/>
    </row>
    <row r="66" spans="2:9" x14ac:dyDescent="0.2">
      <c r="B66" s="14" t="s">
        <v>10</v>
      </c>
      <c r="C66" s="94" t="s">
        <v>420</v>
      </c>
      <c r="D66" s="173"/>
      <c r="E66" s="174"/>
      <c r="F66" s="174"/>
      <c r="G66" s="174"/>
      <c r="H66" s="38">
        <v>15.96</v>
      </c>
      <c r="I66" s="120"/>
    </row>
    <row r="67" spans="2:9" x14ac:dyDescent="0.2">
      <c r="B67" s="14" t="s">
        <v>11</v>
      </c>
      <c r="C67" s="94" t="s">
        <v>424</v>
      </c>
      <c r="D67" s="173" t="s">
        <v>425</v>
      </c>
      <c r="E67" s="222"/>
      <c r="F67" s="223" t="s">
        <v>211</v>
      </c>
      <c r="G67" s="224">
        <f>20.76-1.39</f>
        <v>19.37</v>
      </c>
      <c r="H67" s="38">
        <f>G67/12</f>
        <v>1.6141666666666667</v>
      </c>
      <c r="I67" s="120"/>
    </row>
    <row r="68" spans="2:9" s="75" customFormat="1" x14ac:dyDescent="0.2">
      <c r="B68" s="14" t="s">
        <v>422</v>
      </c>
      <c r="C68" s="94" t="s">
        <v>423</v>
      </c>
      <c r="D68" s="173"/>
      <c r="E68" s="174"/>
      <c r="F68" s="174"/>
      <c r="G68" s="175"/>
      <c r="H68" s="38"/>
      <c r="I68" s="120"/>
    </row>
    <row r="69" spans="2:9" x14ac:dyDescent="0.2">
      <c r="B69" s="14" t="s">
        <v>146</v>
      </c>
      <c r="C69" s="230" t="s">
        <v>58</v>
      </c>
      <c r="D69" s="253"/>
      <c r="E69" s="253"/>
      <c r="F69" s="253"/>
      <c r="G69" s="83"/>
      <c r="H69" s="17">
        <f>SUM(H60:H68)</f>
        <v>1666.9741666666669</v>
      </c>
      <c r="I69" s="18"/>
    </row>
    <row r="70" spans="2:9" x14ac:dyDescent="0.2">
      <c r="B70" s="259"/>
      <c r="C70" s="260"/>
      <c r="D70" s="260"/>
      <c r="E70" s="260"/>
      <c r="F70" s="260"/>
      <c r="G70" s="260"/>
      <c r="H70" s="261"/>
      <c r="I70" s="100"/>
    </row>
    <row r="71" spans="2:9" x14ac:dyDescent="0.2">
      <c r="B71" s="281" t="s">
        <v>68</v>
      </c>
      <c r="C71" s="282"/>
      <c r="D71" s="282"/>
      <c r="E71" s="282"/>
      <c r="F71" s="282"/>
      <c r="G71" s="154"/>
      <c r="H71" s="154"/>
      <c r="I71" s="100"/>
    </row>
    <row r="72" spans="2:9" x14ac:dyDescent="0.2">
      <c r="B72" s="96">
        <v>2</v>
      </c>
      <c r="C72" s="230" t="s">
        <v>67</v>
      </c>
      <c r="D72" s="253"/>
      <c r="E72" s="253"/>
      <c r="F72" s="253"/>
      <c r="G72" s="83"/>
      <c r="H72" s="96" t="s">
        <v>48</v>
      </c>
      <c r="I72" s="101"/>
    </row>
    <row r="73" spans="2:9" x14ac:dyDescent="0.2">
      <c r="B73" s="14" t="s">
        <v>38</v>
      </c>
      <c r="C73" s="84" t="s">
        <v>27</v>
      </c>
      <c r="D73" s="173" t="s">
        <v>135</v>
      </c>
      <c r="E73" s="174"/>
      <c r="F73" s="174"/>
      <c r="G73" s="175"/>
      <c r="H73" s="20">
        <f>H43</f>
        <v>336.19000000000005</v>
      </c>
      <c r="I73" s="107"/>
    </row>
    <row r="74" spans="2:9" x14ac:dyDescent="0.2">
      <c r="B74" s="14" t="s">
        <v>39</v>
      </c>
      <c r="C74" s="84" t="s">
        <v>28</v>
      </c>
      <c r="D74" s="173" t="s">
        <v>145</v>
      </c>
      <c r="E74" s="174"/>
      <c r="F74" s="174"/>
      <c r="G74" s="175"/>
      <c r="H74" s="20">
        <f>H56</f>
        <v>821.93000000000006</v>
      </c>
      <c r="I74" s="107"/>
    </row>
    <row r="75" spans="2:9" x14ac:dyDescent="0.2">
      <c r="B75" s="14" t="s">
        <v>40</v>
      </c>
      <c r="C75" s="84" t="s">
        <v>41</v>
      </c>
      <c r="D75" s="173" t="s">
        <v>146</v>
      </c>
      <c r="E75" s="174"/>
      <c r="F75" s="174"/>
      <c r="G75" s="175"/>
      <c r="H75" s="20">
        <f>H69</f>
        <v>1666.9741666666669</v>
      </c>
      <c r="I75" s="107"/>
    </row>
    <row r="76" spans="2:9" x14ac:dyDescent="0.2">
      <c r="B76" s="14" t="s">
        <v>147</v>
      </c>
      <c r="C76" s="230" t="s">
        <v>58</v>
      </c>
      <c r="D76" s="253"/>
      <c r="E76" s="253"/>
      <c r="F76" s="253"/>
      <c r="G76" s="83"/>
      <c r="H76" s="17">
        <f>SUM(H73:H75)</f>
        <v>2825.0941666666668</v>
      </c>
      <c r="I76" s="18"/>
    </row>
    <row r="77" spans="2:9" x14ac:dyDescent="0.2">
      <c r="B77" s="260"/>
      <c r="C77" s="260"/>
      <c r="D77" s="260"/>
      <c r="E77" s="260"/>
      <c r="F77" s="260"/>
      <c r="G77" s="260"/>
      <c r="H77" s="260"/>
      <c r="I77" s="101"/>
    </row>
    <row r="78" spans="2:9" x14ac:dyDescent="0.2">
      <c r="B78" s="100"/>
      <c r="C78" s="100"/>
      <c r="D78" s="100"/>
      <c r="E78" s="100"/>
      <c r="F78" s="100"/>
      <c r="G78" s="100"/>
      <c r="H78" s="100"/>
      <c r="I78" s="101"/>
    </row>
    <row r="79" spans="2:9" x14ac:dyDescent="0.2">
      <c r="B79" s="254" t="s">
        <v>69</v>
      </c>
      <c r="C79" s="255"/>
      <c r="D79" s="255"/>
      <c r="E79" s="255"/>
      <c r="F79" s="277"/>
      <c r="G79" s="147"/>
      <c r="H79" s="148"/>
      <c r="I79" s="101"/>
    </row>
    <row r="80" spans="2:9" x14ac:dyDescent="0.2">
      <c r="B80" s="96">
        <v>3</v>
      </c>
      <c r="C80" s="230" t="s">
        <v>59</v>
      </c>
      <c r="D80" s="253"/>
      <c r="E80" s="253"/>
      <c r="F80" s="231"/>
      <c r="G80" s="96" t="s">
        <v>1</v>
      </c>
      <c r="H80" s="96" t="s">
        <v>48</v>
      </c>
      <c r="I80" s="101"/>
    </row>
    <row r="81" spans="2:9" x14ac:dyDescent="0.2">
      <c r="B81" s="14" t="s">
        <v>4</v>
      </c>
      <c r="C81" s="85" t="s">
        <v>94</v>
      </c>
      <c r="D81" s="173" t="s">
        <v>164</v>
      </c>
      <c r="E81" s="174"/>
      <c r="F81" s="175"/>
      <c r="G81" s="39">
        <v>1</v>
      </c>
      <c r="H81" s="23">
        <f>TRUNC((H$82+H$83)*$G81,2)</f>
        <v>366.87</v>
      </c>
    </row>
    <row r="82" spans="2:9" x14ac:dyDescent="0.2">
      <c r="B82" s="14" t="s">
        <v>5</v>
      </c>
      <c r="C82" s="94" t="s">
        <v>95</v>
      </c>
      <c r="D82" s="173" t="s">
        <v>184</v>
      </c>
      <c r="E82" s="174"/>
      <c r="F82" s="175"/>
      <c r="G82" s="24"/>
      <c r="H82" s="20">
        <f>TRUNC((H$32+H$43+H$55+H$69-H60)/12,2)</f>
        <v>300.79000000000002</v>
      </c>
    </row>
    <row r="83" spans="2:9" x14ac:dyDescent="0.2">
      <c r="B83" s="14" t="s">
        <v>6</v>
      </c>
      <c r="C83" s="94" t="s">
        <v>96</v>
      </c>
      <c r="D83" s="247" t="s">
        <v>176</v>
      </c>
      <c r="E83" s="249"/>
      <c r="F83" s="41">
        <v>0.4</v>
      </c>
      <c r="G83" s="24"/>
      <c r="H83" s="20">
        <f>TRUNC(H$55*$F83,2)</f>
        <v>66.08</v>
      </c>
    </row>
    <row r="84" spans="2:9" x14ac:dyDescent="0.2">
      <c r="B84" s="14" t="s">
        <v>7</v>
      </c>
      <c r="C84" s="85" t="s">
        <v>97</v>
      </c>
      <c r="D84" s="173" t="s">
        <v>165</v>
      </c>
      <c r="E84" s="174"/>
      <c r="F84" s="175"/>
      <c r="G84" s="39">
        <v>1</v>
      </c>
      <c r="H84" s="88">
        <f>IF($G84&gt;=1,(TRUNC(H$85*$G84,2)),"ERRO")</f>
        <v>66.08</v>
      </c>
    </row>
    <row r="85" spans="2:9" x14ac:dyDescent="0.2">
      <c r="B85" s="14" t="s">
        <v>8</v>
      </c>
      <c r="C85" s="94" t="s">
        <v>98</v>
      </c>
      <c r="D85" s="247" t="s">
        <v>176</v>
      </c>
      <c r="E85" s="249"/>
      <c r="F85" s="41">
        <v>0.4</v>
      </c>
      <c r="G85" s="24"/>
      <c r="H85" s="20">
        <f>TRUNC(H$55*$F85,2)</f>
        <v>66.08</v>
      </c>
    </row>
    <row r="86" spans="2:9" x14ac:dyDescent="0.2">
      <c r="B86" s="14" t="s">
        <v>9</v>
      </c>
      <c r="C86" s="85" t="s">
        <v>181</v>
      </c>
      <c r="D86" s="283" t="s">
        <v>202</v>
      </c>
      <c r="E86" s="284"/>
      <c r="F86" s="40">
        <v>12</v>
      </c>
      <c r="G86" s="40">
        <v>3</v>
      </c>
      <c r="H86" s="20">
        <f>TRUNC(((H$32+H$43+H$56)/30)*$G86/$F86,2)</f>
        <v>24.05</v>
      </c>
    </row>
    <row r="87" spans="2:9" x14ac:dyDescent="0.2">
      <c r="B87" s="14" t="s">
        <v>151</v>
      </c>
      <c r="C87" s="230" t="s">
        <v>58</v>
      </c>
      <c r="D87" s="253"/>
      <c r="E87" s="253"/>
      <c r="F87" s="253"/>
      <c r="G87" s="83"/>
      <c r="H87" s="17">
        <f>H$81+H$84+H$86</f>
        <v>457</v>
      </c>
    </row>
    <row r="88" spans="2:9" x14ac:dyDescent="0.2">
      <c r="B88" s="97"/>
      <c r="C88" s="97"/>
      <c r="D88" s="97"/>
      <c r="E88" s="97"/>
      <c r="F88" s="97"/>
      <c r="G88" s="97"/>
      <c r="H88" s="97"/>
      <c r="I88" s="97"/>
    </row>
    <row r="89" spans="2:9" x14ac:dyDescent="0.2">
      <c r="B89" s="100"/>
      <c r="C89" s="100"/>
      <c r="D89" s="100"/>
      <c r="E89" s="100"/>
      <c r="F89" s="100"/>
      <c r="G89" s="100"/>
      <c r="H89" s="100"/>
      <c r="I89" s="101"/>
    </row>
    <row r="90" spans="2:9" x14ac:dyDescent="0.2">
      <c r="B90" s="254" t="s">
        <v>70</v>
      </c>
      <c r="C90" s="255"/>
      <c r="D90" s="255"/>
      <c r="E90" s="255"/>
      <c r="F90" s="277"/>
      <c r="G90" s="147"/>
      <c r="H90" s="148"/>
      <c r="I90" s="101"/>
    </row>
    <row r="91" spans="2:9" x14ac:dyDescent="0.2">
      <c r="B91" s="285" t="s">
        <v>88</v>
      </c>
      <c r="C91" s="286"/>
      <c r="D91" s="286"/>
      <c r="E91" s="286"/>
      <c r="F91" s="286"/>
      <c r="G91" s="155"/>
      <c r="H91" s="156"/>
      <c r="I91" s="101"/>
    </row>
    <row r="92" spans="2:9" x14ac:dyDescent="0.2">
      <c r="B92" s="96" t="s">
        <v>14</v>
      </c>
      <c r="C92" s="230" t="s">
        <v>89</v>
      </c>
      <c r="D92" s="253"/>
      <c r="E92" s="253"/>
      <c r="F92" s="231"/>
      <c r="G92" s="96" t="s">
        <v>102</v>
      </c>
      <c r="H92" s="96" t="s">
        <v>48</v>
      </c>
      <c r="I92" s="101"/>
    </row>
    <row r="93" spans="2:9" x14ac:dyDescent="0.2">
      <c r="B93" s="14" t="s">
        <v>4</v>
      </c>
      <c r="C93" s="94" t="s">
        <v>108</v>
      </c>
      <c r="D93" s="173" t="s">
        <v>157</v>
      </c>
      <c r="E93" s="174"/>
      <c r="F93" s="175"/>
      <c r="G93" s="40">
        <v>30</v>
      </c>
      <c r="H93" s="20">
        <f>TRUNC((H$95*$G93)/12,2)</f>
        <v>417.57</v>
      </c>
      <c r="I93" s="107"/>
    </row>
    <row r="94" spans="2:9" ht="22.5" x14ac:dyDescent="0.2">
      <c r="B94" s="14" t="s">
        <v>5</v>
      </c>
      <c r="C94" s="86" t="s">
        <v>163</v>
      </c>
      <c r="D94" s="176" t="s">
        <v>166</v>
      </c>
      <c r="E94" s="177"/>
      <c r="F94" s="178"/>
      <c r="G94" s="62">
        <v>8</v>
      </c>
      <c r="H94" s="20">
        <f>TRUNC((H$95*$G94)/12,2)</f>
        <v>111.35</v>
      </c>
      <c r="I94" s="107"/>
    </row>
    <row r="95" spans="2:9" x14ac:dyDescent="0.2">
      <c r="B95" s="14" t="s">
        <v>6</v>
      </c>
      <c r="C95" s="94" t="s">
        <v>110</v>
      </c>
      <c r="D95" s="173" t="s">
        <v>150</v>
      </c>
      <c r="E95" s="174"/>
      <c r="F95" s="174"/>
      <c r="G95" s="175"/>
      <c r="H95" s="20">
        <f>TRUNC((H$32+H$76+H$87)/30,2)</f>
        <v>167.03</v>
      </c>
      <c r="I95" s="107"/>
    </row>
    <row r="96" spans="2:9" x14ac:dyDescent="0.2">
      <c r="B96" s="14" t="s">
        <v>152</v>
      </c>
      <c r="C96" s="230" t="s">
        <v>58</v>
      </c>
      <c r="D96" s="253"/>
      <c r="E96" s="253"/>
      <c r="F96" s="253"/>
      <c r="G96" s="83"/>
      <c r="H96" s="17">
        <f>TRUNC(H$93+H$94,2)</f>
        <v>528.91999999999996</v>
      </c>
      <c r="I96" s="18"/>
    </row>
    <row r="97" spans="2:9" x14ac:dyDescent="0.2">
      <c r="B97" s="76"/>
      <c r="C97" s="77"/>
      <c r="D97" s="77"/>
      <c r="E97" s="77"/>
      <c r="F97" s="77"/>
      <c r="G97" s="77"/>
      <c r="H97" s="78"/>
      <c r="I97" s="25"/>
    </row>
    <row r="98" spans="2:9" x14ac:dyDescent="0.2">
      <c r="B98" s="281" t="s">
        <v>90</v>
      </c>
      <c r="C98" s="282"/>
      <c r="D98" s="282"/>
      <c r="E98" s="282"/>
      <c r="F98" s="282"/>
      <c r="G98" s="157"/>
      <c r="H98" s="158"/>
      <c r="I98" s="101"/>
    </row>
    <row r="99" spans="2:9" x14ac:dyDescent="0.2">
      <c r="B99" s="96" t="s">
        <v>15</v>
      </c>
      <c r="C99" s="230" t="s">
        <v>91</v>
      </c>
      <c r="D99" s="253"/>
      <c r="E99" s="253"/>
      <c r="F99" s="231"/>
      <c r="G99" s="96" t="s">
        <v>102</v>
      </c>
      <c r="H99" s="96" t="s">
        <v>48</v>
      </c>
      <c r="I99" s="101"/>
    </row>
    <row r="100" spans="2:9" ht="22.5" x14ac:dyDescent="0.2">
      <c r="B100" s="14" t="s">
        <v>4</v>
      </c>
      <c r="C100" s="86" t="s">
        <v>92</v>
      </c>
      <c r="D100" s="173" t="s">
        <v>186</v>
      </c>
      <c r="E100" s="174"/>
      <c r="F100" s="174"/>
      <c r="G100" s="40"/>
      <c r="H100" s="20">
        <f>TRUNC(((H$32+H76+H87)/220)*(1+50%)*G100,2)</f>
        <v>0</v>
      </c>
      <c r="I100" s="107"/>
    </row>
    <row r="101" spans="2:9" x14ac:dyDescent="0.2">
      <c r="B101" s="14" t="s">
        <v>153</v>
      </c>
      <c r="C101" s="230" t="s">
        <v>58</v>
      </c>
      <c r="D101" s="253"/>
      <c r="E101" s="253"/>
      <c r="F101" s="253"/>
      <c r="G101" s="133"/>
      <c r="H101" s="17">
        <f>H100</f>
        <v>0</v>
      </c>
      <c r="I101" s="107"/>
    </row>
    <row r="102" spans="2:9" x14ac:dyDescent="0.2">
      <c r="B102" s="99"/>
      <c r="C102" s="98"/>
      <c r="D102" s="98"/>
      <c r="E102" s="98"/>
      <c r="F102" s="98"/>
      <c r="G102" s="100"/>
      <c r="H102" s="172"/>
      <c r="I102" s="123"/>
    </row>
    <row r="103" spans="2:9" x14ac:dyDescent="0.2">
      <c r="B103" s="281" t="s">
        <v>71</v>
      </c>
      <c r="C103" s="282"/>
      <c r="D103" s="282"/>
      <c r="E103" s="282"/>
      <c r="F103" s="282"/>
      <c r="G103" s="157"/>
      <c r="H103" s="158"/>
      <c r="I103" s="101"/>
    </row>
    <row r="104" spans="2:9" x14ac:dyDescent="0.2">
      <c r="B104" s="96">
        <v>4</v>
      </c>
      <c r="C104" s="230" t="s">
        <v>72</v>
      </c>
      <c r="D104" s="253"/>
      <c r="E104" s="253"/>
      <c r="F104" s="253"/>
      <c r="G104" s="231"/>
      <c r="H104" s="96" t="s">
        <v>48</v>
      </c>
      <c r="I104" s="101"/>
    </row>
    <row r="105" spans="2:9" x14ac:dyDescent="0.2">
      <c r="B105" s="14" t="s">
        <v>14</v>
      </c>
      <c r="C105" s="94" t="s">
        <v>42</v>
      </c>
      <c r="D105" s="173" t="s">
        <v>152</v>
      </c>
      <c r="E105" s="174"/>
      <c r="F105" s="174"/>
      <c r="G105" s="175"/>
      <c r="H105" s="20">
        <f>H96</f>
        <v>528.91999999999996</v>
      </c>
      <c r="I105" s="107"/>
    </row>
    <row r="106" spans="2:9" x14ac:dyDescent="0.2">
      <c r="B106" s="14" t="s">
        <v>15</v>
      </c>
      <c r="C106" s="94" t="s">
        <v>44</v>
      </c>
      <c r="D106" s="173" t="s">
        <v>153</v>
      </c>
      <c r="E106" s="174"/>
      <c r="F106" s="174"/>
      <c r="G106" s="175"/>
      <c r="H106" s="20">
        <f>H101</f>
        <v>0</v>
      </c>
      <c r="I106" s="107"/>
    </row>
    <row r="107" spans="2:9" x14ac:dyDescent="0.2">
      <c r="B107" s="14" t="s">
        <v>154</v>
      </c>
      <c r="C107" s="230" t="s">
        <v>58</v>
      </c>
      <c r="D107" s="253"/>
      <c r="E107" s="253"/>
      <c r="F107" s="253"/>
      <c r="G107" s="83"/>
      <c r="H107" s="17">
        <f>SUM(H105:H106)</f>
        <v>528.91999999999996</v>
      </c>
      <c r="I107" s="18"/>
    </row>
    <row r="108" spans="2:9" x14ac:dyDescent="0.2">
      <c r="B108" s="100"/>
      <c r="C108" s="100"/>
      <c r="D108" s="100"/>
      <c r="E108" s="100"/>
      <c r="F108" s="100"/>
      <c r="G108" s="100"/>
      <c r="H108" s="100"/>
      <c r="I108" s="101"/>
    </row>
    <row r="109" spans="2:9" x14ac:dyDescent="0.2">
      <c r="B109" s="100"/>
      <c r="C109" s="100"/>
      <c r="D109" s="100"/>
      <c r="E109" s="100"/>
      <c r="F109" s="100"/>
      <c r="G109" s="100"/>
      <c r="H109" s="100"/>
      <c r="I109" s="101"/>
    </row>
    <row r="110" spans="2:9" x14ac:dyDescent="0.2">
      <c r="B110" s="254" t="s">
        <v>73</v>
      </c>
      <c r="C110" s="255"/>
      <c r="D110" s="255"/>
      <c r="E110" s="255"/>
      <c r="F110" s="277"/>
      <c r="G110" s="147"/>
      <c r="H110" s="148"/>
      <c r="I110" s="101"/>
    </row>
    <row r="111" spans="2:9" x14ac:dyDescent="0.2">
      <c r="B111" s="96">
        <v>5</v>
      </c>
      <c r="C111" s="287" t="s">
        <v>60</v>
      </c>
      <c r="D111" s="288"/>
      <c r="E111" s="288"/>
      <c r="F111" s="288"/>
      <c r="G111" s="289"/>
      <c r="H111" s="96" t="s">
        <v>48</v>
      </c>
      <c r="I111" s="101"/>
    </row>
    <row r="112" spans="2:9" x14ac:dyDescent="0.2">
      <c r="B112" s="14" t="s">
        <v>4</v>
      </c>
      <c r="C112" s="70" t="s">
        <v>45</v>
      </c>
      <c r="D112" s="71"/>
      <c r="E112" s="71"/>
      <c r="F112" s="71"/>
      <c r="G112" s="72"/>
      <c r="H112" s="73">
        <f>'Insumos M.O.'!G25</f>
        <v>201.09999999999997</v>
      </c>
      <c r="I112" s="107"/>
    </row>
    <row r="113" spans="2:9" x14ac:dyDescent="0.2">
      <c r="B113" s="14" t="s">
        <v>5</v>
      </c>
      <c r="C113" s="70" t="s">
        <v>12</v>
      </c>
      <c r="D113" s="71"/>
      <c r="E113" s="71"/>
      <c r="F113" s="71"/>
      <c r="G113" s="72"/>
      <c r="H113" s="73">
        <f>'Insumos M.O.'!G39</f>
        <v>257.83299999999997</v>
      </c>
      <c r="I113" s="107"/>
    </row>
    <row r="114" spans="2:9" x14ac:dyDescent="0.2">
      <c r="B114" s="14" t="s">
        <v>6</v>
      </c>
      <c r="C114" s="70" t="s">
        <v>430</v>
      </c>
      <c r="D114" s="71"/>
      <c r="E114" s="71"/>
      <c r="F114" s="71"/>
      <c r="G114" s="72"/>
      <c r="H114" s="73">
        <f>'Insumos M.O.'!H52</f>
        <v>8.02</v>
      </c>
      <c r="I114" s="107"/>
    </row>
    <row r="115" spans="2:9" x14ac:dyDescent="0.2">
      <c r="B115" s="14" t="s">
        <v>7</v>
      </c>
      <c r="C115" s="70" t="s">
        <v>2</v>
      </c>
      <c r="D115" s="71"/>
      <c r="E115" s="71"/>
      <c r="F115" s="71"/>
      <c r="G115" s="72"/>
      <c r="H115" s="73"/>
      <c r="I115" s="107"/>
    </row>
    <row r="116" spans="2:9" x14ac:dyDescent="0.2">
      <c r="B116" s="14" t="s">
        <v>155</v>
      </c>
      <c r="C116" s="230" t="s">
        <v>58</v>
      </c>
      <c r="D116" s="253"/>
      <c r="E116" s="253"/>
      <c r="F116" s="253"/>
      <c r="G116" s="83"/>
      <c r="H116" s="17">
        <f>SUM(H112:H115)</f>
        <v>466.95299999999992</v>
      </c>
      <c r="I116" s="18"/>
    </row>
    <row r="117" spans="2:9" x14ac:dyDescent="0.2">
      <c r="B117" s="100"/>
      <c r="C117" s="100"/>
      <c r="D117" s="100"/>
      <c r="E117" s="100"/>
      <c r="F117" s="100"/>
      <c r="G117" s="79"/>
      <c r="H117" s="74"/>
      <c r="I117" s="18"/>
    </row>
    <row r="118" spans="2:9" x14ac:dyDescent="0.2">
      <c r="B118" s="100"/>
      <c r="C118" s="100"/>
      <c r="D118" s="100"/>
      <c r="E118" s="100"/>
      <c r="F118" s="100"/>
      <c r="G118" s="100"/>
      <c r="H118" s="100"/>
      <c r="I118" s="101"/>
    </row>
    <row r="119" spans="2:9" x14ac:dyDescent="0.2">
      <c r="B119" s="254" t="s">
        <v>74</v>
      </c>
      <c r="C119" s="255"/>
      <c r="D119" s="255"/>
      <c r="E119" s="255"/>
      <c r="F119" s="277"/>
      <c r="G119" s="147"/>
      <c r="H119" s="148"/>
      <c r="I119" s="101"/>
    </row>
    <row r="120" spans="2:9" x14ac:dyDescent="0.2">
      <c r="B120" s="96">
        <v>6</v>
      </c>
      <c r="C120" s="230" t="s">
        <v>61</v>
      </c>
      <c r="D120" s="253"/>
      <c r="E120" s="253"/>
      <c r="F120" s="231"/>
      <c r="G120" s="96" t="s">
        <v>1</v>
      </c>
      <c r="H120" s="96" t="s">
        <v>48</v>
      </c>
      <c r="I120" s="101"/>
    </row>
    <row r="121" spans="2:9" x14ac:dyDescent="0.2">
      <c r="B121" s="14" t="s">
        <v>4</v>
      </c>
      <c r="C121" s="94" t="s">
        <v>16</v>
      </c>
      <c r="D121" s="247" t="s">
        <v>167</v>
      </c>
      <c r="E121" s="248"/>
      <c r="F121" s="249"/>
      <c r="G121" s="51">
        <v>0.05</v>
      </c>
      <c r="H121" s="20">
        <f>TRUNC(H$138*$G121,2)</f>
        <v>300.35000000000002</v>
      </c>
      <c r="I121" s="107"/>
    </row>
    <row r="122" spans="2:9" x14ac:dyDescent="0.2">
      <c r="B122" s="14" t="s">
        <v>5</v>
      </c>
      <c r="C122" s="94" t="s">
        <v>3</v>
      </c>
      <c r="D122" s="247" t="s">
        <v>168</v>
      </c>
      <c r="E122" s="248"/>
      <c r="F122" s="249"/>
      <c r="G122" s="51">
        <v>0.1</v>
      </c>
      <c r="H122" s="20">
        <f>TRUNC((H$138+H$121)*$G122,2)</f>
        <v>630.73</v>
      </c>
      <c r="I122" s="107"/>
    </row>
    <row r="123" spans="2:9" x14ac:dyDescent="0.2">
      <c r="B123" s="14" t="s">
        <v>6</v>
      </c>
      <c r="C123" s="94" t="s">
        <v>120</v>
      </c>
      <c r="D123" s="247" t="s">
        <v>169</v>
      </c>
      <c r="E123" s="248"/>
      <c r="F123" s="249"/>
      <c r="G123" s="53">
        <f>1-(G124+G125+G126)</f>
        <v>0.88749999999999996</v>
      </c>
      <c r="H123" s="26">
        <f>TRUNC(((H$138+H$121+H$122)/$G123),2)</f>
        <v>7817.56</v>
      </c>
      <c r="I123" s="110"/>
    </row>
    <row r="124" spans="2:9" x14ac:dyDescent="0.2">
      <c r="B124" s="14" t="s">
        <v>21</v>
      </c>
      <c r="C124" s="94" t="s">
        <v>18</v>
      </c>
      <c r="D124" s="247" t="s">
        <v>170</v>
      </c>
      <c r="E124" s="248"/>
      <c r="F124" s="249"/>
      <c r="G124" s="52">
        <v>1.6500000000000001E-2</v>
      </c>
      <c r="H124" s="20">
        <f>TRUNC(H$123*$G124,2)</f>
        <v>128.97999999999999</v>
      </c>
      <c r="I124" s="107"/>
    </row>
    <row r="125" spans="2:9" x14ac:dyDescent="0.2">
      <c r="B125" s="14" t="s">
        <v>22</v>
      </c>
      <c r="C125" s="94" t="s">
        <v>19</v>
      </c>
      <c r="D125" s="247" t="s">
        <v>170</v>
      </c>
      <c r="E125" s="248"/>
      <c r="F125" s="249"/>
      <c r="G125" s="52">
        <v>7.5999999999999998E-2</v>
      </c>
      <c r="H125" s="20">
        <f>TRUNC(H$123*$G125,2)</f>
        <v>594.13</v>
      </c>
      <c r="I125" s="107"/>
    </row>
    <row r="126" spans="2:9" x14ac:dyDescent="0.2">
      <c r="B126" s="14" t="s">
        <v>23</v>
      </c>
      <c r="C126" s="94" t="s">
        <v>20</v>
      </c>
      <c r="D126" s="247" t="s">
        <v>170</v>
      </c>
      <c r="E126" s="248"/>
      <c r="F126" s="249"/>
      <c r="G126" s="52">
        <v>0.02</v>
      </c>
      <c r="H126" s="20">
        <f>TRUNC(H$123*$G126,2)</f>
        <v>156.35</v>
      </c>
      <c r="I126" s="107"/>
    </row>
    <row r="127" spans="2:9" x14ac:dyDescent="0.2">
      <c r="B127" s="14" t="s">
        <v>156</v>
      </c>
      <c r="C127" s="90" t="s">
        <v>58</v>
      </c>
      <c r="D127" s="302" t="s">
        <v>158</v>
      </c>
      <c r="E127" s="302"/>
      <c r="F127" s="302"/>
      <c r="G127" s="171"/>
      <c r="H127" s="17">
        <f>SUM(H121:H126)-H123</f>
        <v>1810.54</v>
      </c>
      <c r="I127" s="18"/>
    </row>
    <row r="128" spans="2:9" x14ac:dyDescent="0.2">
      <c r="B128" s="68"/>
      <c r="C128" s="68"/>
      <c r="D128" s="68"/>
      <c r="E128" s="68"/>
      <c r="F128" s="68"/>
      <c r="G128" s="68"/>
      <c r="H128" s="80"/>
      <c r="I128" s="27"/>
    </row>
    <row r="129" spans="2:9" x14ac:dyDescent="0.2">
      <c r="B129" s="303" t="s">
        <v>196</v>
      </c>
      <c r="C129" s="303"/>
      <c r="D129" s="303"/>
      <c r="E129" s="303"/>
      <c r="F129" s="303"/>
      <c r="G129" s="303"/>
      <c r="H129" s="303"/>
      <c r="I129" s="117"/>
    </row>
    <row r="130" spans="2:9" x14ac:dyDescent="0.2">
      <c r="B130" s="93"/>
      <c r="C130" s="93"/>
      <c r="D130" s="93"/>
      <c r="E130" s="93"/>
      <c r="F130" s="93"/>
      <c r="G130" s="93"/>
      <c r="H130" s="93"/>
      <c r="I130" s="117"/>
    </row>
    <row r="131" spans="2:9" x14ac:dyDescent="0.2">
      <c r="B131" s="254" t="s">
        <v>197</v>
      </c>
      <c r="C131" s="255"/>
      <c r="D131" s="255"/>
      <c r="E131" s="255"/>
      <c r="F131" s="255"/>
      <c r="G131" s="165"/>
      <c r="H131" s="148"/>
      <c r="I131" s="101"/>
    </row>
    <row r="132" spans="2:9" ht="12.75" customHeight="1" x14ac:dyDescent="0.2">
      <c r="B132" s="163"/>
      <c r="C132" s="304" t="s">
        <v>121</v>
      </c>
      <c r="D132" s="305"/>
      <c r="E132" s="305"/>
      <c r="F132" s="305"/>
      <c r="G132" s="164"/>
      <c r="H132" s="146" t="s">
        <v>48</v>
      </c>
      <c r="I132" s="101"/>
    </row>
    <row r="133" spans="2:9" x14ac:dyDescent="0.2">
      <c r="B133" s="14" t="s">
        <v>4</v>
      </c>
      <c r="C133" s="86" t="s">
        <v>76</v>
      </c>
      <c r="D133" s="173" t="s">
        <v>133</v>
      </c>
      <c r="E133" s="174"/>
      <c r="F133" s="174"/>
      <c r="G133" s="175"/>
      <c r="H133" s="20">
        <f>H32</f>
        <v>1729.04</v>
      </c>
      <c r="I133" s="107"/>
    </row>
    <row r="134" spans="2:9" ht="22.5" x14ac:dyDescent="0.2">
      <c r="B134" s="14" t="s">
        <v>5</v>
      </c>
      <c r="C134" s="86" t="s">
        <v>77</v>
      </c>
      <c r="D134" s="173" t="s">
        <v>147</v>
      </c>
      <c r="E134" s="174"/>
      <c r="F134" s="174"/>
      <c r="G134" s="175"/>
      <c r="H134" s="20">
        <f>H76</f>
        <v>2825.0941666666668</v>
      </c>
      <c r="I134" s="107"/>
    </row>
    <row r="135" spans="2:9" x14ac:dyDescent="0.2">
      <c r="B135" s="14" t="s">
        <v>6</v>
      </c>
      <c r="C135" s="86" t="s">
        <v>78</v>
      </c>
      <c r="D135" s="173" t="s">
        <v>151</v>
      </c>
      <c r="E135" s="174"/>
      <c r="F135" s="174"/>
      <c r="G135" s="175"/>
      <c r="H135" s="20">
        <f>H87</f>
        <v>457</v>
      </c>
      <c r="I135" s="107"/>
    </row>
    <row r="136" spans="2:9" ht="22.5" x14ac:dyDescent="0.2">
      <c r="B136" s="14" t="s">
        <v>7</v>
      </c>
      <c r="C136" s="86" t="s">
        <v>43</v>
      </c>
      <c r="D136" s="173" t="s">
        <v>154</v>
      </c>
      <c r="E136" s="174"/>
      <c r="F136" s="174"/>
      <c r="G136" s="175"/>
      <c r="H136" s="20">
        <f>H107</f>
        <v>528.91999999999996</v>
      </c>
      <c r="I136" s="107"/>
    </row>
    <row r="137" spans="2:9" x14ac:dyDescent="0.2">
      <c r="B137" s="14" t="s">
        <v>8</v>
      </c>
      <c r="C137" s="86" t="s">
        <v>79</v>
      </c>
      <c r="D137" s="173" t="s">
        <v>155</v>
      </c>
      <c r="E137" s="174"/>
      <c r="F137" s="174"/>
      <c r="G137" s="175"/>
      <c r="H137" s="20">
        <f>H116</f>
        <v>466.95299999999992</v>
      </c>
      <c r="I137" s="107"/>
    </row>
    <row r="138" spans="2:9" x14ac:dyDescent="0.2">
      <c r="B138" s="92" t="s">
        <v>9</v>
      </c>
      <c r="C138" s="85" t="s">
        <v>46</v>
      </c>
      <c r="D138" s="179" t="s">
        <v>174</v>
      </c>
      <c r="E138" s="180"/>
      <c r="F138" s="180"/>
      <c r="G138" s="181"/>
      <c r="H138" s="23">
        <f>SUM(H133:H137)</f>
        <v>6007.0071666666663</v>
      </c>
      <c r="I138" s="18"/>
    </row>
    <row r="139" spans="2:9" x14ac:dyDescent="0.2">
      <c r="B139" s="14" t="s">
        <v>10</v>
      </c>
      <c r="C139" s="94" t="s">
        <v>80</v>
      </c>
      <c r="D139" s="173" t="s">
        <v>156</v>
      </c>
      <c r="E139" s="174"/>
      <c r="F139" s="174"/>
      <c r="G139" s="175"/>
      <c r="H139" s="20">
        <f>H127</f>
        <v>1810.54</v>
      </c>
      <c r="I139" s="107"/>
    </row>
    <row r="140" spans="2:9" x14ac:dyDescent="0.2">
      <c r="B140" s="14" t="s">
        <v>159</v>
      </c>
      <c r="C140" s="89" t="s">
        <v>75</v>
      </c>
      <c r="D140" s="182" t="s">
        <v>173</v>
      </c>
      <c r="E140" s="170"/>
      <c r="F140" s="170"/>
      <c r="G140" s="171"/>
      <c r="H140" s="29">
        <f>SUM(H138:H139)</f>
        <v>7817.5471666666663</v>
      </c>
      <c r="I140" s="121"/>
    </row>
    <row r="141" spans="2:9" ht="12.75" customHeight="1" x14ac:dyDescent="0.2">
      <c r="B141" s="12"/>
      <c r="C141" s="12"/>
      <c r="D141" s="12"/>
      <c r="E141" s="12"/>
      <c r="F141" s="12"/>
      <c r="G141" s="12"/>
      <c r="H141" s="30"/>
      <c r="I141" s="30"/>
    </row>
    <row r="142" spans="2:9" x14ac:dyDescent="0.2">
      <c r="B142" s="303" t="s">
        <v>198</v>
      </c>
      <c r="C142" s="303"/>
      <c r="D142" s="303"/>
      <c r="E142" s="303"/>
      <c r="F142" s="303"/>
      <c r="I142" s="12"/>
    </row>
    <row r="143" spans="2:9" x14ac:dyDescent="0.2">
      <c r="B143" s="81"/>
      <c r="C143" s="81"/>
      <c r="D143" s="81"/>
      <c r="E143" s="75"/>
      <c r="F143" s="75"/>
      <c r="I143" s="12"/>
    </row>
    <row r="144" spans="2:9" x14ac:dyDescent="0.2">
      <c r="B144" s="306" t="s">
        <v>199</v>
      </c>
      <c r="C144" s="307"/>
      <c r="D144" s="307"/>
      <c r="E144" s="307"/>
      <c r="F144" s="307"/>
      <c r="G144" s="165"/>
      <c r="H144" s="148"/>
      <c r="I144" s="118"/>
    </row>
    <row r="145" spans="2:9" x14ac:dyDescent="0.2">
      <c r="B145" s="134" t="s">
        <v>4</v>
      </c>
      <c r="C145" s="166" t="s">
        <v>103</v>
      </c>
      <c r="D145" s="295" t="s">
        <v>159</v>
      </c>
      <c r="E145" s="296"/>
      <c r="F145" s="296"/>
      <c r="G145" s="167"/>
      <c r="H145" s="168">
        <f>H140</f>
        <v>7817.5471666666663</v>
      </c>
      <c r="I145" s="116"/>
    </row>
    <row r="146" spans="2:9" ht="22.5" x14ac:dyDescent="0.2">
      <c r="B146" s="14" t="s">
        <v>5</v>
      </c>
      <c r="C146" s="87" t="s">
        <v>161</v>
      </c>
      <c r="D146" s="297" t="s">
        <v>162</v>
      </c>
      <c r="E146" s="298"/>
      <c r="F146" s="298"/>
      <c r="G146" s="161"/>
      <c r="H146" s="9">
        <f>H43+H87+H105</f>
        <v>1322.1100000000001</v>
      </c>
      <c r="I146" s="111"/>
    </row>
    <row r="147" spans="2:9" ht="22.5" x14ac:dyDescent="0.2">
      <c r="B147" s="14" t="s">
        <v>6</v>
      </c>
      <c r="C147" s="87" t="s">
        <v>177</v>
      </c>
      <c r="D147" s="297" t="s">
        <v>185</v>
      </c>
      <c r="E147" s="298"/>
      <c r="F147" s="298"/>
      <c r="G147" s="162"/>
      <c r="H147" s="115">
        <f>TRUNC((H$43*$G56),2)</f>
        <v>133.80000000000001</v>
      </c>
      <c r="I147" s="116"/>
    </row>
    <row r="148" spans="2:9" ht="12.75" customHeight="1" x14ac:dyDescent="0.2">
      <c r="B148" s="14" t="s">
        <v>7</v>
      </c>
      <c r="C148" s="87" t="s">
        <v>16</v>
      </c>
      <c r="D148" s="299" t="s">
        <v>171</v>
      </c>
      <c r="E148" s="300"/>
      <c r="F148" s="301"/>
      <c r="G148" s="10">
        <f>G121</f>
        <v>0.05</v>
      </c>
      <c r="H148" s="9">
        <f>TRUNC((H$146+H$147)*$G148,2)</f>
        <v>72.790000000000006</v>
      </c>
      <c r="I148" s="111"/>
    </row>
    <row r="149" spans="2:9" ht="12.75" customHeight="1" x14ac:dyDescent="0.2">
      <c r="B149" s="14" t="s">
        <v>8</v>
      </c>
      <c r="C149" s="87" t="s">
        <v>3</v>
      </c>
      <c r="D149" s="299" t="s">
        <v>172</v>
      </c>
      <c r="E149" s="300"/>
      <c r="F149" s="301"/>
      <c r="G149" s="10">
        <f>G122</f>
        <v>0.1</v>
      </c>
      <c r="H149" s="9">
        <f>TRUNC((H$146+H$147+H$148)*$G149,2)</f>
        <v>152.87</v>
      </c>
      <c r="I149" s="111"/>
    </row>
    <row r="150" spans="2:9" ht="12.75" customHeight="1" x14ac:dyDescent="0.2">
      <c r="B150" s="14" t="s">
        <v>9</v>
      </c>
      <c r="C150" s="87" t="s">
        <v>104</v>
      </c>
      <c r="D150" s="299" t="s">
        <v>179</v>
      </c>
      <c r="E150" s="300"/>
      <c r="F150" s="301"/>
      <c r="G150" s="10">
        <f>G124+G125+G126</f>
        <v>0.1125</v>
      </c>
      <c r="H150" s="9">
        <f>TRUNC((H$146+H$147+H$148+H$149)/(1-$G150)-(H$146+H$147+H$148+H$149),2)</f>
        <v>213.15</v>
      </c>
      <c r="I150" s="111"/>
    </row>
    <row r="151" spans="2:9" ht="22.5" x14ac:dyDescent="0.2">
      <c r="B151" s="14" t="s">
        <v>10</v>
      </c>
      <c r="C151" s="135" t="s">
        <v>105</v>
      </c>
      <c r="D151" s="159" t="s">
        <v>180</v>
      </c>
      <c r="E151" s="160"/>
      <c r="F151" s="160"/>
      <c r="G151" s="161"/>
      <c r="H151" s="136">
        <f>SUM(H146:H150)</f>
        <v>1894.7200000000003</v>
      </c>
      <c r="I151" s="112"/>
    </row>
    <row r="152" spans="2:9" x14ac:dyDescent="0.2">
      <c r="B152" s="14" t="s">
        <v>160</v>
      </c>
      <c r="C152" s="91" t="s">
        <v>130</v>
      </c>
      <c r="D152" s="290" t="s">
        <v>178</v>
      </c>
      <c r="E152" s="291"/>
      <c r="F152" s="291"/>
      <c r="G152" s="169"/>
      <c r="H152" s="31">
        <f>H145-H151</f>
        <v>5922.827166666666</v>
      </c>
      <c r="I152" s="122"/>
    </row>
    <row r="153" spans="2:9" ht="45" customHeight="1" x14ac:dyDescent="0.2">
      <c r="B153" s="292" t="s">
        <v>129</v>
      </c>
      <c r="C153" s="293"/>
      <c r="D153" s="293"/>
      <c r="E153" s="293"/>
      <c r="F153" s="293"/>
      <c r="G153" s="294"/>
      <c r="H153" s="145"/>
      <c r="I153" s="113"/>
    </row>
  </sheetData>
  <mergeCells count="105">
    <mergeCell ref="D152:F152"/>
    <mergeCell ref="B153:G153"/>
    <mergeCell ref="D145:F145"/>
    <mergeCell ref="D146:F146"/>
    <mergeCell ref="D147:F147"/>
    <mergeCell ref="D148:F148"/>
    <mergeCell ref="D149:F149"/>
    <mergeCell ref="D150:F150"/>
    <mergeCell ref="D127:F127"/>
    <mergeCell ref="B129:H129"/>
    <mergeCell ref="B131:F131"/>
    <mergeCell ref="C132:F132"/>
    <mergeCell ref="B142:F142"/>
    <mergeCell ref="B144:F144"/>
    <mergeCell ref="D121:F121"/>
    <mergeCell ref="D122:F122"/>
    <mergeCell ref="D123:F123"/>
    <mergeCell ref="D124:F124"/>
    <mergeCell ref="D125:F125"/>
    <mergeCell ref="D126:F126"/>
    <mergeCell ref="C107:F107"/>
    <mergeCell ref="B110:F110"/>
    <mergeCell ref="C111:G111"/>
    <mergeCell ref="C116:F116"/>
    <mergeCell ref="B119:F119"/>
    <mergeCell ref="C120:F120"/>
    <mergeCell ref="C96:F96"/>
    <mergeCell ref="B98:F98"/>
    <mergeCell ref="C99:F99"/>
    <mergeCell ref="C101:F101"/>
    <mergeCell ref="B103:F103"/>
    <mergeCell ref="C104:G104"/>
    <mergeCell ref="D85:E85"/>
    <mergeCell ref="D86:E86"/>
    <mergeCell ref="C87:F87"/>
    <mergeCell ref="B90:F90"/>
    <mergeCell ref="B91:F91"/>
    <mergeCell ref="C92:F92"/>
    <mergeCell ref="C72:F72"/>
    <mergeCell ref="C76:F76"/>
    <mergeCell ref="B77:H77"/>
    <mergeCell ref="B79:F79"/>
    <mergeCell ref="C80:F80"/>
    <mergeCell ref="D83:E83"/>
    <mergeCell ref="B57:H57"/>
    <mergeCell ref="B58:F58"/>
    <mergeCell ref="C59:F59"/>
    <mergeCell ref="C69:F69"/>
    <mergeCell ref="B70:H70"/>
    <mergeCell ref="B71:F71"/>
    <mergeCell ref="D51:F51"/>
    <mergeCell ref="D52:F52"/>
    <mergeCell ref="D53:F53"/>
    <mergeCell ref="D54:F54"/>
    <mergeCell ref="D55:F55"/>
    <mergeCell ref="C56:F56"/>
    <mergeCell ref="D48:F48"/>
    <mergeCell ref="B49:B50"/>
    <mergeCell ref="C49:C50"/>
    <mergeCell ref="D49:D50"/>
    <mergeCell ref="G49:G50"/>
    <mergeCell ref="H49:H50"/>
    <mergeCell ref="D42:F42"/>
    <mergeCell ref="C43:F43"/>
    <mergeCell ref="B44:H44"/>
    <mergeCell ref="B45:F45"/>
    <mergeCell ref="C46:F46"/>
    <mergeCell ref="D47:F47"/>
    <mergeCell ref="C33:F34"/>
    <mergeCell ref="B37:F37"/>
    <mergeCell ref="B38:F38"/>
    <mergeCell ref="B39:F39"/>
    <mergeCell ref="C40:F40"/>
    <mergeCell ref="D41:F41"/>
    <mergeCell ref="D26:F26"/>
    <mergeCell ref="D28:F28"/>
    <mergeCell ref="D29:F29"/>
    <mergeCell ref="D30:F30"/>
    <mergeCell ref="D31:F31"/>
    <mergeCell ref="C32:F32"/>
    <mergeCell ref="B19:B20"/>
    <mergeCell ref="C19:F19"/>
    <mergeCell ref="C20:F20"/>
    <mergeCell ref="B23:F23"/>
    <mergeCell ref="C24:F24"/>
    <mergeCell ref="D25:F25"/>
    <mergeCell ref="B17:B18"/>
    <mergeCell ref="C17:F17"/>
    <mergeCell ref="C18:F18"/>
    <mergeCell ref="B11:B12"/>
    <mergeCell ref="C11:F11"/>
    <mergeCell ref="C12:F12"/>
    <mergeCell ref="B13:B14"/>
    <mergeCell ref="C13:F13"/>
    <mergeCell ref="C14:F14"/>
    <mergeCell ref="B2:H2"/>
    <mergeCell ref="B3:H3"/>
    <mergeCell ref="D6:F6"/>
    <mergeCell ref="B8:F8"/>
    <mergeCell ref="B9:B10"/>
    <mergeCell ref="C9:F9"/>
    <mergeCell ref="C10:F10"/>
    <mergeCell ref="B15:B16"/>
    <mergeCell ref="C15:F15"/>
    <mergeCell ref="C16:F16"/>
  </mergeCells>
  <dataValidations disablePrompts="1" count="11">
    <dataValidation type="list" allowBlank="1" showInputMessage="1" showErrorMessage="1" sqref="G26" xr:uid="{AF1A66DE-D25E-4517-98FC-2FBE8F54BDC0}">
      <formula1>"0%, 30%"</formula1>
    </dataValidation>
    <dataValidation type="list" allowBlank="1" showInputMessage="1" showErrorMessage="1" sqref="G27" xr:uid="{A5FE38E7-9A26-4EC3-9932-CE4477EB0F03}">
      <formula1>"0%, 10%, 20%, 40%"</formula1>
    </dataValidation>
    <dataValidation type="list" allowBlank="1" showInputMessage="1" showErrorMessage="1" sqref="E50" xr:uid="{604124A1-5013-4F56-9525-A7B91AF0A54F}">
      <formula1>"1%, 2%, 3%"</formula1>
    </dataValidation>
    <dataValidation type="list" allowBlank="1" showInputMessage="1" showErrorMessage="1" sqref="G28:G29" xr:uid="{987028C9-860A-4938-B34C-9F957223F900}">
      <formula1>"0, 20%"</formula1>
    </dataValidation>
    <dataValidation type="list" allowBlank="1" showInputMessage="1" showErrorMessage="1" sqref="G125" xr:uid="{510BFEEE-C706-43B5-8421-2931A66BE336}">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124" xr:uid="{DC7E67DE-CE1E-40BD-B30E-B91695F72327}">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list" allowBlank="1" showInputMessage="1" showErrorMessage="1" sqref="G30" xr:uid="{1D9FBC22-D4E6-41FB-AC66-79559370A573}">
      <formula1>"0, 50%, 100%"</formula1>
    </dataValidation>
    <dataValidation type="whole" allowBlank="1" showInputMessage="1" showErrorMessage="1" errorTitle="Valor errado" error="Quantidade fixa de dias. Prencher com 30" sqref="G93" xr:uid="{4007CECA-3914-467F-BE82-E2BA8564C07D}">
      <formula1>30</formula1>
      <formula2>30</formula2>
    </dataValidation>
    <dataValidation type="list" operator="equal" allowBlank="1" showInputMessage="1" showErrorMessage="1" errorTitle="Valor errado" error="Percentual fixo. Preencher com 40%." sqref="F83 F85" xr:uid="{0042A2FB-5F09-4697-9701-EE5DD8216EF4}">
      <formula1>"40%"</formula1>
    </dataValidation>
    <dataValidation type="custom" allowBlank="1" showInputMessage="1" showErrorMessage="1" sqref="G123" xr:uid="{307F9A4F-42FA-4BF5-A62A-7258BC126500}">
      <formula1>1-(G124+G125+G126)</formula1>
    </dataValidation>
    <dataValidation type="list" allowBlank="1" showInputMessage="1" showErrorMessage="1" sqref="G86" xr:uid="{E5416FBF-7DF6-455F-B60B-9F1B072362D1}">
      <formula1>"3,6,9,12,15"</formula1>
    </dataValidation>
  </dataValidations>
  <pageMargins left="0.511811024" right="0.511811024" top="0.78740157499999996" bottom="0.78740157499999996" header="0.31496062000000002" footer="0.31496062000000002"/>
  <pageSetup paperSize="9" scale="74" orientation="portrait" verticalDpi="300" r:id="rId1"/>
  <rowBreaks count="2" manualBreakCount="2">
    <brk id="76" max="7" man="1"/>
    <brk id="140" max="7" man="1"/>
  </rowBreaks>
  <colBreaks count="1" manualBreakCount="1">
    <brk id="8" max="149"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B1:I153"/>
  <sheetViews>
    <sheetView showGridLines="0" view="pageBreakPreview" topLeftCell="A44" zoomScale="90" zoomScaleNormal="100" zoomScaleSheetLayoutView="90" workbookViewId="0">
      <selection activeCell="H60" sqref="H60"/>
    </sheetView>
  </sheetViews>
  <sheetFormatPr defaultColWidth="9.28515625" defaultRowHeight="12.75" x14ac:dyDescent="0.2"/>
  <cols>
    <col min="1" max="1" width="3.5703125" style="64" customWidth="1"/>
    <col min="2" max="2" width="8.28515625" style="64" customWidth="1"/>
    <col min="3" max="3" width="39.28515625" style="64" customWidth="1"/>
    <col min="4" max="4" width="29.28515625" style="64" customWidth="1"/>
    <col min="5" max="6" width="8.28515625" style="64" customWidth="1"/>
    <col min="7" max="7" width="9.28515625" style="64" customWidth="1"/>
    <col min="8" max="9" width="15.28515625" style="64" customWidth="1"/>
    <col min="10" max="16384" width="9.28515625" style="64"/>
  </cols>
  <sheetData>
    <row r="1" spans="2:9" x14ac:dyDescent="0.2">
      <c r="C1" s="114"/>
      <c r="D1" s="12"/>
      <c r="E1" s="12"/>
      <c r="F1" s="12"/>
      <c r="G1" s="12"/>
      <c r="H1" s="12"/>
      <c r="I1" s="12"/>
    </row>
    <row r="2" spans="2:9" x14ac:dyDescent="0.2">
      <c r="B2" s="235" t="s">
        <v>49</v>
      </c>
      <c r="C2" s="235"/>
      <c r="D2" s="235"/>
      <c r="E2" s="235"/>
      <c r="F2" s="235"/>
      <c r="G2" s="235"/>
      <c r="H2" s="235"/>
      <c r="I2" s="100"/>
    </row>
    <row r="3" spans="2:9" x14ac:dyDescent="0.2">
      <c r="B3" s="236" t="s">
        <v>195</v>
      </c>
      <c r="C3" s="236"/>
      <c r="D3" s="236"/>
      <c r="E3" s="236"/>
      <c r="F3" s="236"/>
      <c r="G3" s="236"/>
      <c r="H3" s="236"/>
      <c r="I3" s="102"/>
    </row>
    <row r="4" spans="2:9" x14ac:dyDescent="0.2">
      <c r="B4" s="66"/>
      <c r="C4" s="66"/>
      <c r="D4" s="66"/>
      <c r="E4" s="66"/>
      <c r="F4" s="66"/>
      <c r="G4" s="66"/>
      <c r="H4" s="66"/>
      <c r="I4" s="66"/>
    </row>
    <row r="5" spans="2:9" x14ac:dyDescent="0.2">
      <c r="B5" s="66"/>
      <c r="C5" s="66"/>
      <c r="D5" s="66"/>
      <c r="E5" s="66"/>
      <c r="F5" s="66"/>
      <c r="G5" s="66"/>
      <c r="H5" s="66"/>
      <c r="I5" s="66"/>
    </row>
    <row r="6" spans="2:9" x14ac:dyDescent="0.2">
      <c r="B6" s="285" t="s">
        <v>131</v>
      </c>
      <c r="C6" s="308"/>
      <c r="D6" s="237" t="s">
        <v>416</v>
      </c>
      <c r="E6" s="238"/>
      <c r="F6" s="239"/>
      <c r="I6" s="13"/>
    </row>
    <row r="7" spans="2:9" x14ac:dyDescent="0.2">
      <c r="B7" s="66"/>
      <c r="C7" s="66"/>
      <c r="D7" s="66"/>
      <c r="E7" s="66"/>
      <c r="F7" s="66"/>
      <c r="G7" s="66"/>
      <c r="H7" s="66"/>
      <c r="I7" s="12"/>
    </row>
    <row r="8" spans="2:9" x14ac:dyDescent="0.2">
      <c r="B8" s="240" t="s">
        <v>50</v>
      </c>
      <c r="C8" s="240"/>
      <c r="D8" s="240"/>
      <c r="E8" s="240"/>
      <c r="F8" s="240"/>
      <c r="G8" s="144"/>
      <c r="H8" s="144"/>
      <c r="I8" s="65"/>
    </row>
    <row r="9" spans="2:9" x14ac:dyDescent="0.2">
      <c r="B9" s="241">
        <v>1</v>
      </c>
      <c r="C9" s="242" t="s">
        <v>51</v>
      </c>
      <c r="D9" s="242"/>
      <c r="E9" s="242"/>
      <c r="F9" s="242"/>
      <c r="G9" s="144"/>
      <c r="H9" s="144"/>
      <c r="I9" s="65"/>
    </row>
    <row r="10" spans="2:9" x14ac:dyDescent="0.2">
      <c r="B10" s="241"/>
      <c r="C10" s="243" t="s">
        <v>434</v>
      </c>
      <c r="D10" s="243"/>
      <c r="E10" s="243"/>
      <c r="F10" s="243"/>
      <c r="G10" s="144"/>
      <c r="H10" s="144"/>
      <c r="I10" s="65"/>
    </row>
    <row r="11" spans="2:9" x14ac:dyDescent="0.2">
      <c r="B11" s="241">
        <v>2</v>
      </c>
      <c r="C11" s="242" t="s">
        <v>52</v>
      </c>
      <c r="D11" s="242"/>
      <c r="E11" s="242"/>
      <c r="F11" s="242"/>
      <c r="G11" s="144"/>
      <c r="H11" s="144"/>
      <c r="I11" s="65"/>
    </row>
    <row r="12" spans="2:9" x14ac:dyDescent="0.2">
      <c r="B12" s="241"/>
      <c r="C12" s="243" t="s">
        <v>418</v>
      </c>
      <c r="D12" s="243"/>
      <c r="E12" s="243"/>
      <c r="F12" s="243"/>
      <c r="G12" s="144"/>
      <c r="H12" s="144"/>
      <c r="I12" s="65"/>
    </row>
    <row r="13" spans="2:9" x14ac:dyDescent="0.2">
      <c r="B13" s="241">
        <v>3</v>
      </c>
      <c r="C13" s="242" t="s">
        <v>53</v>
      </c>
      <c r="D13" s="242"/>
      <c r="E13" s="242"/>
      <c r="F13" s="242"/>
      <c r="G13" s="144"/>
      <c r="H13" s="144"/>
      <c r="I13" s="65"/>
    </row>
    <row r="14" spans="2:9" x14ac:dyDescent="0.2">
      <c r="B14" s="241"/>
      <c r="C14" s="246">
        <v>1717.2</v>
      </c>
      <c r="D14" s="246"/>
      <c r="E14" s="246"/>
      <c r="F14" s="246"/>
      <c r="G14" s="144"/>
      <c r="H14" s="144"/>
      <c r="I14" s="65"/>
    </row>
    <row r="15" spans="2:9" x14ac:dyDescent="0.2">
      <c r="B15" s="241">
        <v>4</v>
      </c>
      <c r="C15" s="242" t="s">
        <v>54</v>
      </c>
      <c r="D15" s="242"/>
      <c r="E15" s="242"/>
      <c r="F15" s="242"/>
      <c r="G15" s="144"/>
      <c r="H15" s="144"/>
      <c r="I15" s="65"/>
    </row>
    <row r="16" spans="2:9" x14ac:dyDescent="0.2">
      <c r="B16" s="241"/>
      <c r="C16" s="244">
        <v>45658</v>
      </c>
      <c r="D16" s="243"/>
      <c r="E16" s="243"/>
      <c r="F16" s="243"/>
      <c r="G16" s="144"/>
      <c r="H16" s="144"/>
      <c r="I16" s="65"/>
    </row>
    <row r="17" spans="2:9" x14ac:dyDescent="0.2">
      <c r="B17" s="241">
        <v>5</v>
      </c>
      <c r="C17" s="242" t="s">
        <v>55</v>
      </c>
      <c r="D17" s="242"/>
      <c r="E17" s="242"/>
      <c r="F17" s="242"/>
      <c r="G17" s="144"/>
      <c r="H17" s="144"/>
      <c r="I17" s="65"/>
    </row>
    <row r="18" spans="2:9" ht="22.5" customHeight="1" x14ac:dyDescent="0.2">
      <c r="B18" s="241"/>
      <c r="C18" s="245" t="s">
        <v>438</v>
      </c>
      <c r="D18" s="245"/>
      <c r="E18" s="245"/>
      <c r="F18" s="245"/>
      <c r="G18" s="144"/>
      <c r="H18" s="144"/>
      <c r="I18" s="65"/>
    </row>
    <row r="19" spans="2:9" x14ac:dyDescent="0.2">
      <c r="B19" s="241">
        <v>6</v>
      </c>
      <c r="C19" s="242" t="s">
        <v>56</v>
      </c>
      <c r="D19" s="242"/>
      <c r="E19" s="242"/>
      <c r="F19" s="242"/>
      <c r="G19" s="144"/>
      <c r="H19" s="144"/>
      <c r="I19" s="65"/>
    </row>
    <row r="20" spans="2:9" x14ac:dyDescent="0.2">
      <c r="B20" s="241"/>
      <c r="C20" s="243" t="s">
        <v>436</v>
      </c>
      <c r="D20" s="243"/>
      <c r="E20" s="243"/>
      <c r="F20" s="243"/>
      <c r="G20" s="144"/>
      <c r="H20" s="144"/>
      <c r="I20" s="65"/>
    </row>
    <row r="21" spans="2:9" x14ac:dyDescent="0.2">
      <c r="B21" s="67"/>
      <c r="C21" s="67"/>
      <c r="D21" s="67"/>
      <c r="E21" s="67"/>
      <c r="F21" s="67"/>
      <c r="G21" s="68"/>
      <c r="H21" s="68"/>
      <c r="I21" s="65"/>
    </row>
    <row r="22" spans="2:9" x14ac:dyDescent="0.2">
      <c r="B22" s="69"/>
      <c r="C22" s="69"/>
      <c r="D22" s="69"/>
      <c r="E22" s="69"/>
      <c r="F22" s="69"/>
      <c r="G22" s="69"/>
      <c r="H22" s="149" t="s">
        <v>201</v>
      </c>
    </row>
    <row r="23" spans="2:9" x14ac:dyDescent="0.2">
      <c r="B23" s="254" t="s">
        <v>63</v>
      </c>
      <c r="C23" s="255"/>
      <c r="D23" s="255"/>
      <c r="E23" s="255"/>
      <c r="F23" s="255"/>
      <c r="G23" s="147"/>
      <c r="H23" s="148"/>
      <c r="I23" s="101"/>
    </row>
    <row r="24" spans="2:9" x14ac:dyDescent="0.2">
      <c r="B24" s="96">
        <v>1</v>
      </c>
      <c r="C24" s="230" t="s">
        <v>57</v>
      </c>
      <c r="D24" s="253"/>
      <c r="E24" s="253"/>
      <c r="F24" s="231"/>
      <c r="G24" s="146" t="s">
        <v>1</v>
      </c>
      <c r="H24" s="146" t="s">
        <v>48</v>
      </c>
      <c r="I24" s="101"/>
    </row>
    <row r="25" spans="2:9" ht="12.75" customHeight="1" x14ac:dyDescent="0.2">
      <c r="B25" s="14" t="s">
        <v>4</v>
      </c>
      <c r="C25" s="94" t="s">
        <v>17</v>
      </c>
      <c r="D25" s="247"/>
      <c r="E25" s="248"/>
      <c r="F25" s="249"/>
      <c r="G25" s="15"/>
      <c r="H25" s="32">
        <v>1717.2</v>
      </c>
      <c r="I25" s="107"/>
    </row>
    <row r="26" spans="2:9" x14ac:dyDescent="0.2">
      <c r="B26" s="14" t="s">
        <v>5</v>
      </c>
      <c r="C26" s="94" t="s">
        <v>24</v>
      </c>
      <c r="D26" s="247" t="s">
        <v>132</v>
      </c>
      <c r="E26" s="248"/>
      <c r="F26" s="249"/>
      <c r="G26" s="33"/>
      <c r="H26" s="16">
        <f>TRUNC(H$25*$G26,2)</f>
        <v>0</v>
      </c>
      <c r="I26" s="103"/>
    </row>
    <row r="27" spans="2:9" x14ac:dyDescent="0.2">
      <c r="B27" s="14" t="s">
        <v>6</v>
      </c>
      <c r="C27" s="95" t="s">
        <v>25</v>
      </c>
      <c r="D27" s="173" t="s">
        <v>175</v>
      </c>
      <c r="E27" s="184" t="s">
        <v>203</v>
      </c>
      <c r="F27" s="183">
        <v>1518</v>
      </c>
      <c r="G27" s="33"/>
      <c r="H27" s="16">
        <f>TRUNC(F$27*$G27,2)</f>
        <v>0</v>
      </c>
      <c r="I27" s="103"/>
    </row>
    <row r="28" spans="2:9" x14ac:dyDescent="0.2">
      <c r="B28" s="14" t="s">
        <v>7</v>
      </c>
      <c r="C28" s="95" t="s">
        <v>0</v>
      </c>
      <c r="D28" s="247" t="s">
        <v>182</v>
      </c>
      <c r="E28" s="248"/>
      <c r="F28" s="249"/>
      <c r="G28" s="34"/>
      <c r="H28" s="73">
        <f>TRUNC(((H$25+H26)*$G28)/220*8*15,2)</f>
        <v>0</v>
      </c>
      <c r="I28" s="104"/>
    </row>
    <row r="29" spans="2:9" x14ac:dyDescent="0.2">
      <c r="B29" s="124" t="s">
        <v>8</v>
      </c>
      <c r="C29" s="125" t="s">
        <v>26</v>
      </c>
      <c r="D29" s="250" t="s">
        <v>182</v>
      </c>
      <c r="E29" s="251"/>
      <c r="F29" s="252"/>
      <c r="G29" s="126"/>
      <c r="H29" s="127">
        <f>TRUNC(((H25+H26)*$G29)/220*1*15,2)</f>
        <v>0</v>
      </c>
      <c r="I29" s="128" t="s">
        <v>187</v>
      </c>
    </row>
    <row r="30" spans="2:9" x14ac:dyDescent="0.2">
      <c r="B30" s="129" t="s">
        <v>9</v>
      </c>
      <c r="C30" s="125" t="s">
        <v>106</v>
      </c>
      <c r="D30" s="250" t="s">
        <v>183</v>
      </c>
      <c r="E30" s="251"/>
      <c r="F30" s="252"/>
      <c r="G30" s="130"/>
      <c r="H30" s="127">
        <f>TRUNC($G$34*H34*(1+$G$30),2)</f>
        <v>0</v>
      </c>
      <c r="I30" s="128" t="s">
        <v>187</v>
      </c>
    </row>
    <row r="31" spans="2:9" x14ac:dyDescent="0.2">
      <c r="B31" s="14" t="s">
        <v>10</v>
      </c>
      <c r="C31" s="95" t="s">
        <v>2</v>
      </c>
      <c r="D31" s="247"/>
      <c r="E31" s="248"/>
      <c r="F31" s="249"/>
      <c r="G31" s="34"/>
      <c r="H31" s="54"/>
      <c r="I31" s="105"/>
    </row>
    <row r="32" spans="2:9" x14ac:dyDescent="0.2">
      <c r="B32" s="14" t="s">
        <v>133</v>
      </c>
      <c r="C32" s="230" t="s">
        <v>58</v>
      </c>
      <c r="D32" s="253"/>
      <c r="E32" s="253"/>
      <c r="F32" s="231"/>
      <c r="G32" s="28"/>
      <c r="H32" s="17">
        <f>SUM(H25:H31)</f>
        <v>1717.2</v>
      </c>
      <c r="I32" s="18"/>
    </row>
    <row r="33" spans="2:9" ht="22.5" x14ac:dyDescent="0.2">
      <c r="B33" s="100"/>
      <c r="C33" s="265" t="s">
        <v>122</v>
      </c>
      <c r="D33" s="265"/>
      <c r="E33" s="265"/>
      <c r="F33" s="265"/>
      <c r="G33" s="57" t="s">
        <v>107</v>
      </c>
      <c r="H33" s="56" t="s">
        <v>126</v>
      </c>
      <c r="I33" s="2"/>
    </row>
    <row r="34" spans="2:9" x14ac:dyDescent="0.2">
      <c r="B34" s="100"/>
      <c r="C34" s="265"/>
      <c r="D34" s="265"/>
      <c r="E34" s="265"/>
      <c r="F34" s="265"/>
      <c r="G34" s="55"/>
      <c r="H34" s="35">
        <f>IF($G$34="",0,TRUNC((H25+H26+H27)/220,2))</f>
        <v>0</v>
      </c>
      <c r="I34" s="106"/>
    </row>
    <row r="35" spans="2:9" x14ac:dyDescent="0.2">
      <c r="B35" s="100"/>
      <c r="C35" s="100"/>
      <c r="D35" s="100"/>
      <c r="E35" s="100"/>
      <c r="F35" s="100"/>
      <c r="G35" s="100"/>
      <c r="H35" s="74"/>
      <c r="I35" s="18"/>
    </row>
    <row r="36" spans="2:9" x14ac:dyDescent="0.2">
      <c r="B36" s="100"/>
      <c r="C36" s="100"/>
      <c r="D36" s="100"/>
      <c r="E36" s="100"/>
      <c r="F36" s="100"/>
      <c r="G36" s="100"/>
      <c r="H36" s="74"/>
      <c r="I36" s="18"/>
    </row>
    <row r="37" spans="2:9" ht="12.75" customHeight="1" x14ac:dyDescent="0.2">
      <c r="B37" s="254" t="s">
        <v>64</v>
      </c>
      <c r="C37" s="255"/>
      <c r="D37" s="255"/>
      <c r="E37" s="255"/>
      <c r="F37" s="255"/>
      <c r="G37" s="147"/>
      <c r="H37" s="148"/>
      <c r="I37" s="101"/>
    </row>
    <row r="38" spans="2:9" x14ac:dyDescent="0.2">
      <c r="B38" s="266"/>
      <c r="C38" s="267"/>
      <c r="D38" s="267"/>
      <c r="E38" s="267"/>
      <c r="F38" s="267"/>
      <c r="G38" s="63"/>
      <c r="H38" s="63"/>
      <c r="I38" s="101"/>
    </row>
    <row r="39" spans="2:9" x14ac:dyDescent="0.2">
      <c r="B39" s="268" t="s">
        <v>36</v>
      </c>
      <c r="C39" s="268"/>
      <c r="D39" s="268"/>
      <c r="E39" s="268"/>
      <c r="F39" s="268"/>
      <c r="G39" s="63"/>
      <c r="H39" s="63"/>
      <c r="I39" s="101"/>
    </row>
    <row r="40" spans="2:9" x14ac:dyDescent="0.2">
      <c r="B40" s="146" t="s">
        <v>38</v>
      </c>
      <c r="C40" s="269" t="s">
        <v>27</v>
      </c>
      <c r="D40" s="270"/>
      <c r="E40" s="270"/>
      <c r="F40" s="271"/>
      <c r="G40" s="96" t="s">
        <v>1</v>
      </c>
      <c r="H40" s="96" t="s">
        <v>48</v>
      </c>
      <c r="I40" s="101"/>
    </row>
    <row r="41" spans="2:9" x14ac:dyDescent="0.2">
      <c r="B41" s="14" t="s">
        <v>4</v>
      </c>
      <c r="C41" s="94" t="s">
        <v>109</v>
      </c>
      <c r="D41" s="247" t="s">
        <v>134</v>
      </c>
      <c r="E41" s="248"/>
      <c r="F41" s="249"/>
      <c r="G41" s="152">
        <f>1/12</f>
        <v>8.3333333333333329E-2</v>
      </c>
      <c r="H41" s="153">
        <f>TRUNC((H$32*$G41),2)</f>
        <v>143.1</v>
      </c>
      <c r="I41" s="107"/>
    </row>
    <row r="42" spans="2:9" x14ac:dyDescent="0.2">
      <c r="B42" s="14" t="s">
        <v>5</v>
      </c>
      <c r="C42" s="94" t="s">
        <v>62</v>
      </c>
      <c r="D42" s="247" t="s">
        <v>136</v>
      </c>
      <c r="E42" s="248"/>
      <c r="F42" s="249"/>
      <c r="G42" s="19">
        <f>(1/12)+(1/3/12)</f>
        <v>0.1111111111111111</v>
      </c>
      <c r="H42" s="20">
        <f>TRUNC((H$32*$G42),2)</f>
        <v>190.8</v>
      </c>
      <c r="I42" s="107"/>
    </row>
    <row r="43" spans="2:9" x14ac:dyDescent="0.2">
      <c r="B43" s="14" t="s">
        <v>135</v>
      </c>
      <c r="C43" s="230" t="s">
        <v>58</v>
      </c>
      <c r="D43" s="253"/>
      <c r="E43" s="253"/>
      <c r="F43" s="231"/>
      <c r="G43" s="21">
        <f>TRUNC(SUM(G41:G42),4)</f>
        <v>0.19439999999999999</v>
      </c>
      <c r="H43" s="17">
        <f>SUM(H41:H42)</f>
        <v>333.9</v>
      </c>
      <c r="I43" s="18"/>
    </row>
    <row r="44" spans="2:9" x14ac:dyDescent="0.2">
      <c r="B44" s="259"/>
      <c r="C44" s="260"/>
      <c r="D44" s="260"/>
      <c r="E44" s="260"/>
      <c r="F44" s="260"/>
      <c r="G44" s="260"/>
      <c r="H44" s="261"/>
      <c r="I44" s="100"/>
    </row>
    <row r="45" spans="2:9" ht="30" customHeight="1" x14ac:dyDescent="0.2">
      <c r="B45" s="262" t="s">
        <v>65</v>
      </c>
      <c r="C45" s="263"/>
      <c r="D45" s="263"/>
      <c r="E45" s="263"/>
      <c r="F45" s="264"/>
      <c r="G45" s="150"/>
      <c r="H45" s="151"/>
      <c r="I45" s="108"/>
    </row>
    <row r="46" spans="2:9" x14ac:dyDescent="0.2">
      <c r="B46" s="96" t="s">
        <v>39</v>
      </c>
      <c r="C46" s="230" t="s">
        <v>66</v>
      </c>
      <c r="D46" s="253"/>
      <c r="E46" s="253"/>
      <c r="F46" s="231"/>
      <c r="G46" s="96" t="s">
        <v>1</v>
      </c>
      <c r="H46" s="96" t="s">
        <v>48</v>
      </c>
      <c r="I46" s="101"/>
    </row>
    <row r="47" spans="2:9" x14ac:dyDescent="0.2">
      <c r="B47" s="14" t="s">
        <v>4</v>
      </c>
      <c r="C47" s="94" t="s">
        <v>30</v>
      </c>
      <c r="D47" s="247" t="s">
        <v>137</v>
      </c>
      <c r="E47" s="248"/>
      <c r="F47" s="249"/>
      <c r="G47" s="19">
        <v>0.2</v>
      </c>
      <c r="H47" s="20">
        <f>TRUNC((H$32+H$43)*$G47,2)</f>
        <v>410.22</v>
      </c>
      <c r="I47" s="107"/>
    </row>
    <row r="48" spans="2:9" x14ac:dyDescent="0.2">
      <c r="B48" s="14" t="s">
        <v>5</v>
      </c>
      <c r="C48" s="82" t="s">
        <v>31</v>
      </c>
      <c r="D48" s="247" t="s">
        <v>138</v>
      </c>
      <c r="E48" s="248"/>
      <c r="F48" s="249"/>
      <c r="G48" s="19">
        <v>2.5000000000000001E-2</v>
      </c>
      <c r="H48" s="20">
        <f>TRUNC((H$32+H$43)*$G48,2)</f>
        <v>51.27</v>
      </c>
      <c r="I48" s="107"/>
    </row>
    <row r="49" spans="2:9" x14ac:dyDescent="0.2">
      <c r="B49" s="272" t="s">
        <v>6</v>
      </c>
      <c r="C49" s="274" t="s">
        <v>100</v>
      </c>
      <c r="D49" s="276" t="s">
        <v>144</v>
      </c>
      <c r="E49" s="8" t="s">
        <v>101</v>
      </c>
      <c r="F49" s="8" t="s">
        <v>99</v>
      </c>
      <c r="G49" s="256">
        <f>E50*F50</f>
        <v>0.06</v>
      </c>
      <c r="H49" s="258">
        <f>TRUNC((H$32+H$43)*$G49,2)</f>
        <v>123.06</v>
      </c>
      <c r="I49" s="110"/>
    </row>
    <row r="50" spans="2:9" x14ac:dyDescent="0.2">
      <c r="B50" s="273"/>
      <c r="C50" s="275"/>
      <c r="D50" s="276"/>
      <c r="E50" s="36">
        <v>0.03</v>
      </c>
      <c r="F50" s="37">
        <v>2</v>
      </c>
      <c r="G50" s="257"/>
      <c r="H50" s="258"/>
      <c r="I50" s="110"/>
    </row>
    <row r="51" spans="2:9" x14ac:dyDescent="0.2">
      <c r="B51" s="14" t="s">
        <v>7</v>
      </c>
      <c r="C51" s="94" t="s">
        <v>29</v>
      </c>
      <c r="D51" s="247" t="s">
        <v>139</v>
      </c>
      <c r="E51" s="248"/>
      <c r="F51" s="249"/>
      <c r="G51" s="19">
        <v>1.4999999999999999E-2</v>
      </c>
      <c r="H51" s="20">
        <f>TRUNC((H$32+H$43)*$G51,2)</f>
        <v>30.76</v>
      </c>
      <c r="I51" s="107"/>
    </row>
    <row r="52" spans="2:9" x14ac:dyDescent="0.2">
      <c r="B52" s="14" t="s">
        <v>8</v>
      </c>
      <c r="C52" s="94" t="s">
        <v>32</v>
      </c>
      <c r="D52" s="247" t="s">
        <v>140</v>
      </c>
      <c r="E52" s="248"/>
      <c r="F52" s="249"/>
      <c r="G52" s="19">
        <v>0.01</v>
      </c>
      <c r="H52" s="20">
        <f>TRUNC((H$32+H$43)*$G52,2)</f>
        <v>20.51</v>
      </c>
      <c r="I52" s="107"/>
    </row>
    <row r="53" spans="2:9" x14ac:dyDescent="0.2">
      <c r="B53" s="14" t="s">
        <v>9</v>
      </c>
      <c r="C53" s="94" t="s">
        <v>33</v>
      </c>
      <c r="D53" s="247" t="s">
        <v>141</v>
      </c>
      <c r="E53" s="248"/>
      <c r="F53" s="249"/>
      <c r="G53" s="19">
        <v>6.0000000000000001E-3</v>
      </c>
      <c r="H53" s="20">
        <f>TRUNC((H$32+H$43)*$G53,2)</f>
        <v>12.3</v>
      </c>
      <c r="I53" s="107"/>
    </row>
    <row r="54" spans="2:9" x14ac:dyDescent="0.2">
      <c r="B54" s="14" t="s">
        <v>10</v>
      </c>
      <c r="C54" s="94" t="s">
        <v>34</v>
      </c>
      <c r="D54" s="247" t="s">
        <v>142</v>
      </c>
      <c r="E54" s="248"/>
      <c r="F54" s="249"/>
      <c r="G54" s="19">
        <v>2E-3</v>
      </c>
      <c r="H54" s="20">
        <f>TRUNC((H$32+H$43)*$G54,2)</f>
        <v>4.0999999999999996</v>
      </c>
      <c r="I54" s="107"/>
    </row>
    <row r="55" spans="2:9" x14ac:dyDescent="0.2">
      <c r="B55" s="14" t="s">
        <v>11</v>
      </c>
      <c r="C55" s="94" t="s">
        <v>35</v>
      </c>
      <c r="D55" s="247" t="s">
        <v>143</v>
      </c>
      <c r="E55" s="248"/>
      <c r="F55" s="249"/>
      <c r="G55" s="19">
        <v>0.08</v>
      </c>
      <c r="H55" s="20">
        <f>TRUNC((H$32+H$43)*$G55,2)</f>
        <v>164.08</v>
      </c>
      <c r="I55" s="107"/>
    </row>
    <row r="56" spans="2:9" x14ac:dyDescent="0.2">
      <c r="B56" s="14" t="s">
        <v>145</v>
      </c>
      <c r="C56" s="230" t="s">
        <v>58</v>
      </c>
      <c r="D56" s="253"/>
      <c r="E56" s="253"/>
      <c r="F56" s="231"/>
      <c r="G56" s="22">
        <f>SUM(G47:G55)</f>
        <v>0.39800000000000008</v>
      </c>
      <c r="H56" s="17">
        <f>SUM(H47:H55)</f>
        <v>816.3</v>
      </c>
      <c r="I56" s="18"/>
    </row>
    <row r="57" spans="2:9" x14ac:dyDescent="0.2">
      <c r="B57" s="278"/>
      <c r="C57" s="279"/>
      <c r="D57" s="279"/>
      <c r="E57" s="279"/>
      <c r="F57" s="279"/>
      <c r="G57" s="279"/>
      <c r="H57" s="280"/>
      <c r="I57" s="119"/>
    </row>
    <row r="58" spans="2:9" ht="12.75" customHeight="1" x14ac:dyDescent="0.2">
      <c r="B58" s="262" t="s">
        <v>37</v>
      </c>
      <c r="C58" s="263"/>
      <c r="D58" s="263"/>
      <c r="E58" s="263"/>
      <c r="F58" s="264"/>
      <c r="G58" s="150"/>
      <c r="H58" s="151"/>
      <c r="I58" s="119"/>
    </row>
    <row r="59" spans="2:9" x14ac:dyDescent="0.2">
      <c r="B59" s="96" t="s">
        <v>40</v>
      </c>
      <c r="C59" s="230" t="s">
        <v>41</v>
      </c>
      <c r="D59" s="253"/>
      <c r="E59" s="253"/>
      <c r="F59" s="253"/>
      <c r="G59" s="83"/>
      <c r="H59" s="96" t="s">
        <v>48</v>
      </c>
      <c r="I59" s="101"/>
    </row>
    <row r="60" spans="2:9" ht="12.75" customHeight="1" x14ac:dyDescent="0.2">
      <c r="B60" s="14" t="s">
        <v>4</v>
      </c>
      <c r="C60" s="94" t="s">
        <v>47</v>
      </c>
      <c r="D60" s="173" t="s">
        <v>148</v>
      </c>
      <c r="E60" s="174"/>
      <c r="F60" s="185" t="s">
        <v>210</v>
      </c>
      <c r="G60" s="186">
        <v>8.9</v>
      </c>
      <c r="H60" s="187">
        <f>IF((TRUNC((G60*2*22)-(H$25*6%),2))&lt;0,"0,00",(TRUNC((G60*2*22)-(H$25*6%),2)))</f>
        <v>288.56</v>
      </c>
      <c r="I60" s="120"/>
    </row>
    <row r="61" spans="2:9" ht="12.75" customHeight="1" x14ac:dyDescent="0.2">
      <c r="B61" s="14" t="s">
        <v>5</v>
      </c>
      <c r="C61" s="94" t="s">
        <v>437</v>
      </c>
      <c r="D61" s="173" t="s">
        <v>149</v>
      </c>
      <c r="E61" s="174"/>
      <c r="F61" s="185" t="s">
        <v>211</v>
      </c>
      <c r="G61" s="186">
        <f>20.76-1.39</f>
        <v>19.37</v>
      </c>
      <c r="H61" s="187">
        <f>G61*22</f>
        <v>426.14000000000004</v>
      </c>
      <c r="I61" s="120"/>
    </row>
    <row r="62" spans="2:9" ht="12.75" customHeight="1" x14ac:dyDescent="0.2">
      <c r="B62" s="14" t="s">
        <v>6</v>
      </c>
      <c r="C62" s="94" t="s">
        <v>426</v>
      </c>
      <c r="D62" s="173"/>
      <c r="E62" s="174"/>
      <c r="F62" s="174"/>
      <c r="G62" s="175"/>
      <c r="H62" s="38">
        <v>144.68</v>
      </c>
      <c r="I62" s="120"/>
    </row>
    <row r="63" spans="2:9" x14ac:dyDescent="0.2">
      <c r="B63" s="14" t="s">
        <v>7</v>
      </c>
      <c r="C63" s="94" t="s">
        <v>427</v>
      </c>
      <c r="D63" s="173"/>
      <c r="E63" s="174"/>
      <c r="F63" s="174"/>
      <c r="G63" s="175"/>
      <c r="H63" s="38">
        <v>35.33</v>
      </c>
      <c r="I63" s="120"/>
    </row>
    <row r="64" spans="2:9" x14ac:dyDescent="0.2">
      <c r="B64" s="14" t="s">
        <v>8</v>
      </c>
      <c r="C64" s="94" t="s">
        <v>419</v>
      </c>
      <c r="D64" s="173"/>
      <c r="E64" s="174"/>
      <c r="F64" s="174"/>
      <c r="G64" s="175"/>
      <c r="H64" s="38">
        <v>300</v>
      </c>
      <c r="I64" s="120"/>
    </row>
    <row r="65" spans="2:9" s="75" customFormat="1" x14ac:dyDescent="0.2">
      <c r="B65" s="14" t="s">
        <v>9</v>
      </c>
      <c r="C65" s="94" t="s">
        <v>421</v>
      </c>
      <c r="D65" s="173"/>
      <c r="E65" s="220"/>
      <c r="F65" s="220"/>
      <c r="G65" s="221"/>
      <c r="H65" s="38">
        <v>455.4</v>
      </c>
      <c r="I65" s="120"/>
    </row>
    <row r="66" spans="2:9" s="75" customFormat="1" x14ac:dyDescent="0.2">
      <c r="B66" s="14" t="s">
        <v>10</v>
      </c>
      <c r="C66" s="94" t="s">
        <v>420</v>
      </c>
      <c r="D66" s="173"/>
      <c r="E66" s="174"/>
      <c r="F66" s="174"/>
      <c r="G66" s="174"/>
      <c r="H66" s="38">
        <v>15.96</v>
      </c>
      <c r="I66" s="120"/>
    </row>
    <row r="67" spans="2:9" s="75" customFormat="1" x14ac:dyDescent="0.2">
      <c r="B67" s="14" t="s">
        <v>11</v>
      </c>
      <c r="C67" s="94" t="s">
        <v>424</v>
      </c>
      <c r="D67" s="173" t="s">
        <v>425</v>
      </c>
      <c r="E67" s="222"/>
      <c r="F67" s="223" t="s">
        <v>211</v>
      </c>
      <c r="G67" s="224">
        <f>20.76-1.39</f>
        <v>19.37</v>
      </c>
      <c r="H67" s="38">
        <f>G67/12</f>
        <v>1.6141666666666667</v>
      </c>
      <c r="I67" s="120"/>
    </row>
    <row r="68" spans="2:9" s="75" customFormat="1" x14ac:dyDescent="0.2">
      <c r="B68" s="14" t="s">
        <v>422</v>
      </c>
      <c r="C68" s="94" t="s">
        <v>423</v>
      </c>
      <c r="D68" s="173"/>
      <c r="E68" s="174"/>
      <c r="F68" s="174"/>
      <c r="G68" s="175"/>
      <c r="H68" s="38"/>
      <c r="I68" s="120"/>
    </row>
    <row r="69" spans="2:9" x14ac:dyDescent="0.2">
      <c r="B69" s="14" t="s">
        <v>146</v>
      </c>
      <c r="C69" s="230" t="s">
        <v>58</v>
      </c>
      <c r="D69" s="253"/>
      <c r="E69" s="253"/>
      <c r="F69" s="253"/>
      <c r="G69" s="83"/>
      <c r="H69" s="17">
        <f>SUM(H60:H68)</f>
        <v>1667.6841666666669</v>
      </c>
      <c r="I69" s="18"/>
    </row>
    <row r="70" spans="2:9" x14ac:dyDescent="0.2">
      <c r="B70" s="259"/>
      <c r="C70" s="260"/>
      <c r="D70" s="260"/>
      <c r="E70" s="260"/>
      <c r="F70" s="260"/>
      <c r="G70" s="260"/>
      <c r="H70" s="261"/>
      <c r="I70" s="100"/>
    </row>
    <row r="71" spans="2:9" x14ac:dyDescent="0.2">
      <c r="B71" s="281" t="s">
        <v>68</v>
      </c>
      <c r="C71" s="282"/>
      <c r="D71" s="282"/>
      <c r="E71" s="282"/>
      <c r="F71" s="282"/>
      <c r="G71" s="154"/>
      <c r="H71" s="154"/>
      <c r="I71" s="100"/>
    </row>
    <row r="72" spans="2:9" x14ac:dyDescent="0.2">
      <c r="B72" s="96">
        <v>2</v>
      </c>
      <c r="C72" s="230" t="s">
        <v>67</v>
      </c>
      <c r="D72" s="253"/>
      <c r="E72" s="253"/>
      <c r="F72" s="253"/>
      <c r="G72" s="83"/>
      <c r="H72" s="96" t="s">
        <v>48</v>
      </c>
      <c r="I72" s="101"/>
    </row>
    <row r="73" spans="2:9" x14ac:dyDescent="0.2">
      <c r="B73" s="14" t="s">
        <v>38</v>
      </c>
      <c r="C73" s="84" t="s">
        <v>27</v>
      </c>
      <c r="D73" s="173" t="s">
        <v>135</v>
      </c>
      <c r="E73" s="174"/>
      <c r="F73" s="174"/>
      <c r="G73" s="175"/>
      <c r="H73" s="20">
        <f>H43</f>
        <v>333.9</v>
      </c>
      <c r="I73" s="107"/>
    </row>
    <row r="74" spans="2:9" x14ac:dyDescent="0.2">
      <c r="B74" s="14" t="s">
        <v>39</v>
      </c>
      <c r="C74" s="84" t="s">
        <v>28</v>
      </c>
      <c r="D74" s="173" t="s">
        <v>145</v>
      </c>
      <c r="E74" s="174"/>
      <c r="F74" s="174"/>
      <c r="G74" s="175"/>
      <c r="H74" s="20">
        <f>H56</f>
        <v>816.3</v>
      </c>
      <c r="I74" s="107"/>
    </row>
    <row r="75" spans="2:9" x14ac:dyDescent="0.2">
      <c r="B75" s="14" t="s">
        <v>40</v>
      </c>
      <c r="C75" s="84" t="s">
        <v>41</v>
      </c>
      <c r="D75" s="173" t="s">
        <v>146</v>
      </c>
      <c r="E75" s="174"/>
      <c r="F75" s="174"/>
      <c r="G75" s="175"/>
      <c r="H75" s="20">
        <f>H69</f>
        <v>1667.6841666666669</v>
      </c>
      <c r="I75" s="107"/>
    </row>
    <row r="76" spans="2:9" x14ac:dyDescent="0.2">
      <c r="B76" s="14" t="s">
        <v>147</v>
      </c>
      <c r="C76" s="230" t="s">
        <v>58</v>
      </c>
      <c r="D76" s="253"/>
      <c r="E76" s="253"/>
      <c r="F76" s="253"/>
      <c r="G76" s="83"/>
      <c r="H76" s="17">
        <f>SUM(H73:H75)</f>
        <v>2817.8841666666667</v>
      </c>
      <c r="I76" s="18"/>
    </row>
    <row r="77" spans="2:9" x14ac:dyDescent="0.2">
      <c r="B77" s="260"/>
      <c r="C77" s="260"/>
      <c r="D77" s="260"/>
      <c r="E77" s="260"/>
      <c r="F77" s="260"/>
      <c r="G77" s="260"/>
      <c r="H77" s="260"/>
      <c r="I77" s="101"/>
    </row>
    <row r="78" spans="2:9" x14ac:dyDescent="0.2">
      <c r="B78" s="100"/>
      <c r="C78" s="100"/>
      <c r="D78" s="100"/>
      <c r="E78" s="100"/>
      <c r="F78" s="100"/>
      <c r="G78" s="100"/>
      <c r="H78" s="100"/>
      <c r="I78" s="101"/>
    </row>
    <row r="79" spans="2:9" x14ac:dyDescent="0.2">
      <c r="B79" s="254" t="s">
        <v>69</v>
      </c>
      <c r="C79" s="255"/>
      <c r="D79" s="255"/>
      <c r="E79" s="255"/>
      <c r="F79" s="277"/>
      <c r="G79" s="147"/>
      <c r="H79" s="148"/>
      <c r="I79" s="101"/>
    </row>
    <row r="80" spans="2:9" x14ac:dyDescent="0.2">
      <c r="B80" s="96">
        <v>3</v>
      </c>
      <c r="C80" s="230" t="s">
        <v>59</v>
      </c>
      <c r="D80" s="253"/>
      <c r="E80" s="253"/>
      <c r="F80" s="231"/>
      <c r="G80" s="96" t="s">
        <v>1</v>
      </c>
      <c r="H80" s="96" t="s">
        <v>48</v>
      </c>
      <c r="I80" s="101"/>
    </row>
    <row r="81" spans="2:9" x14ac:dyDescent="0.2">
      <c r="B81" s="14" t="s">
        <v>4</v>
      </c>
      <c r="C81" s="85" t="s">
        <v>94</v>
      </c>
      <c r="D81" s="173" t="s">
        <v>164</v>
      </c>
      <c r="E81" s="174"/>
      <c r="F81" s="175"/>
      <c r="G81" s="39">
        <v>1</v>
      </c>
      <c r="H81" s="23">
        <f>TRUNC((H$82+H$83)*$G81,2)</f>
        <v>365.15</v>
      </c>
      <c r="I81" s="18"/>
    </row>
    <row r="82" spans="2:9" x14ac:dyDescent="0.2">
      <c r="B82" s="14" t="s">
        <v>5</v>
      </c>
      <c r="C82" s="94" t="s">
        <v>95</v>
      </c>
      <c r="D82" s="173" t="s">
        <v>184</v>
      </c>
      <c r="E82" s="174"/>
      <c r="F82" s="175"/>
      <c r="G82" s="24"/>
      <c r="H82" s="20">
        <f>TRUNC((H$32+H$43+H$55+H$69-H60)/12,2)</f>
        <v>299.52</v>
      </c>
      <c r="I82" s="107"/>
    </row>
    <row r="83" spans="2:9" x14ac:dyDescent="0.2">
      <c r="B83" s="14" t="s">
        <v>6</v>
      </c>
      <c r="C83" s="94" t="s">
        <v>96</v>
      </c>
      <c r="D83" s="247" t="s">
        <v>176</v>
      </c>
      <c r="E83" s="249"/>
      <c r="F83" s="41">
        <v>0.4</v>
      </c>
      <c r="G83" s="24"/>
      <c r="H83" s="20">
        <f>TRUNC(H$55*$F83,2)</f>
        <v>65.63</v>
      </c>
      <c r="I83" s="107"/>
    </row>
    <row r="84" spans="2:9" x14ac:dyDescent="0.2">
      <c r="B84" s="14" t="s">
        <v>7</v>
      </c>
      <c r="C84" s="85" t="s">
        <v>97</v>
      </c>
      <c r="D84" s="173" t="s">
        <v>165</v>
      </c>
      <c r="E84" s="174"/>
      <c r="F84" s="175"/>
      <c r="G84" s="39">
        <v>1</v>
      </c>
      <c r="H84" s="88">
        <f>IF($G84&gt;=1,(TRUNC(H$85*$G84,2)),"ERRO")</f>
        <v>65.63</v>
      </c>
      <c r="I84" s="109"/>
    </row>
    <row r="85" spans="2:9" x14ac:dyDescent="0.2">
      <c r="B85" s="14" t="s">
        <v>8</v>
      </c>
      <c r="C85" s="94" t="s">
        <v>98</v>
      </c>
      <c r="D85" s="247" t="s">
        <v>176</v>
      </c>
      <c r="E85" s="249"/>
      <c r="F85" s="41">
        <v>0.4</v>
      </c>
      <c r="G85" s="24"/>
      <c r="H85" s="20">
        <f>TRUNC(H$55*$F85,2)</f>
        <v>65.63</v>
      </c>
      <c r="I85" s="107"/>
    </row>
    <row r="86" spans="2:9" x14ac:dyDescent="0.2">
      <c r="B86" s="14" t="s">
        <v>9</v>
      </c>
      <c r="C86" s="85" t="s">
        <v>181</v>
      </c>
      <c r="D86" s="283" t="s">
        <v>202</v>
      </c>
      <c r="E86" s="284"/>
      <c r="F86" s="40">
        <v>12</v>
      </c>
      <c r="G86" s="40">
        <v>3</v>
      </c>
      <c r="H86" s="20">
        <f>TRUNC(((H$32+H$43+H$56)/30)*$G86/$F86,2)</f>
        <v>23.89</v>
      </c>
      <c r="I86" s="107"/>
    </row>
    <row r="87" spans="2:9" x14ac:dyDescent="0.2">
      <c r="B87" s="14" t="s">
        <v>151</v>
      </c>
      <c r="C87" s="230" t="s">
        <v>58</v>
      </c>
      <c r="D87" s="253"/>
      <c r="E87" s="253"/>
      <c r="F87" s="253"/>
      <c r="G87" s="83"/>
      <c r="H87" s="17">
        <f>H$81+H$84+H$86</f>
        <v>454.66999999999996</v>
      </c>
      <c r="I87" s="18"/>
    </row>
    <row r="88" spans="2:9" x14ac:dyDescent="0.2">
      <c r="B88" s="97"/>
      <c r="C88" s="97"/>
      <c r="D88" s="97"/>
      <c r="E88" s="97"/>
      <c r="F88" s="97"/>
      <c r="G88" s="97"/>
      <c r="H88" s="97"/>
      <c r="I88" s="97"/>
    </row>
    <row r="89" spans="2:9" x14ac:dyDescent="0.2">
      <c r="B89" s="100"/>
      <c r="C89" s="100"/>
      <c r="D89" s="100"/>
      <c r="E89" s="100"/>
      <c r="F89" s="100"/>
      <c r="G89" s="100"/>
      <c r="H89" s="100"/>
      <c r="I89" s="101"/>
    </row>
    <row r="90" spans="2:9" x14ac:dyDescent="0.2">
      <c r="B90" s="254" t="s">
        <v>70</v>
      </c>
      <c r="C90" s="255"/>
      <c r="D90" s="255"/>
      <c r="E90" s="255"/>
      <c r="F90" s="277"/>
      <c r="G90" s="147"/>
      <c r="H90" s="148"/>
      <c r="I90" s="101"/>
    </row>
    <row r="91" spans="2:9" x14ac:dyDescent="0.2">
      <c r="B91" s="285" t="s">
        <v>88</v>
      </c>
      <c r="C91" s="286"/>
      <c r="D91" s="286"/>
      <c r="E91" s="286"/>
      <c r="F91" s="286"/>
      <c r="G91" s="155"/>
      <c r="H91" s="156"/>
      <c r="I91" s="101"/>
    </row>
    <row r="92" spans="2:9" x14ac:dyDescent="0.2">
      <c r="B92" s="96" t="s">
        <v>14</v>
      </c>
      <c r="C92" s="230" t="s">
        <v>89</v>
      </c>
      <c r="D92" s="253"/>
      <c r="E92" s="253"/>
      <c r="F92" s="231"/>
      <c r="G92" s="96" t="s">
        <v>102</v>
      </c>
      <c r="H92" s="96" t="s">
        <v>48</v>
      </c>
      <c r="I92" s="101"/>
    </row>
    <row r="93" spans="2:9" x14ac:dyDescent="0.2">
      <c r="B93" s="14" t="s">
        <v>4</v>
      </c>
      <c r="C93" s="94" t="s">
        <v>108</v>
      </c>
      <c r="D93" s="173" t="s">
        <v>157</v>
      </c>
      <c r="E93" s="174"/>
      <c r="F93" s="175"/>
      <c r="G93" s="40">
        <v>30</v>
      </c>
      <c r="H93" s="20">
        <f>TRUNC((H$95*$G93)/12,2)</f>
        <v>415.8</v>
      </c>
      <c r="I93" s="107"/>
    </row>
    <row r="94" spans="2:9" ht="22.5" x14ac:dyDescent="0.2">
      <c r="B94" s="14" t="s">
        <v>5</v>
      </c>
      <c r="C94" s="86" t="s">
        <v>163</v>
      </c>
      <c r="D94" s="176" t="s">
        <v>166</v>
      </c>
      <c r="E94" s="177"/>
      <c r="F94" s="178"/>
      <c r="G94" s="62">
        <v>8</v>
      </c>
      <c r="H94" s="20">
        <f>TRUNC((H$95*$G94)/12,2)</f>
        <v>110.88</v>
      </c>
      <c r="I94" s="107"/>
    </row>
    <row r="95" spans="2:9" x14ac:dyDescent="0.2">
      <c r="B95" s="14" t="s">
        <v>6</v>
      </c>
      <c r="C95" s="94" t="s">
        <v>110</v>
      </c>
      <c r="D95" s="173" t="s">
        <v>150</v>
      </c>
      <c r="E95" s="174"/>
      <c r="F95" s="174"/>
      <c r="G95" s="175"/>
      <c r="H95" s="20">
        <f>TRUNC((H$32+H$76+H$87)/30,2)</f>
        <v>166.32</v>
      </c>
      <c r="I95" s="107"/>
    </row>
    <row r="96" spans="2:9" x14ac:dyDescent="0.2">
      <c r="B96" s="14" t="s">
        <v>152</v>
      </c>
      <c r="C96" s="230" t="s">
        <v>58</v>
      </c>
      <c r="D96" s="253"/>
      <c r="E96" s="253"/>
      <c r="F96" s="253"/>
      <c r="G96" s="83"/>
      <c r="H96" s="17">
        <f>TRUNC(H$93+H$94,2)</f>
        <v>526.67999999999995</v>
      </c>
      <c r="I96" s="18"/>
    </row>
    <row r="97" spans="2:9" x14ac:dyDescent="0.2">
      <c r="B97" s="76"/>
      <c r="C97" s="77"/>
      <c r="D97" s="77"/>
      <c r="E97" s="77"/>
      <c r="F97" s="77"/>
      <c r="G97" s="77"/>
      <c r="H97" s="78"/>
      <c r="I97" s="25"/>
    </row>
    <row r="98" spans="2:9" x14ac:dyDescent="0.2">
      <c r="B98" s="281" t="s">
        <v>90</v>
      </c>
      <c r="C98" s="282"/>
      <c r="D98" s="282"/>
      <c r="E98" s="282"/>
      <c r="F98" s="282"/>
      <c r="G98" s="157"/>
      <c r="H98" s="158"/>
      <c r="I98" s="101"/>
    </row>
    <row r="99" spans="2:9" x14ac:dyDescent="0.2">
      <c r="B99" s="96" t="s">
        <v>15</v>
      </c>
      <c r="C99" s="230" t="s">
        <v>91</v>
      </c>
      <c r="D99" s="253"/>
      <c r="E99" s="253"/>
      <c r="F99" s="231"/>
      <c r="G99" s="96" t="s">
        <v>102</v>
      </c>
      <c r="H99" s="96" t="s">
        <v>48</v>
      </c>
      <c r="I99" s="101"/>
    </row>
    <row r="100" spans="2:9" ht="22.5" x14ac:dyDescent="0.2">
      <c r="B100" s="14" t="s">
        <v>4</v>
      </c>
      <c r="C100" s="86" t="s">
        <v>92</v>
      </c>
      <c r="D100" s="173" t="s">
        <v>186</v>
      </c>
      <c r="E100" s="174"/>
      <c r="F100" s="174"/>
      <c r="G100" s="40"/>
      <c r="H100" s="20">
        <f>TRUNC(((H$32+H76+H87)/220)*(1+50%)*G100,2)</f>
        <v>0</v>
      </c>
      <c r="I100" s="107"/>
    </row>
    <row r="101" spans="2:9" x14ac:dyDescent="0.2">
      <c r="B101" s="14" t="s">
        <v>153</v>
      </c>
      <c r="C101" s="230" t="s">
        <v>58</v>
      </c>
      <c r="D101" s="253"/>
      <c r="E101" s="253"/>
      <c r="F101" s="253"/>
      <c r="G101" s="133"/>
      <c r="H101" s="17">
        <f>H100</f>
        <v>0</v>
      </c>
      <c r="I101" s="107"/>
    </row>
    <row r="102" spans="2:9" x14ac:dyDescent="0.2">
      <c r="B102" s="99"/>
      <c r="C102" s="98"/>
      <c r="D102" s="98"/>
      <c r="E102" s="98"/>
      <c r="F102" s="98"/>
      <c r="G102" s="100"/>
      <c r="H102" s="172"/>
      <c r="I102" s="123"/>
    </row>
    <row r="103" spans="2:9" x14ac:dyDescent="0.2">
      <c r="B103" s="281" t="s">
        <v>71</v>
      </c>
      <c r="C103" s="282"/>
      <c r="D103" s="282"/>
      <c r="E103" s="282"/>
      <c r="F103" s="282"/>
      <c r="G103" s="157"/>
      <c r="H103" s="158"/>
      <c r="I103" s="101"/>
    </row>
    <row r="104" spans="2:9" x14ac:dyDescent="0.2">
      <c r="B104" s="96">
        <v>4</v>
      </c>
      <c r="C104" s="230" t="s">
        <v>72</v>
      </c>
      <c r="D104" s="253"/>
      <c r="E104" s="253"/>
      <c r="F104" s="253"/>
      <c r="G104" s="231"/>
      <c r="H104" s="96" t="s">
        <v>48</v>
      </c>
      <c r="I104" s="101"/>
    </row>
    <row r="105" spans="2:9" x14ac:dyDescent="0.2">
      <c r="B105" s="14" t="s">
        <v>14</v>
      </c>
      <c r="C105" s="94" t="s">
        <v>42</v>
      </c>
      <c r="D105" s="173" t="s">
        <v>152</v>
      </c>
      <c r="E105" s="174"/>
      <c r="F105" s="174"/>
      <c r="G105" s="175"/>
      <c r="H105" s="20">
        <f>H96</f>
        <v>526.67999999999995</v>
      </c>
      <c r="I105" s="107"/>
    </row>
    <row r="106" spans="2:9" x14ac:dyDescent="0.2">
      <c r="B106" s="14" t="s">
        <v>15</v>
      </c>
      <c r="C106" s="94" t="s">
        <v>44</v>
      </c>
      <c r="D106" s="173" t="s">
        <v>153</v>
      </c>
      <c r="E106" s="174"/>
      <c r="F106" s="174"/>
      <c r="G106" s="175"/>
      <c r="H106" s="20">
        <f>H101</f>
        <v>0</v>
      </c>
      <c r="I106" s="107"/>
    </row>
    <row r="107" spans="2:9" x14ac:dyDescent="0.2">
      <c r="B107" s="14" t="s">
        <v>154</v>
      </c>
      <c r="C107" s="230" t="s">
        <v>58</v>
      </c>
      <c r="D107" s="253"/>
      <c r="E107" s="253"/>
      <c r="F107" s="253"/>
      <c r="G107" s="83"/>
      <c r="H107" s="17">
        <f>SUM(H105:H106)</f>
        <v>526.67999999999995</v>
      </c>
      <c r="I107" s="18"/>
    </row>
    <row r="108" spans="2:9" x14ac:dyDescent="0.2">
      <c r="B108" s="100"/>
      <c r="C108" s="100"/>
      <c r="D108" s="100"/>
      <c r="E108" s="100"/>
      <c r="F108" s="100"/>
      <c r="G108" s="100"/>
      <c r="H108" s="100"/>
      <c r="I108" s="101"/>
    </row>
    <row r="109" spans="2:9" x14ac:dyDescent="0.2">
      <c r="B109" s="100"/>
      <c r="C109" s="100"/>
      <c r="D109" s="100"/>
      <c r="E109" s="100"/>
      <c r="F109" s="100"/>
      <c r="G109" s="100"/>
      <c r="H109" s="100"/>
      <c r="I109" s="101"/>
    </row>
    <row r="110" spans="2:9" x14ac:dyDescent="0.2">
      <c r="B110" s="254" t="s">
        <v>73</v>
      </c>
      <c r="C110" s="255"/>
      <c r="D110" s="255"/>
      <c r="E110" s="255"/>
      <c r="F110" s="277"/>
      <c r="G110" s="147"/>
      <c r="H110" s="148"/>
      <c r="I110" s="101"/>
    </row>
    <row r="111" spans="2:9" x14ac:dyDescent="0.2">
      <c r="B111" s="96">
        <v>5</v>
      </c>
      <c r="C111" s="287" t="s">
        <v>60</v>
      </c>
      <c r="D111" s="288"/>
      <c r="E111" s="288"/>
      <c r="F111" s="288"/>
      <c r="G111" s="289"/>
      <c r="H111" s="96" t="s">
        <v>48</v>
      </c>
      <c r="I111" s="101"/>
    </row>
    <row r="112" spans="2:9" x14ac:dyDescent="0.2">
      <c r="B112" s="14" t="s">
        <v>4</v>
      </c>
      <c r="C112" s="70" t="s">
        <v>45</v>
      </c>
      <c r="D112" s="71"/>
      <c r="E112" s="71"/>
      <c r="F112" s="71"/>
      <c r="G112" s="72"/>
      <c r="H112" s="73">
        <f>'Insumos M.O.'!G14</f>
        <v>212.00999999999996</v>
      </c>
      <c r="I112" s="107"/>
    </row>
    <row r="113" spans="2:9" x14ac:dyDescent="0.2">
      <c r="B113" s="14" t="s">
        <v>5</v>
      </c>
      <c r="C113" s="70" t="s">
        <v>12</v>
      </c>
      <c r="D113" s="71"/>
      <c r="E113" s="71"/>
      <c r="F113" s="71"/>
      <c r="G113" s="72"/>
      <c r="H113" s="73">
        <f>'Insumos M.O.'!G32</f>
        <v>3852.8099999999995</v>
      </c>
      <c r="I113" s="107"/>
    </row>
    <row r="114" spans="2:9" x14ac:dyDescent="0.2">
      <c r="B114" s="14" t="s">
        <v>6</v>
      </c>
      <c r="C114" s="70" t="s">
        <v>13</v>
      </c>
      <c r="D114" s="71"/>
      <c r="E114" s="71"/>
      <c r="F114" s="71"/>
      <c r="G114" s="72"/>
      <c r="H114" s="73">
        <f>'Insumos M.O.'!H46</f>
        <v>33.239999999999995</v>
      </c>
      <c r="I114" s="107"/>
    </row>
    <row r="115" spans="2:9" x14ac:dyDescent="0.2">
      <c r="B115" s="14" t="s">
        <v>7</v>
      </c>
      <c r="C115" s="70" t="s">
        <v>430</v>
      </c>
      <c r="D115" s="71"/>
      <c r="E115" s="71"/>
      <c r="F115" s="71"/>
      <c r="G115" s="72"/>
      <c r="H115" s="73">
        <f>'Insumos M.O.'!H52</f>
        <v>8.02</v>
      </c>
      <c r="I115" s="107"/>
    </row>
    <row r="116" spans="2:9" x14ac:dyDescent="0.2">
      <c r="B116" s="14" t="s">
        <v>155</v>
      </c>
      <c r="C116" s="230" t="s">
        <v>58</v>
      </c>
      <c r="D116" s="253"/>
      <c r="E116" s="253"/>
      <c r="F116" s="253"/>
      <c r="G116" s="83"/>
      <c r="H116" s="17">
        <f>SUM(H112:H115)</f>
        <v>4106.08</v>
      </c>
      <c r="I116" s="18"/>
    </row>
    <row r="117" spans="2:9" x14ac:dyDescent="0.2">
      <c r="B117" s="100"/>
      <c r="C117" s="100"/>
      <c r="D117" s="100"/>
      <c r="E117" s="100"/>
      <c r="F117" s="100"/>
      <c r="G117" s="79"/>
      <c r="H117" s="74"/>
      <c r="I117" s="18"/>
    </row>
    <row r="118" spans="2:9" x14ac:dyDescent="0.2">
      <c r="B118" s="100"/>
      <c r="C118" s="100"/>
      <c r="D118" s="100"/>
      <c r="E118" s="100"/>
      <c r="F118" s="100"/>
      <c r="G118" s="100"/>
      <c r="H118" s="100"/>
      <c r="I118" s="101"/>
    </row>
    <row r="119" spans="2:9" x14ac:dyDescent="0.2">
      <c r="B119" s="254" t="s">
        <v>74</v>
      </c>
      <c r="C119" s="255"/>
      <c r="D119" s="255"/>
      <c r="E119" s="255"/>
      <c r="F119" s="277"/>
      <c r="G119" s="147"/>
      <c r="H119" s="148"/>
      <c r="I119" s="101"/>
    </row>
    <row r="120" spans="2:9" x14ac:dyDescent="0.2">
      <c r="B120" s="96">
        <v>6</v>
      </c>
      <c r="C120" s="230" t="s">
        <v>61</v>
      </c>
      <c r="D120" s="253"/>
      <c r="E120" s="253"/>
      <c r="F120" s="231"/>
      <c r="G120" s="96" t="s">
        <v>1</v>
      </c>
      <c r="H120" s="96" t="s">
        <v>48</v>
      </c>
      <c r="I120" s="101"/>
    </row>
    <row r="121" spans="2:9" x14ac:dyDescent="0.2">
      <c r="B121" s="14" t="s">
        <v>4</v>
      </c>
      <c r="C121" s="94" t="s">
        <v>16</v>
      </c>
      <c r="D121" s="247" t="s">
        <v>167</v>
      </c>
      <c r="E121" s="248"/>
      <c r="F121" s="249"/>
      <c r="G121" s="51">
        <v>0.05</v>
      </c>
      <c r="H121" s="20">
        <f>TRUNC(H$138*$G121,2)</f>
        <v>481.12</v>
      </c>
      <c r="I121" s="107"/>
    </row>
    <row r="122" spans="2:9" x14ac:dyDescent="0.2">
      <c r="B122" s="14" t="s">
        <v>5</v>
      </c>
      <c r="C122" s="94" t="s">
        <v>3</v>
      </c>
      <c r="D122" s="247" t="s">
        <v>168</v>
      </c>
      <c r="E122" s="248"/>
      <c r="F122" s="249"/>
      <c r="G122" s="51">
        <v>0.1</v>
      </c>
      <c r="H122" s="20">
        <f>TRUNC((H$138+H$121)*$G122,2)</f>
        <v>1010.36</v>
      </c>
      <c r="I122" s="107"/>
    </row>
    <row r="123" spans="2:9" x14ac:dyDescent="0.2">
      <c r="B123" s="14" t="s">
        <v>6</v>
      </c>
      <c r="C123" s="94" t="s">
        <v>120</v>
      </c>
      <c r="D123" s="247" t="s">
        <v>169</v>
      </c>
      <c r="E123" s="248"/>
      <c r="F123" s="249"/>
      <c r="G123" s="53">
        <f>1-(G124+G125+G126)</f>
        <v>0.88749999999999996</v>
      </c>
      <c r="H123" s="26">
        <f>TRUNC(((H$138+H$121+H$122)/$G123),2)</f>
        <v>12522.81</v>
      </c>
      <c r="I123" s="110"/>
    </row>
    <row r="124" spans="2:9" x14ac:dyDescent="0.2">
      <c r="B124" s="14" t="s">
        <v>21</v>
      </c>
      <c r="C124" s="94" t="s">
        <v>18</v>
      </c>
      <c r="D124" s="247" t="s">
        <v>170</v>
      </c>
      <c r="E124" s="248"/>
      <c r="F124" s="249"/>
      <c r="G124" s="52">
        <v>1.6500000000000001E-2</v>
      </c>
      <c r="H124" s="20">
        <f>TRUNC(H$123*$G124,2)</f>
        <v>206.62</v>
      </c>
      <c r="I124" s="107"/>
    </row>
    <row r="125" spans="2:9" x14ac:dyDescent="0.2">
      <c r="B125" s="14" t="s">
        <v>22</v>
      </c>
      <c r="C125" s="94" t="s">
        <v>19</v>
      </c>
      <c r="D125" s="247" t="s">
        <v>170</v>
      </c>
      <c r="E125" s="248"/>
      <c r="F125" s="249"/>
      <c r="G125" s="52">
        <v>7.5999999999999998E-2</v>
      </c>
      <c r="H125" s="20">
        <f>TRUNC(H$123*$G125,2)</f>
        <v>951.73</v>
      </c>
      <c r="I125" s="107"/>
    </row>
    <row r="126" spans="2:9" x14ac:dyDescent="0.2">
      <c r="B126" s="14" t="s">
        <v>23</v>
      </c>
      <c r="C126" s="94" t="s">
        <v>20</v>
      </c>
      <c r="D126" s="247" t="s">
        <v>170</v>
      </c>
      <c r="E126" s="248"/>
      <c r="F126" s="249"/>
      <c r="G126" s="52">
        <v>0.02</v>
      </c>
      <c r="H126" s="20">
        <f>TRUNC(H$123*$G126,2)</f>
        <v>250.45</v>
      </c>
      <c r="I126" s="107"/>
    </row>
    <row r="127" spans="2:9" x14ac:dyDescent="0.2">
      <c r="B127" s="14" t="s">
        <v>156</v>
      </c>
      <c r="C127" s="90" t="s">
        <v>58</v>
      </c>
      <c r="D127" s="302" t="s">
        <v>158</v>
      </c>
      <c r="E127" s="302"/>
      <c r="F127" s="302"/>
      <c r="G127" s="171"/>
      <c r="H127" s="17">
        <f>SUM(H121:H126)-H123</f>
        <v>2900.2800000000007</v>
      </c>
      <c r="I127" s="18"/>
    </row>
    <row r="128" spans="2:9" x14ac:dyDescent="0.2">
      <c r="B128" s="68"/>
      <c r="C128" s="68"/>
      <c r="D128" s="68"/>
      <c r="E128" s="68"/>
      <c r="F128" s="68"/>
      <c r="G128" s="68"/>
      <c r="H128" s="80"/>
      <c r="I128" s="27"/>
    </row>
    <row r="129" spans="2:9" x14ac:dyDescent="0.2">
      <c r="B129" s="303" t="s">
        <v>196</v>
      </c>
      <c r="C129" s="303"/>
      <c r="D129" s="303"/>
      <c r="E129" s="303"/>
      <c r="F129" s="303"/>
      <c r="G129" s="303"/>
      <c r="H129" s="303"/>
      <c r="I129" s="117"/>
    </row>
    <row r="130" spans="2:9" x14ac:dyDescent="0.2">
      <c r="B130" s="93"/>
      <c r="C130" s="93"/>
      <c r="D130" s="93"/>
      <c r="E130" s="93"/>
      <c r="F130" s="93"/>
      <c r="G130" s="93"/>
      <c r="H130" s="93"/>
      <c r="I130" s="117"/>
    </row>
    <row r="131" spans="2:9" x14ac:dyDescent="0.2">
      <c r="B131" s="254" t="s">
        <v>197</v>
      </c>
      <c r="C131" s="255"/>
      <c r="D131" s="255"/>
      <c r="E131" s="255"/>
      <c r="F131" s="255"/>
      <c r="G131" s="165"/>
      <c r="H131" s="148"/>
      <c r="I131" s="101"/>
    </row>
    <row r="132" spans="2:9" ht="12.75" customHeight="1" x14ac:dyDescent="0.2">
      <c r="B132" s="163"/>
      <c r="C132" s="304" t="s">
        <v>121</v>
      </c>
      <c r="D132" s="305"/>
      <c r="E132" s="305"/>
      <c r="F132" s="305"/>
      <c r="G132" s="164"/>
      <c r="H132" s="146" t="s">
        <v>48</v>
      </c>
      <c r="I132" s="101"/>
    </row>
    <row r="133" spans="2:9" x14ac:dyDescent="0.2">
      <c r="B133" s="14" t="s">
        <v>4</v>
      </c>
      <c r="C133" s="86" t="s">
        <v>76</v>
      </c>
      <c r="D133" s="173" t="s">
        <v>133</v>
      </c>
      <c r="E133" s="174"/>
      <c r="F133" s="174"/>
      <c r="G133" s="175"/>
      <c r="H133" s="20">
        <f>H32</f>
        <v>1717.2</v>
      </c>
      <c r="I133" s="107"/>
    </row>
    <row r="134" spans="2:9" ht="22.5" x14ac:dyDescent="0.2">
      <c r="B134" s="14" t="s">
        <v>5</v>
      </c>
      <c r="C134" s="86" t="s">
        <v>77</v>
      </c>
      <c r="D134" s="173" t="s">
        <v>147</v>
      </c>
      <c r="E134" s="174"/>
      <c r="F134" s="174"/>
      <c r="G134" s="175"/>
      <c r="H134" s="20">
        <f>H76</f>
        <v>2817.8841666666667</v>
      </c>
      <c r="I134" s="107"/>
    </row>
    <row r="135" spans="2:9" x14ac:dyDescent="0.2">
      <c r="B135" s="14" t="s">
        <v>6</v>
      </c>
      <c r="C135" s="86" t="s">
        <v>78</v>
      </c>
      <c r="D135" s="173" t="s">
        <v>151</v>
      </c>
      <c r="E135" s="174"/>
      <c r="F135" s="174"/>
      <c r="G135" s="175"/>
      <c r="H135" s="20">
        <f>H87</f>
        <v>454.66999999999996</v>
      </c>
      <c r="I135" s="107"/>
    </row>
    <row r="136" spans="2:9" ht="22.5" x14ac:dyDescent="0.2">
      <c r="B136" s="14" t="s">
        <v>7</v>
      </c>
      <c r="C136" s="86" t="s">
        <v>43</v>
      </c>
      <c r="D136" s="173" t="s">
        <v>154</v>
      </c>
      <c r="E136" s="174"/>
      <c r="F136" s="174"/>
      <c r="G136" s="175"/>
      <c r="H136" s="20">
        <f>H107</f>
        <v>526.67999999999995</v>
      </c>
      <c r="I136" s="107"/>
    </row>
    <row r="137" spans="2:9" x14ac:dyDescent="0.2">
      <c r="B137" s="14" t="s">
        <v>8</v>
      </c>
      <c r="C137" s="86" t="s">
        <v>79</v>
      </c>
      <c r="D137" s="173" t="s">
        <v>155</v>
      </c>
      <c r="E137" s="174"/>
      <c r="F137" s="174"/>
      <c r="G137" s="175"/>
      <c r="H137" s="20">
        <f>H116</f>
        <v>4106.08</v>
      </c>
      <c r="I137" s="107"/>
    </row>
    <row r="138" spans="2:9" x14ac:dyDescent="0.2">
      <c r="B138" s="92" t="s">
        <v>9</v>
      </c>
      <c r="C138" s="85" t="s">
        <v>46</v>
      </c>
      <c r="D138" s="179" t="s">
        <v>174</v>
      </c>
      <c r="E138" s="180"/>
      <c r="F138" s="180"/>
      <c r="G138" s="181"/>
      <c r="H138" s="23">
        <f>SUM(H133:H137)</f>
        <v>9622.5141666666677</v>
      </c>
      <c r="I138" s="18"/>
    </row>
    <row r="139" spans="2:9" x14ac:dyDescent="0.2">
      <c r="B139" s="14" t="s">
        <v>10</v>
      </c>
      <c r="C139" s="94" t="s">
        <v>80</v>
      </c>
      <c r="D139" s="173" t="s">
        <v>156</v>
      </c>
      <c r="E139" s="174"/>
      <c r="F139" s="174"/>
      <c r="G139" s="175"/>
      <c r="H139" s="20">
        <f>H127</f>
        <v>2900.2800000000007</v>
      </c>
      <c r="I139" s="107"/>
    </row>
    <row r="140" spans="2:9" x14ac:dyDescent="0.2">
      <c r="B140" s="14" t="s">
        <v>159</v>
      </c>
      <c r="C140" s="89" t="s">
        <v>75</v>
      </c>
      <c r="D140" s="182" t="s">
        <v>173</v>
      </c>
      <c r="E140" s="170"/>
      <c r="F140" s="170"/>
      <c r="G140" s="171"/>
      <c r="H140" s="29">
        <f>SUM(H138:H139)</f>
        <v>12522.794166666668</v>
      </c>
      <c r="I140" s="121"/>
    </row>
    <row r="141" spans="2:9" ht="12.75" customHeight="1" x14ac:dyDescent="0.2">
      <c r="B141" s="12"/>
      <c r="C141" s="12"/>
      <c r="D141" s="12"/>
      <c r="E141" s="12"/>
      <c r="F141" s="12"/>
      <c r="G141" s="12"/>
      <c r="H141" s="30"/>
      <c r="I141" s="30"/>
    </row>
    <row r="142" spans="2:9" x14ac:dyDescent="0.2">
      <c r="B142" s="303" t="s">
        <v>198</v>
      </c>
      <c r="C142" s="303"/>
      <c r="D142" s="303"/>
      <c r="E142" s="303"/>
      <c r="F142" s="303"/>
      <c r="I142" s="12"/>
    </row>
    <row r="143" spans="2:9" x14ac:dyDescent="0.2">
      <c r="B143" s="81"/>
      <c r="C143" s="81"/>
      <c r="D143" s="81"/>
      <c r="E143" s="75"/>
      <c r="F143" s="75"/>
      <c r="I143" s="12"/>
    </row>
    <row r="144" spans="2:9" x14ac:dyDescent="0.2">
      <c r="B144" s="306" t="s">
        <v>199</v>
      </c>
      <c r="C144" s="307"/>
      <c r="D144" s="307"/>
      <c r="E144" s="307"/>
      <c r="F144" s="307"/>
      <c r="G144" s="165"/>
      <c r="H144" s="148"/>
      <c r="I144" s="118"/>
    </row>
    <row r="145" spans="2:9" x14ac:dyDescent="0.2">
      <c r="B145" s="134" t="s">
        <v>4</v>
      </c>
      <c r="C145" s="166" t="s">
        <v>103</v>
      </c>
      <c r="D145" s="295" t="s">
        <v>159</v>
      </c>
      <c r="E145" s="296"/>
      <c r="F145" s="296"/>
      <c r="G145" s="167"/>
      <c r="H145" s="168">
        <f>H140</f>
        <v>12522.794166666668</v>
      </c>
      <c r="I145" s="116"/>
    </row>
    <row r="146" spans="2:9" ht="22.5" x14ac:dyDescent="0.2">
      <c r="B146" s="14" t="s">
        <v>5</v>
      </c>
      <c r="C146" s="87" t="s">
        <v>161</v>
      </c>
      <c r="D146" s="297" t="s">
        <v>162</v>
      </c>
      <c r="E146" s="298"/>
      <c r="F146" s="298"/>
      <c r="G146" s="161"/>
      <c r="H146" s="9">
        <f>H43+H87+H105</f>
        <v>1315.25</v>
      </c>
      <c r="I146" s="111"/>
    </row>
    <row r="147" spans="2:9" ht="22.5" x14ac:dyDescent="0.2">
      <c r="B147" s="14" t="s">
        <v>6</v>
      </c>
      <c r="C147" s="87" t="s">
        <v>177</v>
      </c>
      <c r="D147" s="297" t="s">
        <v>185</v>
      </c>
      <c r="E147" s="298"/>
      <c r="F147" s="298"/>
      <c r="G147" s="162"/>
      <c r="H147" s="115">
        <f>TRUNC((H$43*$G56),2)</f>
        <v>132.88999999999999</v>
      </c>
      <c r="I147" s="116"/>
    </row>
    <row r="148" spans="2:9" ht="12.75" customHeight="1" x14ac:dyDescent="0.2">
      <c r="B148" s="14" t="s">
        <v>7</v>
      </c>
      <c r="C148" s="87" t="s">
        <v>16</v>
      </c>
      <c r="D148" s="299" t="s">
        <v>171</v>
      </c>
      <c r="E148" s="300"/>
      <c r="F148" s="301"/>
      <c r="G148" s="10">
        <f>G121</f>
        <v>0.05</v>
      </c>
      <c r="H148" s="9">
        <f>TRUNC((H$146+H$147)*$G148,2)</f>
        <v>72.400000000000006</v>
      </c>
      <c r="I148" s="111"/>
    </row>
    <row r="149" spans="2:9" ht="12.75" customHeight="1" x14ac:dyDescent="0.2">
      <c r="B149" s="14" t="s">
        <v>8</v>
      </c>
      <c r="C149" s="87" t="s">
        <v>3</v>
      </c>
      <c r="D149" s="299" t="s">
        <v>172</v>
      </c>
      <c r="E149" s="300"/>
      <c r="F149" s="301"/>
      <c r="G149" s="10">
        <f>G122</f>
        <v>0.1</v>
      </c>
      <c r="H149" s="9">
        <f>TRUNC((H$146+H$147+H$148)*$G149,2)</f>
        <v>152.05000000000001</v>
      </c>
      <c r="I149" s="111"/>
    </row>
    <row r="150" spans="2:9" ht="12.75" customHeight="1" x14ac:dyDescent="0.2">
      <c r="B150" s="14" t="s">
        <v>9</v>
      </c>
      <c r="C150" s="87" t="s">
        <v>104</v>
      </c>
      <c r="D150" s="299" t="s">
        <v>179</v>
      </c>
      <c r="E150" s="300"/>
      <c r="F150" s="301"/>
      <c r="G150" s="10">
        <f>G124+G125+G126</f>
        <v>0.1125</v>
      </c>
      <c r="H150" s="9">
        <f>TRUNC((H$146+H$147+H$148+H$149)/(1-$G150)-(H$146+H$147+H$148+H$149),2)</f>
        <v>212.01</v>
      </c>
      <c r="I150" s="111"/>
    </row>
    <row r="151" spans="2:9" ht="22.5" x14ac:dyDescent="0.2">
      <c r="B151" s="14" t="s">
        <v>10</v>
      </c>
      <c r="C151" s="135" t="s">
        <v>105</v>
      </c>
      <c r="D151" s="159" t="s">
        <v>180</v>
      </c>
      <c r="E151" s="160"/>
      <c r="F151" s="160"/>
      <c r="G151" s="161"/>
      <c r="H151" s="136">
        <f>SUM(H146:H150)</f>
        <v>1884.6</v>
      </c>
      <c r="I151" s="112"/>
    </row>
    <row r="152" spans="2:9" x14ac:dyDescent="0.2">
      <c r="B152" s="14" t="s">
        <v>160</v>
      </c>
      <c r="C152" s="91" t="s">
        <v>130</v>
      </c>
      <c r="D152" s="290" t="s">
        <v>178</v>
      </c>
      <c r="E152" s="291"/>
      <c r="F152" s="291"/>
      <c r="G152" s="169"/>
      <c r="H152" s="31">
        <f>H145-H151</f>
        <v>10638.194166666668</v>
      </c>
      <c r="I152" s="122"/>
    </row>
    <row r="153" spans="2:9" ht="45" customHeight="1" x14ac:dyDescent="0.2">
      <c r="B153" s="292" t="s">
        <v>129</v>
      </c>
      <c r="C153" s="293"/>
      <c r="D153" s="293"/>
      <c r="E153" s="293"/>
      <c r="F153" s="293"/>
      <c r="G153" s="294"/>
      <c r="H153" s="145"/>
      <c r="I153" s="113"/>
    </row>
  </sheetData>
  <mergeCells count="106">
    <mergeCell ref="B2:H2"/>
    <mergeCell ref="B3:H3"/>
    <mergeCell ref="B9:B10"/>
    <mergeCell ref="B19:B20"/>
    <mergeCell ref="C24:F24"/>
    <mergeCell ref="B15:B16"/>
    <mergeCell ref="D6:F6"/>
    <mergeCell ref="B17:B18"/>
    <mergeCell ref="D31:F31"/>
    <mergeCell ref="B8:F8"/>
    <mergeCell ref="C9:F9"/>
    <mergeCell ref="C10:F10"/>
    <mergeCell ref="C20:F20"/>
    <mergeCell ref="C19:F19"/>
    <mergeCell ref="C18:F18"/>
    <mergeCell ref="C17:F17"/>
    <mergeCell ref="C16:F16"/>
    <mergeCell ref="C15:F15"/>
    <mergeCell ref="C14:F14"/>
    <mergeCell ref="C13:F13"/>
    <mergeCell ref="C12:F12"/>
    <mergeCell ref="C11:F11"/>
    <mergeCell ref="B11:B12"/>
    <mergeCell ref="B13:B14"/>
    <mergeCell ref="C32:F32"/>
    <mergeCell ref="C33:F34"/>
    <mergeCell ref="D25:F25"/>
    <mergeCell ref="D26:F26"/>
    <mergeCell ref="D28:F28"/>
    <mergeCell ref="D29:F29"/>
    <mergeCell ref="D30:F30"/>
    <mergeCell ref="B23:F23"/>
    <mergeCell ref="B37:F37"/>
    <mergeCell ref="B39:F39"/>
    <mergeCell ref="B38:F38"/>
    <mergeCell ref="B49:B50"/>
    <mergeCell ref="C49:C50"/>
    <mergeCell ref="D49:D50"/>
    <mergeCell ref="C40:F40"/>
    <mergeCell ref="D41:F41"/>
    <mergeCell ref="D42:F42"/>
    <mergeCell ref="C43:F43"/>
    <mergeCell ref="B44:H44"/>
    <mergeCell ref="G49:G50"/>
    <mergeCell ref="H49:H50"/>
    <mergeCell ref="B45:F45"/>
    <mergeCell ref="D51:F51"/>
    <mergeCell ref="D52:F52"/>
    <mergeCell ref="D53:F53"/>
    <mergeCell ref="C46:F46"/>
    <mergeCell ref="D47:F47"/>
    <mergeCell ref="D48:F48"/>
    <mergeCell ref="B58:F58"/>
    <mergeCell ref="C59:F59"/>
    <mergeCell ref="D54:F54"/>
    <mergeCell ref="D55:F55"/>
    <mergeCell ref="C56:F56"/>
    <mergeCell ref="B57:H57"/>
    <mergeCell ref="C69:F69"/>
    <mergeCell ref="B77:H77"/>
    <mergeCell ref="C80:F80"/>
    <mergeCell ref="B70:H70"/>
    <mergeCell ref="B79:F79"/>
    <mergeCell ref="B71:F71"/>
    <mergeCell ref="C72:F72"/>
    <mergeCell ref="C76:F76"/>
    <mergeCell ref="C92:F92"/>
    <mergeCell ref="D83:E83"/>
    <mergeCell ref="D85:E85"/>
    <mergeCell ref="D86:E86"/>
    <mergeCell ref="B90:F90"/>
    <mergeCell ref="B91:F91"/>
    <mergeCell ref="C111:G111"/>
    <mergeCell ref="C99:F99"/>
    <mergeCell ref="C104:G104"/>
    <mergeCell ref="B110:F110"/>
    <mergeCell ref="B119:F119"/>
    <mergeCell ref="B98:F98"/>
    <mergeCell ref="B103:F103"/>
    <mergeCell ref="C116:F116"/>
    <mergeCell ref="C107:F107"/>
    <mergeCell ref="C101:F101"/>
    <mergeCell ref="B6:C6"/>
    <mergeCell ref="C132:F132"/>
    <mergeCell ref="D127:F127"/>
    <mergeCell ref="D148:F148"/>
    <mergeCell ref="D149:F149"/>
    <mergeCell ref="D150:F150"/>
    <mergeCell ref="B142:F142"/>
    <mergeCell ref="B153:G153"/>
    <mergeCell ref="B144:F144"/>
    <mergeCell ref="D145:F145"/>
    <mergeCell ref="D146:F146"/>
    <mergeCell ref="D147:F147"/>
    <mergeCell ref="D152:F152"/>
    <mergeCell ref="D126:F126"/>
    <mergeCell ref="B129:H129"/>
    <mergeCell ref="C120:F120"/>
    <mergeCell ref="D121:F121"/>
    <mergeCell ref="D122:F122"/>
    <mergeCell ref="D123:F123"/>
    <mergeCell ref="D124:F124"/>
    <mergeCell ref="D125:F125"/>
    <mergeCell ref="B131:F131"/>
    <mergeCell ref="C96:F96"/>
    <mergeCell ref="C87:F87"/>
  </mergeCells>
  <dataValidations count="11">
    <dataValidation type="list" allowBlank="1" showInputMessage="1" showErrorMessage="1" sqref="G86" xr:uid="{00000000-0002-0000-0100-000000000000}">
      <formula1>"3,6,9,12,15"</formula1>
    </dataValidation>
    <dataValidation type="custom" allowBlank="1" showInputMessage="1" showErrorMessage="1" sqref="G123" xr:uid="{00000000-0002-0000-0100-000001000000}">
      <formula1>1-(G124+G125+G126)</formula1>
    </dataValidation>
    <dataValidation type="list" operator="equal" allowBlank="1" showInputMessage="1" showErrorMessage="1" errorTitle="Valor errado" error="Percentual fixo. Preencher com 40%." sqref="F83 F85" xr:uid="{00000000-0002-0000-0100-000002000000}">
      <formula1>"40%"</formula1>
    </dataValidation>
    <dataValidation type="whole" allowBlank="1" showInputMessage="1" showErrorMessage="1" errorTitle="Valor errado" error="Quantidade fixa de dias. Prencher com 30" sqref="G93" xr:uid="{00000000-0002-0000-0100-000003000000}">
      <formula1>30</formula1>
      <formula2>30</formula2>
    </dataValidation>
    <dataValidation type="list" allowBlank="1" showInputMessage="1" showErrorMessage="1" sqref="G30" xr:uid="{00000000-0002-0000-0100-000004000000}">
      <formula1>"0, 50%, 100%"</formula1>
    </dataValidation>
    <dataValidation type="list" allowBlank="1" showInputMessage="1" showErrorMessage="1" sqref="G124" xr:uid="{00000000-0002-0000-0100-000005000000}">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list" allowBlank="1" showInputMessage="1" showErrorMessage="1" sqref="G125" xr:uid="{00000000-0002-0000-0100-000006000000}">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28:G29" xr:uid="{00000000-0002-0000-0100-000007000000}">
      <formula1>"0, 20%"</formula1>
    </dataValidation>
    <dataValidation type="list" allowBlank="1" showInputMessage="1" showErrorMessage="1" sqref="E50" xr:uid="{00000000-0002-0000-0100-000008000000}">
      <formula1>"1%, 2%, 3%"</formula1>
    </dataValidation>
    <dataValidation type="list" allowBlank="1" showInputMessage="1" showErrorMessage="1" sqref="G27" xr:uid="{00000000-0002-0000-0100-000009000000}">
      <formula1>"0%, 10%, 20%, 40%"</formula1>
    </dataValidation>
    <dataValidation type="list" allowBlank="1" showInputMessage="1" showErrorMessage="1" sqref="G26" xr:uid="{00000000-0002-0000-0100-00000A000000}">
      <formula1>"0%, 30%"</formula1>
    </dataValidation>
  </dataValidations>
  <pageMargins left="0.511811024" right="0.511811024" top="0.78740157499999996" bottom="0.78740157499999996" header="0.31496062000000002" footer="0.31496062000000002"/>
  <pageSetup paperSize="9" scale="73" orientation="portrait" verticalDpi="300" r:id="rId1"/>
  <rowBreaks count="2" manualBreakCount="2">
    <brk id="76" max="7" man="1"/>
    <brk id="140" max="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4"/>
  <sheetViews>
    <sheetView showGridLines="0" view="pageBreakPreview" zoomScale="60" zoomScaleNormal="100" workbookViewId="0">
      <selection activeCell="C68" sqref="C68"/>
    </sheetView>
  </sheetViews>
  <sheetFormatPr defaultColWidth="9.28515625" defaultRowHeight="11.25" x14ac:dyDescent="0.2"/>
  <cols>
    <col min="1" max="1" width="3.7109375" style="44" customWidth="1"/>
    <col min="2" max="2" width="25.7109375" style="44" customWidth="1"/>
    <col min="3" max="3" width="14.28515625" style="44" customWidth="1"/>
    <col min="4" max="4" width="15.42578125" style="44" customWidth="1"/>
    <col min="5" max="5" width="14" style="44" customWidth="1"/>
    <col min="6" max="6" width="11.42578125" style="44" customWidth="1"/>
    <col min="7" max="7" width="13.28515625" style="44" customWidth="1"/>
    <col min="8" max="10" width="15.7109375" style="44" customWidth="1"/>
    <col min="11" max="16384" width="9.28515625" style="44"/>
  </cols>
  <sheetData>
    <row r="1" spans="1:12" ht="12" thickBot="1" x14ac:dyDescent="0.25"/>
    <row r="2" spans="1:12" ht="18.75" customHeight="1" thickBot="1" x14ac:dyDescent="0.25">
      <c r="A2" s="309" t="s">
        <v>392</v>
      </c>
      <c r="B2" s="310"/>
      <c r="C2" s="310"/>
      <c r="D2" s="310"/>
      <c r="E2" s="310"/>
      <c r="F2" s="310"/>
      <c r="G2" s="311"/>
      <c r="H2" s="140"/>
      <c r="I2" s="140"/>
    </row>
    <row r="4" spans="1:12" s="45" customFormat="1" ht="30" customHeight="1" x14ac:dyDescent="0.2">
      <c r="A4" s="314" t="s">
        <v>81</v>
      </c>
      <c r="B4" s="314"/>
      <c r="C4" s="42" t="s">
        <v>82</v>
      </c>
      <c r="D4" s="42" t="s">
        <v>116</v>
      </c>
      <c r="E4" s="42" t="s">
        <v>111</v>
      </c>
      <c r="F4" s="42" t="s">
        <v>117</v>
      </c>
      <c r="G4" s="42" t="s">
        <v>118</v>
      </c>
      <c r="H4" s="137"/>
      <c r="I4" s="137"/>
      <c r="K4" s="44"/>
      <c r="L4" s="44"/>
    </row>
    <row r="5" spans="1:12" x14ac:dyDescent="0.2">
      <c r="A5" s="3">
        <v>1</v>
      </c>
      <c r="B5" s="141" t="s">
        <v>112</v>
      </c>
      <c r="C5" s="49">
        <v>95.83</v>
      </c>
      <c r="D5" s="142">
        <v>2</v>
      </c>
      <c r="E5" s="142">
        <v>6</v>
      </c>
      <c r="F5" s="142">
        <f>IF(B5="","",TRUNC(C5*D5*(12/E5),2))</f>
        <v>383.32</v>
      </c>
      <c r="G5" s="142">
        <f>IF(B5="","",TRUNC(F5/12,2))</f>
        <v>31.94</v>
      </c>
      <c r="H5" s="138"/>
      <c r="I5" s="138"/>
    </row>
    <row r="6" spans="1:12" x14ac:dyDescent="0.2">
      <c r="A6" s="3">
        <f>A5+1</f>
        <v>2</v>
      </c>
      <c r="B6" s="141" t="s">
        <v>113</v>
      </c>
      <c r="C6" s="49">
        <v>110</v>
      </c>
      <c r="D6" s="142">
        <v>4</v>
      </c>
      <c r="E6" s="142">
        <v>6</v>
      </c>
      <c r="F6" s="142">
        <f>IF(B6="","",TRUNC(C6*D6*(12/E6),2))</f>
        <v>880</v>
      </c>
      <c r="G6" s="142">
        <f t="shared" ref="G6:G13" si="0">IF(B6="","",TRUNC(F6/12,2))</f>
        <v>73.33</v>
      </c>
      <c r="H6" s="138"/>
      <c r="I6" s="138"/>
    </row>
    <row r="7" spans="1:12" x14ac:dyDescent="0.2">
      <c r="A7" s="3">
        <f t="shared" ref="A7:A13" si="1">A6+1</f>
        <v>3</v>
      </c>
      <c r="B7" s="141" t="s">
        <v>393</v>
      </c>
      <c r="C7" s="49">
        <v>27.63</v>
      </c>
      <c r="D7" s="142">
        <v>4</v>
      </c>
      <c r="E7" s="142">
        <v>6</v>
      </c>
      <c r="F7" s="142">
        <f t="shared" ref="F7:F13" si="2">IF(B7="","",TRUNC(C7*D7*(12/E7),2))</f>
        <v>221.04</v>
      </c>
      <c r="G7" s="142">
        <f t="shared" si="0"/>
        <v>18.420000000000002</v>
      </c>
      <c r="H7" s="139"/>
      <c r="I7" s="139"/>
    </row>
    <row r="8" spans="1:12" ht="22.5" x14ac:dyDescent="0.2">
      <c r="A8" s="3">
        <f t="shared" si="1"/>
        <v>4</v>
      </c>
      <c r="B8" s="141" t="s">
        <v>432</v>
      </c>
      <c r="C8" s="49">
        <v>69.650000000000006</v>
      </c>
      <c r="D8" s="142">
        <v>1</v>
      </c>
      <c r="E8" s="142">
        <v>6</v>
      </c>
      <c r="F8" s="142">
        <f t="shared" si="2"/>
        <v>139.30000000000001</v>
      </c>
      <c r="G8" s="142">
        <f t="shared" si="0"/>
        <v>11.6</v>
      </c>
      <c r="H8" s="139"/>
      <c r="I8" s="139"/>
    </row>
    <row r="9" spans="1:12" x14ac:dyDescent="0.2">
      <c r="A9" s="3">
        <v>5</v>
      </c>
      <c r="B9" s="141" t="s">
        <v>433</v>
      </c>
      <c r="C9" s="49">
        <v>46.58</v>
      </c>
      <c r="D9" s="142">
        <v>1</v>
      </c>
      <c r="E9" s="142">
        <v>6</v>
      </c>
      <c r="F9" s="142">
        <f t="shared" si="2"/>
        <v>93.16</v>
      </c>
      <c r="G9" s="142">
        <f t="shared" si="0"/>
        <v>7.76</v>
      </c>
      <c r="H9" s="139"/>
      <c r="I9" s="139"/>
    </row>
    <row r="10" spans="1:12" x14ac:dyDescent="0.2">
      <c r="A10" s="3">
        <v>6</v>
      </c>
      <c r="B10" s="141" t="s">
        <v>394</v>
      </c>
      <c r="C10" s="49">
        <v>239.29</v>
      </c>
      <c r="D10" s="142">
        <v>1</v>
      </c>
      <c r="E10" s="142">
        <v>6</v>
      </c>
      <c r="F10" s="142">
        <f t="shared" si="2"/>
        <v>478.58</v>
      </c>
      <c r="G10" s="142">
        <f t="shared" si="0"/>
        <v>39.880000000000003</v>
      </c>
      <c r="H10" s="139"/>
      <c r="I10" s="139"/>
    </row>
    <row r="11" spans="1:12" x14ac:dyDescent="0.2">
      <c r="A11" s="3">
        <v>7</v>
      </c>
      <c r="B11" s="141" t="s">
        <v>396</v>
      </c>
      <c r="C11" s="49">
        <v>12.61</v>
      </c>
      <c r="D11" s="142">
        <v>2</v>
      </c>
      <c r="E11" s="142">
        <v>6</v>
      </c>
      <c r="F11" s="142">
        <f t="shared" si="2"/>
        <v>50.44</v>
      </c>
      <c r="G11" s="142">
        <f t="shared" si="0"/>
        <v>4.2</v>
      </c>
      <c r="H11" s="139"/>
      <c r="I11" s="139"/>
    </row>
    <row r="12" spans="1:12" x14ac:dyDescent="0.2">
      <c r="A12" s="3">
        <f t="shared" si="1"/>
        <v>8</v>
      </c>
      <c r="B12" s="141" t="s">
        <v>395</v>
      </c>
      <c r="C12" s="49">
        <v>2.46</v>
      </c>
      <c r="D12" s="142">
        <v>4</v>
      </c>
      <c r="E12" s="142">
        <v>6</v>
      </c>
      <c r="F12" s="142">
        <f t="shared" si="2"/>
        <v>19.68</v>
      </c>
      <c r="G12" s="142">
        <f t="shared" si="0"/>
        <v>1.64</v>
      </c>
      <c r="H12" s="139"/>
      <c r="I12" s="139"/>
    </row>
    <row r="13" spans="1:12" x14ac:dyDescent="0.2">
      <c r="A13" s="3">
        <f t="shared" si="1"/>
        <v>9</v>
      </c>
      <c r="B13" s="141" t="s">
        <v>431</v>
      </c>
      <c r="C13" s="49">
        <v>34.86</v>
      </c>
      <c r="D13" s="142">
        <v>4</v>
      </c>
      <c r="E13" s="142">
        <v>6</v>
      </c>
      <c r="F13" s="142">
        <f t="shared" si="2"/>
        <v>278.88</v>
      </c>
      <c r="G13" s="142">
        <f t="shared" si="0"/>
        <v>23.24</v>
      </c>
      <c r="H13" s="139"/>
      <c r="I13" s="139"/>
    </row>
    <row r="14" spans="1:12" x14ac:dyDescent="0.2">
      <c r="B14" s="45"/>
      <c r="C14" s="48"/>
      <c r="D14" s="48"/>
      <c r="E14" s="312" t="s">
        <v>114</v>
      </c>
      <c r="F14" s="313"/>
      <c r="G14" s="43">
        <f>SUM(G5:G13)</f>
        <v>212.00999999999996</v>
      </c>
    </row>
    <row r="15" spans="1:12" ht="12" thickBot="1" x14ac:dyDescent="0.25">
      <c r="B15" s="45"/>
      <c r="C15" s="48"/>
      <c r="D15" s="48"/>
      <c r="E15" s="137"/>
      <c r="F15" s="137"/>
      <c r="G15" s="202"/>
    </row>
    <row r="16" spans="1:12" ht="22.5" customHeight="1" thickBot="1" x14ac:dyDescent="0.25">
      <c r="A16" s="315" t="s">
        <v>397</v>
      </c>
      <c r="B16" s="316"/>
      <c r="C16" s="316"/>
      <c r="D16" s="316"/>
      <c r="E16" s="316"/>
      <c r="F16" s="316"/>
      <c r="G16" s="317"/>
    </row>
    <row r="18" spans="1:9" ht="22.5" customHeight="1" x14ac:dyDescent="0.2">
      <c r="A18" s="314" t="s">
        <v>81</v>
      </c>
      <c r="B18" s="314"/>
      <c r="C18" s="42" t="s">
        <v>82</v>
      </c>
      <c r="D18" s="42" t="s">
        <v>116</v>
      </c>
      <c r="E18" s="42" t="s">
        <v>111</v>
      </c>
      <c r="F18" s="42" t="s">
        <v>117</v>
      </c>
      <c r="G18" s="42" t="s">
        <v>118</v>
      </c>
    </row>
    <row r="19" spans="1:9" x14ac:dyDescent="0.2">
      <c r="A19" s="3">
        <v>1</v>
      </c>
      <c r="B19" s="141" t="s">
        <v>398</v>
      </c>
      <c r="C19" s="49">
        <v>121.23</v>
      </c>
      <c r="D19" s="142">
        <v>2</v>
      </c>
      <c r="E19" s="142">
        <v>6</v>
      </c>
      <c r="F19" s="142">
        <f>IF(B19="","",TRUNC(C19*D19*(12/E19),2))</f>
        <v>484.92</v>
      </c>
      <c r="G19" s="142">
        <f>IF(B19="","",TRUNC(F19/12,2))</f>
        <v>40.409999999999997</v>
      </c>
    </row>
    <row r="20" spans="1:9" x14ac:dyDescent="0.2">
      <c r="A20" s="3">
        <f>A19+1</f>
        <v>2</v>
      </c>
      <c r="B20" s="141" t="s">
        <v>399</v>
      </c>
      <c r="C20" s="49">
        <v>112.97</v>
      </c>
      <c r="D20" s="142">
        <v>4</v>
      </c>
      <c r="E20" s="142">
        <v>6</v>
      </c>
      <c r="F20" s="142">
        <f>IF(B20="","",TRUNC(C20*D20*(12/E20),2))</f>
        <v>903.76</v>
      </c>
      <c r="G20" s="142">
        <f t="shared" ref="G20:G24" si="3">IF(B20="","",TRUNC(F20/12,2))</f>
        <v>75.31</v>
      </c>
    </row>
    <row r="21" spans="1:9" x14ac:dyDescent="0.2">
      <c r="A21" s="3">
        <f t="shared" ref="A21:A24" si="4">A20+1</f>
        <v>3</v>
      </c>
      <c r="B21" s="141" t="s">
        <v>393</v>
      </c>
      <c r="C21" s="49">
        <v>27.63</v>
      </c>
      <c r="D21" s="142">
        <v>4</v>
      </c>
      <c r="E21" s="142">
        <v>6</v>
      </c>
      <c r="F21" s="142">
        <f t="shared" ref="F21:F24" si="5">IF(B21="","",TRUNC(C21*D21*(12/E21),2))</f>
        <v>221.04</v>
      </c>
      <c r="G21" s="142">
        <f t="shared" si="3"/>
        <v>18.420000000000002</v>
      </c>
    </row>
    <row r="22" spans="1:9" x14ac:dyDescent="0.2">
      <c r="A22" s="3">
        <f t="shared" si="4"/>
        <v>4</v>
      </c>
      <c r="B22" s="141" t="s">
        <v>400</v>
      </c>
      <c r="C22" s="49">
        <v>128</v>
      </c>
      <c r="D22" s="142">
        <v>1</v>
      </c>
      <c r="E22" s="142">
        <v>6</v>
      </c>
      <c r="F22" s="142">
        <f t="shared" si="5"/>
        <v>256</v>
      </c>
      <c r="G22" s="142">
        <f t="shared" si="3"/>
        <v>21.33</v>
      </c>
    </row>
    <row r="23" spans="1:9" x14ac:dyDescent="0.2">
      <c r="A23" s="3">
        <f t="shared" si="4"/>
        <v>5</v>
      </c>
      <c r="B23" s="141" t="s">
        <v>394</v>
      </c>
      <c r="C23" s="49">
        <v>239.29</v>
      </c>
      <c r="D23" s="142">
        <v>1</v>
      </c>
      <c r="E23" s="142">
        <v>6</v>
      </c>
      <c r="F23" s="142">
        <f t="shared" si="5"/>
        <v>478.58</v>
      </c>
      <c r="G23" s="142">
        <f t="shared" si="3"/>
        <v>39.880000000000003</v>
      </c>
    </row>
    <row r="24" spans="1:9" x14ac:dyDescent="0.2">
      <c r="A24" s="3">
        <f t="shared" si="4"/>
        <v>6</v>
      </c>
      <c r="B24" s="141" t="s">
        <v>401</v>
      </c>
      <c r="C24" s="49">
        <v>34.520000000000003</v>
      </c>
      <c r="D24" s="142">
        <v>1</v>
      </c>
      <c r="E24" s="142">
        <v>6</v>
      </c>
      <c r="F24" s="142">
        <f t="shared" si="5"/>
        <v>69.040000000000006</v>
      </c>
      <c r="G24" s="142">
        <f t="shared" si="3"/>
        <v>5.75</v>
      </c>
    </row>
    <row r="25" spans="1:9" ht="14.25" x14ac:dyDescent="0.2">
      <c r="B25" s="45"/>
      <c r="C25" s="48"/>
      <c r="D25" s="48"/>
      <c r="E25" s="312" t="s">
        <v>114</v>
      </c>
      <c r="F25" s="313"/>
      <c r="G25" s="43">
        <f>SUM(G19:G24)</f>
        <v>201.09999999999997</v>
      </c>
      <c r="H25" s="140"/>
      <c r="I25" s="140"/>
    </row>
    <row r="26" spans="1:9" ht="14.25" x14ac:dyDescent="0.2">
      <c r="B26" s="45"/>
      <c r="C26" s="48"/>
      <c r="D26" s="48"/>
      <c r="E26" s="137"/>
      <c r="F26" s="137"/>
      <c r="G26" s="202"/>
      <c r="H26" s="140"/>
      <c r="I26" s="140"/>
    </row>
    <row r="27" spans="1:9" ht="15" thickBot="1" x14ac:dyDescent="0.25">
      <c r="B27" s="45"/>
      <c r="C27" s="48"/>
      <c r="D27" s="48"/>
      <c r="E27" s="137"/>
      <c r="F27" s="137"/>
      <c r="G27" s="202"/>
      <c r="H27" s="140"/>
      <c r="I27" s="140"/>
    </row>
    <row r="28" spans="1:9" ht="15" thickBot="1" x14ac:dyDescent="0.25">
      <c r="A28" s="309" t="s">
        <v>404</v>
      </c>
      <c r="B28" s="310"/>
      <c r="C28" s="310"/>
      <c r="D28" s="310"/>
      <c r="E28" s="310"/>
      <c r="F28" s="310"/>
      <c r="G28" s="311"/>
      <c r="H28" s="140"/>
      <c r="I28" s="140"/>
    </row>
    <row r="29" spans="1:9" ht="14.25" x14ac:dyDescent="0.2">
      <c r="H29" s="140"/>
      <c r="I29" s="140"/>
    </row>
    <row r="30" spans="1:9" ht="22.5" x14ac:dyDescent="0.2">
      <c r="A30" s="314" t="s">
        <v>81</v>
      </c>
      <c r="B30" s="314"/>
      <c r="C30" s="42" t="s">
        <v>388</v>
      </c>
      <c r="D30" s="42" t="s">
        <v>407</v>
      </c>
      <c r="E30" s="42" t="s">
        <v>406</v>
      </c>
      <c r="F30" s="42" t="s">
        <v>408</v>
      </c>
      <c r="G30" s="42" t="s">
        <v>118</v>
      </c>
      <c r="H30" s="140"/>
      <c r="I30" s="140"/>
    </row>
    <row r="31" spans="1:9" ht="14.25" x14ac:dyDescent="0.2">
      <c r="A31" s="3">
        <v>1</v>
      </c>
      <c r="B31" s="141" t="s">
        <v>405</v>
      </c>
      <c r="C31" s="49">
        <f>'Material ASG'!G55</f>
        <v>7705.619999999999</v>
      </c>
      <c r="D31" s="142">
        <v>1</v>
      </c>
      <c r="E31" s="142">
        <v>2</v>
      </c>
      <c r="F31" s="209">
        <f>D31/E31</f>
        <v>0.5</v>
      </c>
      <c r="G31" s="142">
        <f>F31*C31</f>
        <v>3852.8099999999995</v>
      </c>
      <c r="H31" s="140"/>
      <c r="I31" s="140"/>
    </row>
    <row r="32" spans="1:9" ht="14.25" x14ac:dyDescent="0.2">
      <c r="B32" s="45"/>
      <c r="C32" s="48"/>
      <c r="D32" s="48"/>
      <c r="E32" s="312" t="s">
        <v>114</v>
      </c>
      <c r="F32" s="313"/>
      <c r="G32" s="43">
        <f>SUM(G31:G31)</f>
        <v>3852.8099999999995</v>
      </c>
      <c r="H32" s="140"/>
      <c r="I32" s="140"/>
    </row>
    <row r="33" spans="1:10" ht="14.25" x14ac:dyDescent="0.2">
      <c r="B33" s="45"/>
      <c r="C33" s="48"/>
      <c r="D33" s="48"/>
      <c r="E33" s="137"/>
      <c r="F33" s="137"/>
      <c r="G33" s="202"/>
      <c r="H33" s="140"/>
      <c r="I33" s="140"/>
    </row>
    <row r="34" spans="1:10" ht="15" thickBot="1" x14ac:dyDescent="0.25">
      <c r="B34" s="45"/>
      <c r="C34" s="48"/>
      <c r="D34" s="48"/>
      <c r="E34" s="137"/>
      <c r="F34" s="137"/>
      <c r="G34" s="202"/>
      <c r="H34" s="140"/>
      <c r="I34" s="140"/>
    </row>
    <row r="35" spans="1:10" ht="15" thickBot="1" x14ac:dyDescent="0.25">
      <c r="A35" s="315" t="s">
        <v>409</v>
      </c>
      <c r="B35" s="316"/>
      <c r="C35" s="316"/>
      <c r="D35" s="316"/>
      <c r="E35" s="316"/>
      <c r="F35" s="316"/>
      <c r="G35" s="317"/>
      <c r="H35" s="140"/>
      <c r="I35" s="140"/>
    </row>
    <row r="36" spans="1:10" ht="14.25" x14ac:dyDescent="0.2">
      <c r="H36" s="140"/>
      <c r="I36" s="140"/>
    </row>
    <row r="37" spans="1:10" ht="22.5" x14ac:dyDescent="0.2">
      <c r="A37" s="314" t="s">
        <v>81</v>
      </c>
      <c r="B37" s="314"/>
      <c r="C37" s="42" t="s">
        <v>388</v>
      </c>
      <c r="D37" s="42" t="s">
        <v>407</v>
      </c>
      <c r="E37" s="42" t="s">
        <v>406</v>
      </c>
      <c r="F37" s="42" t="s">
        <v>408</v>
      </c>
      <c r="G37" s="42" t="s">
        <v>118</v>
      </c>
      <c r="H37" s="140"/>
      <c r="I37" s="140"/>
    </row>
    <row r="38" spans="1:10" ht="14.25" x14ac:dyDescent="0.2">
      <c r="A38" s="3">
        <v>1</v>
      </c>
      <c r="B38" s="141" t="s">
        <v>391</v>
      </c>
      <c r="C38" s="49">
        <f>'Material Copa'!G28</f>
        <v>257.83299999999997</v>
      </c>
      <c r="D38" s="142">
        <v>1</v>
      </c>
      <c r="E38" s="142">
        <v>1</v>
      </c>
      <c r="F38" s="209">
        <f>D38/E38</f>
        <v>1</v>
      </c>
      <c r="G38" s="142">
        <f>F38*C38</f>
        <v>257.83299999999997</v>
      </c>
      <c r="H38" s="140"/>
      <c r="I38" s="140"/>
    </row>
    <row r="39" spans="1:10" ht="18.75" customHeight="1" x14ac:dyDescent="0.2">
      <c r="B39" s="45"/>
      <c r="C39" s="48"/>
      <c r="D39" s="48"/>
      <c r="E39" s="312" t="s">
        <v>114</v>
      </c>
      <c r="F39" s="313"/>
      <c r="G39" s="43">
        <f>SUM(G38:G38)</f>
        <v>257.83299999999997</v>
      </c>
      <c r="H39" s="140"/>
      <c r="I39" s="140"/>
    </row>
    <row r="40" spans="1:10" ht="12" thickBot="1" x14ac:dyDescent="0.25"/>
    <row r="41" spans="1:10" ht="18.75" customHeight="1" thickBot="1" x14ac:dyDescent="0.25">
      <c r="A41" s="309" t="s">
        <v>402</v>
      </c>
      <c r="B41" s="310"/>
      <c r="C41" s="310"/>
      <c r="D41" s="310"/>
      <c r="E41" s="310"/>
      <c r="F41" s="310"/>
      <c r="G41" s="310"/>
      <c r="H41" s="311"/>
      <c r="I41" s="140"/>
      <c r="J41" s="140"/>
    </row>
    <row r="43" spans="1:10" s="45" customFormat="1" ht="48" customHeight="1" x14ac:dyDescent="0.2">
      <c r="A43" s="312" t="s">
        <v>81</v>
      </c>
      <c r="B43" s="313"/>
      <c r="C43" s="42" t="s">
        <v>115</v>
      </c>
      <c r="D43" s="42" t="s">
        <v>200</v>
      </c>
      <c r="E43" s="42" t="s">
        <v>124</v>
      </c>
      <c r="F43" s="42" t="s">
        <v>123</v>
      </c>
      <c r="G43" s="42" t="s">
        <v>119</v>
      </c>
      <c r="H43" s="42" t="s">
        <v>118</v>
      </c>
      <c r="I43" s="137"/>
      <c r="J43" s="137"/>
    </row>
    <row r="44" spans="1:10" ht="140.25" x14ac:dyDescent="0.2">
      <c r="A44" s="3">
        <v>1</v>
      </c>
      <c r="B44" s="201" t="s">
        <v>384</v>
      </c>
      <c r="C44" s="49">
        <v>3216.96</v>
      </c>
      <c r="D44" s="50">
        <v>60</v>
      </c>
      <c r="E44" s="47">
        <v>1</v>
      </c>
      <c r="F44" s="47">
        <v>2</v>
      </c>
      <c r="G44" s="46">
        <f>IF(B44="","",TRUNC(E44/F44,2))</f>
        <v>0.5</v>
      </c>
      <c r="H44" s="46">
        <f>ROUND(C44/D44*E44*G44,2)</f>
        <v>26.81</v>
      </c>
      <c r="I44" s="139"/>
      <c r="J44" s="139"/>
    </row>
    <row r="45" spans="1:10" ht="56.25" x14ac:dyDescent="0.2">
      <c r="A45" s="3">
        <f>A44+1</f>
        <v>2</v>
      </c>
      <c r="B45" s="141" t="s">
        <v>385</v>
      </c>
      <c r="C45" s="49">
        <v>77.14</v>
      </c>
      <c r="D45" s="50">
        <v>12</v>
      </c>
      <c r="E45" s="47">
        <v>2</v>
      </c>
      <c r="F45" s="47">
        <v>2</v>
      </c>
      <c r="G45" s="46">
        <f t="shared" ref="G45" si="6">IF(B45="","",TRUNC(E45/F45,2))</f>
        <v>1</v>
      </c>
      <c r="H45" s="46">
        <f>ROUND(C45/D45*G45,2)</f>
        <v>6.43</v>
      </c>
      <c r="I45" s="139"/>
      <c r="J45" s="139"/>
    </row>
    <row r="46" spans="1:10" ht="22.5" customHeight="1" x14ac:dyDescent="0.2">
      <c r="B46" s="45"/>
      <c r="C46" s="48"/>
      <c r="D46" s="48"/>
      <c r="E46" s="48"/>
      <c r="F46" s="312" t="s">
        <v>114</v>
      </c>
      <c r="G46" s="313"/>
      <c r="H46" s="43">
        <f>SUM(H44:H45)</f>
        <v>33.239999999999995</v>
      </c>
    </row>
    <row r="47" spans="1:10" ht="12" thickBot="1" x14ac:dyDescent="0.25"/>
    <row r="48" spans="1:10" ht="15" thickBot="1" x14ac:dyDescent="0.25">
      <c r="A48" s="318" t="s">
        <v>428</v>
      </c>
      <c r="B48" s="319"/>
      <c r="C48" s="319"/>
      <c r="D48" s="319"/>
      <c r="E48" s="319"/>
      <c r="F48" s="319"/>
      <c r="G48" s="319"/>
      <c r="H48" s="320"/>
    </row>
    <row r="50" spans="1:8" ht="45" x14ac:dyDescent="0.2">
      <c r="A50" s="312" t="s">
        <v>81</v>
      </c>
      <c r="B50" s="313"/>
      <c r="C50" s="42" t="s">
        <v>115</v>
      </c>
      <c r="D50" s="42" t="s">
        <v>200</v>
      </c>
      <c r="E50" s="42" t="s">
        <v>124</v>
      </c>
      <c r="F50" s="42" t="s">
        <v>123</v>
      </c>
      <c r="G50" s="42" t="s">
        <v>119</v>
      </c>
      <c r="H50" s="42" t="s">
        <v>118</v>
      </c>
    </row>
    <row r="51" spans="1:8" ht="25.5" x14ac:dyDescent="0.2">
      <c r="A51" s="3">
        <v>1</v>
      </c>
      <c r="B51" s="201" t="s">
        <v>429</v>
      </c>
      <c r="C51" s="49">
        <v>1458.5</v>
      </c>
      <c r="D51" s="50">
        <v>60</v>
      </c>
      <c r="E51" s="47">
        <v>1</v>
      </c>
      <c r="F51" s="47">
        <v>3</v>
      </c>
      <c r="G51" s="46">
        <f>IF(B51="","",TRUNC(E51/F51,2))</f>
        <v>0.33</v>
      </c>
      <c r="H51" s="46">
        <f>ROUND(C51/D51*E51*G51,2)</f>
        <v>8.02</v>
      </c>
    </row>
    <row r="52" spans="1:8" x14ac:dyDescent="0.2">
      <c r="B52" s="45"/>
      <c r="C52" s="48"/>
      <c r="D52" s="48"/>
      <c r="E52" s="48"/>
      <c r="F52" s="312" t="s">
        <v>114</v>
      </c>
      <c r="G52" s="313"/>
      <c r="H52" s="43">
        <f>SUM(H51:H51)</f>
        <v>8.02</v>
      </c>
    </row>
    <row r="54" spans="1:8" x14ac:dyDescent="0.2">
      <c r="D54" s="139"/>
      <c r="E54" s="139"/>
    </row>
  </sheetData>
  <mergeCells count="18">
    <mergeCell ref="A48:H48"/>
    <mergeCell ref="A50:B50"/>
    <mergeCell ref="F52:G52"/>
    <mergeCell ref="A2:G2"/>
    <mergeCell ref="A43:B43"/>
    <mergeCell ref="F46:G46"/>
    <mergeCell ref="A4:B4"/>
    <mergeCell ref="E14:F14"/>
    <mergeCell ref="A41:H41"/>
    <mergeCell ref="A16:G16"/>
    <mergeCell ref="A18:B18"/>
    <mergeCell ref="E25:F25"/>
    <mergeCell ref="E39:F39"/>
    <mergeCell ref="A28:G28"/>
    <mergeCell ref="A30:B30"/>
    <mergeCell ref="E32:F32"/>
    <mergeCell ref="A35:G35"/>
    <mergeCell ref="A37:B37"/>
  </mergeCells>
  <pageMargins left="0.511811024" right="0.511811024" top="0.78740157499999996" bottom="0.78740157499999996" header="0.31496062000000002" footer="0.31496062000000002"/>
  <pageSetup paperSize="9" scale="83" orientation="portrait" r:id="rId1"/>
  <rowBreaks count="1" manualBreakCount="1">
    <brk id="40"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923A1-22F4-4C14-B37F-284906B8AD09}">
  <sheetPr>
    <tabColor theme="8"/>
  </sheetPr>
  <dimension ref="A1:G55"/>
  <sheetViews>
    <sheetView view="pageBreakPreview" topLeftCell="A33" zoomScaleNormal="100" zoomScaleSheetLayoutView="100" workbookViewId="0">
      <selection activeCell="G52" sqref="G52"/>
    </sheetView>
  </sheetViews>
  <sheetFormatPr defaultColWidth="97.7109375" defaultRowHeight="12.75" x14ac:dyDescent="0.2"/>
  <cols>
    <col min="1" max="1" width="5.42578125" style="196" customWidth="1"/>
    <col min="2" max="2" width="21.7109375" style="200" customWidth="1"/>
    <col min="3" max="3" width="85.28515625" style="200" customWidth="1"/>
    <col min="4" max="4" width="11.28515625" style="196" bestFit="1" customWidth="1"/>
    <col min="5" max="5" width="11" style="196" customWidth="1"/>
    <col min="6" max="7" width="15.7109375" style="196" customWidth="1"/>
    <col min="8" max="16384" width="97.7109375" style="196"/>
  </cols>
  <sheetData>
    <row r="1" spans="1:7" s="192" customFormat="1" ht="45" x14ac:dyDescent="0.2">
      <c r="A1" s="203" t="s">
        <v>403</v>
      </c>
      <c r="B1" s="188" t="s">
        <v>212</v>
      </c>
      <c r="C1" s="189" t="s">
        <v>412</v>
      </c>
      <c r="D1" s="190" t="s">
        <v>213</v>
      </c>
      <c r="E1" s="191" t="s">
        <v>214</v>
      </c>
      <c r="F1" s="191" t="s">
        <v>389</v>
      </c>
      <c r="G1" s="191" t="s">
        <v>390</v>
      </c>
    </row>
    <row r="2" spans="1:7" ht="25.5" x14ac:dyDescent="0.2">
      <c r="A2" s="204">
        <v>1</v>
      </c>
      <c r="B2" s="193" t="s">
        <v>215</v>
      </c>
      <c r="C2" s="193" t="s">
        <v>216</v>
      </c>
      <c r="D2" s="193" t="s">
        <v>217</v>
      </c>
      <c r="E2" s="193">
        <v>10</v>
      </c>
      <c r="F2" s="214">
        <v>14.78</v>
      </c>
      <c r="G2" s="193">
        <f t="shared" ref="G2:G33" si="0">E2*F2</f>
        <v>147.79999999999998</v>
      </c>
    </row>
    <row r="3" spans="1:7" ht="25.5" x14ac:dyDescent="0.2">
      <c r="A3" s="196">
        <v>2</v>
      </c>
      <c r="B3" s="193" t="s">
        <v>218</v>
      </c>
      <c r="C3" s="194" t="s">
        <v>219</v>
      </c>
      <c r="D3" s="195" t="s">
        <v>220</v>
      </c>
      <c r="E3" s="195">
        <v>6</v>
      </c>
      <c r="F3" s="215">
        <v>14.78</v>
      </c>
      <c r="G3" s="195">
        <f t="shared" si="0"/>
        <v>88.679999999999993</v>
      </c>
    </row>
    <row r="4" spans="1:7" ht="25.5" x14ac:dyDescent="0.2">
      <c r="A4" s="204">
        <v>3</v>
      </c>
      <c r="B4" s="193" t="s">
        <v>221</v>
      </c>
      <c r="C4" s="194" t="s">
        <v>222</v>
      </c>
      <c r="D4" s="195" t="s">
        <v>223</v>
      </c>
      <c r="E4" s="195">
        <v>8</v>
      </c>
      <c r="F4" s="215">
        <v>16.87</v>
      </c>
      <c r="G4" s="195">
        <f t="shared" si="0"/>
        <v>134.96</v>
      </c>
    </row>
    <row r="5" spans="1:7" ht="25.5" x14ac:dyDescent="0.2">
      <c r="A5" s="196">
        <v>4</v>
      </c>
      <c r="B5" s="193" t="s">
        <v>224</v>
      </c>
      <c r="C5" s="194" t="s">
        <v>225</v>
      </c>
      <c r="D5" s="195" t="s">
        <v>223</v>
      </c>
      <c r="E5" s="195">
        <v>3</v>
      </c>
      <c r="F5" s="215">
        <v>32.01</v>
      </c>
      <c r="G5" s="195">
        <f t="shared" si="0"/>
        <v>96.03</v>
      </c>
    </row>
    <row r="6" spans="1:7" ht="25.5" x14ac:dyDescent="0.2">
      <c r="A6" s="204">
        <v>5</v>
      </c>
      <c r="B6" s="193" t="s">
        <v>226</v>
      </c>
      <c r="C6" s="194" t="s">
        <v>227</v>
      </c>
      <c r="D6" s="195" t="s">
        <v>228</v>
      </c>
      <c r="E6" s="195">
        <v>10</v>
      </c>
      <c r="F6" s="215">
        <v>11.26</v>
      </c>
      <c r="G6" s="195">
        <f t="shared" si="0"/>
        <v>112.6</v>
      </c>
    </row>
    <row r="7" spans="1:7" x14ac:dyDescent="0.2">
      <c r="A7" s="196">
        <v>6</v>
      </c>
      <c r="B7" s="193" t="s">
        <v>229</v>
      </c>
      <c r="C7" s="194" t="s">
        <v>230</v>
      </c>
      <c r="D7" s="195" t="s">
        <v>228</v>
      </c>
      <c r="E7" s="195">
        <v>30</v>
      </c>
      <c r="F7" s="215">
        <v>8.23</v>
      </c>
      <c r="G7" s="195">
        <f t="shared" si="0"/>
        <v>246.9</v>
      </c>
    </row>
    <row r="8" spans="1:7" ht="25.5" x14ac:dyDescent="0.2">
      <c r="A8" s="204">
        <v>7</v>
      </c>
      <c r="B8" s="193" t="s">
        <v>231</v>
      </c>
      <c r="C8" s="194" t="s">
        <v>232</v>
      </c>
      <c r="D8" s="195" t="s">
        <v>223</v>
      </c>
      <c r="E8" s="195">
        <v>6</v>
      </c>
      <c r="F8" s="215">
        <v>19.89</v>
      </c>
      <c r="G8" s="195">
        <f t="shared" si="0"/>
        <v>119.34</v>
      </c>
    </row>
    <row r="9" spans="1:7" ht="25.5" x14ac:dyDescent="0.2">
      <c r="A9" s="196">
        <v>8</v>
      </c>
      <c r="B9" s="193" t="s">
        <v>233</v>
      </c>
      <c r="C9" s="194" t="s">
        <v>234</v>
      </c>
      <c r="D9" s="195" t="s">
        <v>228</v>
      </c>
      <c r="E9" s="195">
        <v>2</v>
      </c>
      <c r="F9" s="215">
        <v>9.74</v>
      </c>
      <c r="G9" s="195">
        <f t="shared" si="0"/>
        <v>19.48</v>
      </c>
    </row>
    <row r="10" spans="1:7" ht="25.5" x14ac:dyDescent="0.2">
      <c r="A10" s="204">
        <v>9</v>
      </c>
      <c r="B10" s="193" t="s">
        <v>235</v>
      </c>
      <c r="C10" s="194" t="s">
        <v>236</v>
      </c>
      <c r="D10" s="195" t="s">
        <v>228</v>
      </c>
      <c r="E10" s="195">
        <v>4</v>
      </c>
      <c r="F10" s="215">
        <v>4.41</v>
      </c>
      <c r="G10" s="195">
        <f t="shared" si="0"/>
        <v>17.64</v>
      </c>
    </row>
    <row r="11" spans="1:7" ht="25.5" x14ac:dyDescent="0.2">
      <c r="A11" s="196">
        <v>10</v>
      </c>
      <c r="B11" s="193" t="s">
        <v>237</v>
      </c>
      <c r="C11" s="194" t="s">
        <v>238</v>
      </c>
      <c r="D11" s="195" t="s">
        <v>228</v>
      </c>
      <c r="E11" s="195">
        <v>2</v>
      </c>
      <c r="F11" s="215">
        <v>4.7</v>
      </c>
      <c r="G11" s="195">
        <f t="shared" si="0"/>
        <v>9.4</v>
      </c>
    </row>
    <row r="12" spans="1:7" ht="51" x14ac:dyDescent="0.2">
      <c r="A12" s="204">
        <v>11</v>
      </c>
      <c r="B12" s="193" t="s">
        <v>239</v>
      </c>
      <c r="C12" s="194" t="s">
        <v>240</v>
      </c>
      <c r="D12" s="195" t="s">
        <v>220</v>
      </c>
      <c r="E12" s="195">
        <v>15</v>
      </c>
      <c r="F12" s="215">
        <v>5.76</v>
      </c>
      <c r="G12" s="195">
        <f t="shared" si="0"/>
        <v>86.399999999999991</v>
      </c>
    </row>
    <row r="13" spans="1:7" ht="25.5" x14ac:dyDescent="0.2">
      <c r="A13" s="196">
        <v>12</v>
      </c>
      <c r="B13" s="193" t="s">
        <v>241</v>
      </c>
      <c r="C13" s="194" t="s">
        <v>242</v>
      </c>
      <c r="D13" s="195" t="s">
        <v>228</v>
      </c>
      <c r="E13" s="195">
        <v>15</v>
      </c>
      <c r="F13" s="215">
        <v>4.3</v>
      </c>
      <c r="G13" s="195">
        <f t="shared" si="0"/>
        <v>64.5</v>
      </c>
    </row>
    <row r="14" spans="1:7" ht="25.5" x14ac:dyDescent="0.2">
      <c r="A14" s="204">
        <v>13</v>
      </c>
      <c r="B14" s="193" t="s">
        <v>243</v>
      </c>
      <c r="C14" s="194" t="s">
        <v>244</v>
      </c>
      <c r="D14" s="195" t="s">
        <v>245</v>
      </c>
      <c r="E14" s="195">
        <v>1</v>
      </c>
      <c r="F14" s="215">
        <v>51.39</v>
      </c>
      <c r="G14" s="195">
        <f t="shared" si="0"/>
        <v>51.39</v>
      </c>
    </row>
    <row r="15" spans="1:7" ht="25.5" x14ac:dyDescent="0.2">
      <c r="A15" s="196">
        <v>14</v>
      </c>
      <c r="B15" s="193" t="s">
        <v>246</v>
      </c>
      <c r="C15" s="194" t="s">
        <v>247</v>
      </c>
      <c r="D15" s="195" t="s">
        <v>245</v>
      </c>
      <c r="E15" s="195">
        <v>1</v>
      </c>
      <c r="F15" s="215">
        <v>36.11</v>
      </c>
      <c r="G15" s="195">
        <f t="shared" si="0"/>
        <v>36.11</v>
      </c>
    </row>
    <row r="16" spans="1:7" ht="25.5" x14ac:dyDescent="0.2">
      <c r="A16" s="204">
        <v>15</v>
      </c>
      <c r="B16" s="193" t="s">
        <v>246</v>
      </c>
      <c r="C16" s="194" t="s">
        <v>248</v>
      </c>
      <c r="D16" s="195" t="s">
        <v>245</v>
      </c>
      <c r="E16" s="195">
        <v>1</v>
      </c>
      <c r="F16" s="215">
        <v>47.63</v>
      </c>
      <c r="G16" s="195">
        <f t="shared" si="0"/>
        <v>47.63</v>
      </c>
    </row>
    <row r="17" spans="1:7" x14ac:dyDescent="0.2">
      <c r="A17" s="196">
        <v>16</v>
      </c>
      <c r="B17" s="193" t="s">
        <v>249</v>
      </c>
      <c r="C17" s="194" t="s">
        <v>250</v>
      </c>
      <c r="D17" s="195" t="s">
        <v>228</v>
      </c>
      <c r="E17" s="195">
        <v>2</v>
      </c>
      <c r="F17" s="215">
        <v>5.12</v>
      </c>
      <c r="G17" s="195">
        <f t="shared" si="0"/>
        <v>10.24</v>
      </c>
    </row>
    <row r="18" spans="1:7" ht="25.5" x14ac:dyDescent="0.2">
      <c r="A18" s="204">
        <v>17</v>
      </c>
      <c r="B18" s="193" t="s">
        <v>251</v>
      </c>
      <c r="C18" s="194" t="s">
        <v>252</v>
      </c>
      <c r="D18" s="195" t="s">
        <v>253</v>
      </c>
      <c r="E18" s="195">
        <v>5</v>
      </c>
      <c r="F18" s="215">
        <v>3.6</v>
      </c>
      <c r="G18" s="195">
        <f t="shared" si="0"/>
        <v>18</v>
      </c>
    </row>
    <row r="19" spans="1:7" ht="25.5" x14ac:dyDescent="0.2">
      <c r="A19" s="196">
        <v>18</v>
      </c>
      <c r="B19" s="193" t="s">
        <v>254</v>
      </c>
      <c r="C19" s="194" t="s">
        <v>255</v>
      </c>
      <c r="D19" s="195" t="s">
        <v>256</v>
      </c>
      <c r="E19" s="195">
        <v>2</v>
      </c>
      <c r="F19" s="215">
        <v>39.6</v>
      </c>
      <c r="G19" s="195">
        <f t="shared" si="0"/>
        <v>79.2</v>
      </c>
    </row>
    <row r="20" spans="1:7" ht="25.5" x14ac:dyDescent="0.2">
      <c r="A20" s="204">
        <v>19</v>
      </c>
      <c r="B20" s="193" t="s">
        <v>257</v>
      </c>
      <c r="C20" s="194" t="s">
        <v>258</v>
      </c>
      <c r="D20" s="195" t="s">
        <v>259</v>
      </c>
      <c r="E20" s="195">
        <v>4</v>
      </c>
      <c r="F20" s="215">
        <v>21.04</v>
      </c>
      <c r="G20" s="195">
        <f t="shared" si="0"/>
        <v>84.16</v>
      </c>
    </row>
    <row r="21" spans="1:7" ht="38.25" x14ac:dyDescent="0.2">
      <c r="A21" s="196">
        <v>20</v>
      </c>
      <c r="B21" s="193" t="s">
        <v>260</v>
      </c>
      <c r="C21" s="194" t="s">
        <v>261</v>
      </c>
      <c r="D21" s="195" t="s">
        <v>262</v>
      </c>
      <c r="E21" s="195">
        <v>3</v>
      </c>
      <c r="F21" s="215">
        <v>15.43</v>
      </c>
      <c r="G21" s="195">
        <f t="shared" si="0"/>
        <v>46.29</v>
      </c>
    </row>
    <row r="22" spans="1:7" ht="38.25" x14ac:dyDescent="0.2">
      <c r="A22" s="204">
        <v>21</v>
      </c>
      <c r="B22" s="193" t="s">
        <v>263</v>
      </c>
      <c r="C22" s="194" t="s">
        <v>264</v>
      </c>
      <c r="D22" s="195" t="s">
        <v>265</v>
      </c>
      <c r="E22" s="195">
        <v>3</v>
      </c>
      <c r="F22" s="215">
        <v>7.93</v>
      </c>
      <c r="G22" s="195">
        <f t="shared" si="0"/>
        <v>23.79</v>
      </c>
    </row>
    <row r="23" spans="1:7" ht="38.25" x14ac:dyDescent="0.2">
      <c r="A23" s="196">
        <v>22</v>
      </c>
      <c r="B23" s="193" t="s">
        <v>266</v>
      </c>
      <c r="C23" s="194" t="s">
        <v>267</v>
      </c>
      <c r="D23" s="195" t="s">
        <v>268</v>
      </c>
      <c r="E23" s="195">
        <v>5</v>
      </c>
      <c r="F23" s="215">
        <v>108.39</v>
      </c>
      <c r="G23" s="195">
        <f t="shared" si="0"/>
        <v>541.95000000000005</v>
      </c>
    </row>
    <row r="24" spans="1:7" ht="76.5" x14ac:dyDescent="0.2">
      <c r="A24" s="204">
        <v>23</v>
      </c>
      <c r="B24" s="193" t="s">
        <v>269</v>
      </c>
      <c r="C24" s="194" t="s">
        <v>270</v>
      </c>
      <c r="D24" s="195" t="s">
        <v>271</v>
      </c>
      <c r="E24" s="195">
        <v>15</v>
      </c>
      <c r="F24" s="215">
        <v>143.47999999999999</v>
      </c>
      <c r="G24" s="195">
        <f t="shared" si="0"/>
        <v>2152.1999999999998</v>
      </c>
    </row>
    <row r="25" spans="1:7" ht="25.5" x14ac:dyDescent="0.2">
      <c r="A25" s="196">
        <v>24</v>
      </c>
      <c r="B25" s="193" t="s">
        <v>272</v>
      </c>
      <c r="C25" s="194" t="s">
        <v>273</v>
      </c>
      <c r="D25" s="195" t="s">
        <v>271</v>
      </c>
      <c r="E25" s="195">
        <v>6</v>
      </c>
      <c r="F25" s="215">
        <v>10.52</v>
      </c>
      <c r="G25" s="195">
        <f t="shared" si="0"/>
        <v>63.12</v>
      </c>
    </row>
    <row r="26" spans="1:7" ht="25.5" x14ac:dyDescent="0.2">
      <c r="A26" s="204">
        <v>25</v>
      </c>
      <c r="B26" s="193" t="s">
        <v>274</v>
      </c>
      <c r="C26" s="194" t="s">
        <v>275</v>
      </c>
      <c r="D26" s="195" t="s">
        <v>271</v>
      </c>
      <c r="E26" s="195">
        <v>7</v>
      </c>
      <c r="F26" s="215">
        <v>38.79</v>
      </c>
      <c r="G26" s="195">
        <f t="shared" si="0"/>
        <v>271.52999999999997</v>
      </c>
    </row>
    <row r="27" spans="1:7" ht="25.5" x14ac:dyDescent="0.2">
      <c r="A27" s="196">
        <v>26</v>
      </c>
      <c r="B27" s="193" t="s">
        <v>276</v>
      </c>
      <c r="C27" s="194" t="s">
        <v>277</v>
      </c>
      <c r="D27" s="195" t="s">
        <v>271</v>
      </c>
      <c r="E27" s="195">
        <v>7</v>
      </c>
      <c r="F27" s="215">
        <v>50.43</v>
      </c>
      <c r="G27" s="195">
        <f t="shared" si="0"/>
        <v>353.01</v>
      </c>
    </row>
    <row r="28" spans="1:7" ht="38.25" x14ac:dyDescent="0.2">
      <c r="A28" s="204">
        <v>27</v>
      </c>
      <c r="B28" s="193" t="s">
        <v>278</v>
      </c>
      <c r="C28" s="194" t="s">
        <v>279</v>
      </c>
      <c r="D28" s="195" t="s">
        <v>228</v>
      </c>
      <c r="E28" s="195">
        <v>7</v>
      </c>
      <c r="F28" s="215">
        <v>28.04</v>
      </c>
      <c r="G28" s="195">
        <f t="shared" si="0"/>
        <v>196.28</v>
      </c>
    </row>
    <row r="29" spans="1:7" ht="38.25" x14ac:dyDescent="0.2">
      <c r="A29" s="196">
        <v>28</v>
      </c>
      <c r="B29" s="193" t="s">
        <v>280</v>
      </c>
      <c r="C29" s="194" t="s">
        <v>281</v>
      </c>
      <c r="D29" s="195" t="s">
        <v>228</v>
      </c>
      <c r="E29" s="195">
        <v>5</v>
      </c>
      <c r="F29" s="215">
        <v>21.06</v>
      </c>
      <c r="G29" s="195">
        <f t="shared" si="0"/>
        <v>105.3</v>
      </c>
    </row>
    <row r="30" spans="1:7" ht="89.25" x14ac:dyDescent="0.2">
      <c r="A30" s="204">
        <v>29</v>
      </c>
      <c r="B30" s="193" t="s">
        <v>282</v>
      </c>
      <c r="C30" s="194" t="s">
        <v>283</v>
      </c>
      <c r="D30" s="195" t="s">
        <v>284</v>
      </c>
      <c r="E30" s="195">
        <v>15</v>
      </c>
      <c r="F30" s="215">
        <v>37.96</v>
      </c>
      <c r="G30" s="195">
        <f t="shared" si="0"/>
        <v>569.4</v>
      </c>
    </row>
    <row r="31" spans="1:7" ht="38.25" x14ac:dyDescent="0.2">
      <c r="A31" s="196">
        <v>30</v>
      </c>
      <c r="B31" s="193" t="s">
        <v>285</v>
      </c>
      <c r="C31" s="194" t="s">
        <v>286</v>
      </c>
      <c r="D31" s="195" t="s">
        <v>287</v>
      </c>
      <c r="E31" s="195">
        <v>5</v>
      </c>
      <c r="F31" s="215">
        <v>5.69</v>
      </c>
      <c r="G31" s="195">
        <f t="shared" si="0"/>
        <v>28.450000000000003</v>
      </c>
    </row>
    <row r="32" spans="1:7" x14ac:dyDescent="0.2">
      <c r="A32" s="204">
        <v>31</v>
      </c>
      <c r="B32" s="193" t="s">
        <v>288</v>
      </c>
      <c r="C32" s="194" t="s">
        <v>289</v>
      </c>
      <c r="D32" s="195" t="s">
        <v>290</v>
      </c>
      <c r="E32" s="195">
        <v>1</v>
      </c>
      <c r="F32" s="215">
        <v>9.17</v>
      </c>
      <c r="G32" s="195">
        <f t="shared" si="0"/>
        <v>9.17</v>
      </c>
    </row>
    <row r="33" spans="1:7" ht="25.5" x14ac:dyDescent="0.2">
      <c r="A33" s="196">
        <v>32</v>
      </c>
      <c r="B33" s="193" t="s">
        <v>291</v>
      </c>
      <c r="C33" s="194" t="s">
        <v>292</v>
      </c>
      <c r="D33" s="195" t="s">
        <v>293</v>
      </c>
      <c r="E33" s="195">
        <v>2</v>
      </c>
      <c r="F33" s="215">
        <v>274.47000000000003</v>
      </c>
      <c r="G33" s="195">
        <f t="shared" si="0"/>
        <v>548.94000000000005</v>
      </c>
    </row>
    <row r="34" spans="1:7" ht="25.5" x14ac:dyDescent="0.2">
      <c r="A34" s="204">
        <v>33</v>
      </c>
      <c r="B34" s="193" t="s">
        <v>294</v>
      </c>
      <c r="C34" s="194" t="s">
        <v>295</v>
      </c>
      <c r="D34" s="195" t="s">
        <v>284</v>
      </c>
      <c r="E34" s="195">
        <v>5</v>
      </c>
      <c r="F34" s="215">
        <v>17.03</v>
      </c>
      <c r="G34" s="195">
        <f t="shared" ref="G34:G53" si="1">E34*F34</f>
        <v>85.15</v>
      </c>
    </row>
    <row r="35" spans="1:7" ht="25.5" x14ac:dyDescent="0.2">
      <c r="A35" s="196">
        <v>34</v>
      </c>
      <c r="B35" s="193" t="s">
        <v>296</v>
      </c>
      <c r="C35" s="194" t="s">
        <v>297</v>
      </c>
      <c r="D35" s="195" t="s">
        <v>228</v>
      </c>
      <c r="E35" s="195">
        <v>2</v>
      </c>
      <c r="F35" s="215">
        <v>30.55</v>
      </c>
      <c r="G35" s="195">
        <f t="shared" si="1"/>
        <v>61.1</v>
      </c>
    </row>
    <row r="36" spans="1:7" ht="25.5" x14ac:dyDescent="0.2">
      <c r="A36" s="204">
        <v>35</v>
      </c>
      <c r="B36" s="193" t="s">
        <v>298</v>
      </c>
      <c r="C36" s="194" t="s">
        <v>299</v>
      </c>
      <c r="D36" s="195" t="s">
        <v>228</v>
      </c>
      <c r="E36" s="195">
        <v>2</v>
      </c>
      <c r="F36" s="215">
        <v>17.75</v>
      </c>
      <c r="G36" s="195">
        <f t="shared" si="1"/>
        <v>35.5</v>
      </c>
    </row>
    <row r="37" spans="1:7" x14ac:dyDescent="0.2">
      <c r="A37" s="196">
        <v>36</v>
      </c>
      <c r="B37" s="193" t="s">
        <v>300</v>
      </c>
      <c r="C37" s="194" t="s">
        <v>301</v>
      </c>
      <c r="D37" s="195" t="s">
        <v>228</v>
      </c>
      <c r="E37" s="195">
        <v>2</v>
      </c>
      <c r="F37" s="215">
        <v>16.649999999999999</v>
      </c>
      <c r="G37" s="195">
        <f t="shared" si="1"/>
        <v>33.299999999999997</v>
      </c>
    </row>
    <row r="38" spans="1:7" ht="25.5" x14ac:dyDescent="0.2">
      <c r="A38" s="204">
        <v>37</v>
      </c>
      <c r="B38" s="193" t="s">
        <v>302</v>
      </c>
      <c r="C38" s="194" t="s">
        <v>303</v>
      </c>
      <c r="D38" s="195" t="s">
        <v>228</v>
      </c>
      <c r="E38" s="195">
        <v>5</v>
      </c>
      <c r="F38" s="215">
        <v>7.88</v>
      </c>
      <c r="G38" s="195">
        <f t="shared" si="1"/>
        <v>39.4</v>
      </c>
    </row>
    <row r="39" spans="1:7" x14ac:dyDescent="0.2">
      <c r="A39" s="196">
        <v>38</v>
      </c>
      <c r="B39" s="193" t="s">
        <v>386</v>
      </c>
      <c r="C39" s="194" t="s">
        <v>387</v>
      </c>
      <c r="D39" s="195" t="s">
        <v>228</v>
      </c>
      <c r="E39" s="195">
        <v>5</v>
      </c>
      <c r="F39" s="215">
        <v>8.8800000000000008</v>
      </c>
      <c r="G39" s="195">
        <f t="shared" si="1"/>
        <v>44.400000000000006</v>
      </c>
    </row>
    <row r="40" spans="1:7" ht="25.5" x14ac:dyDescent="0.2">
      <c r="A40" s="204">
        <v>39</v>
      </c>
      <c r="B40" s="193" t="s">
        <v>304</v>
      </c>
      <c r="C40" s="194" t="s">
        <v>305</v>
      </c>
      <c r="D40" s="195" t="s">
        <v>228</v>
      </c>
      <c r="E40" s="195">
        <v>2</v>
      </c>
      <c r="F40" s="215">
        <v>7.47</v>
      </c>
      <c r="G40" s="195">
        <f t="shared" si="1"/>
        <v>14.94</v>
      </c>
    </row>
    <row r="41" spans="1:7" ht="25.5" x14ac:dyDescent="0.2">
      <c r="A41" s="196">
        <v>40</v>
      </c>
      <c r="B41" s="193" t="s">
        <v>306</v>
      </c>
      <c r="C41" s="194" t="s">
        <v>307</v>
      </c>
      <c r="D41" s="195" t="s">
        <v>228</v>
      </c>
      <c r="E41" s="195">
        <v>2</v>
      </c>
      <c r="F41" s="215">
        <v>25.46</v>
      </c>
      <c r="G41" s="195">
        <f t="shared" si="1"/>
        <v>50.92</v>
      </c>
    </row>
    <row r="42" spans="1:7" ht="25.5" x14ac:dyDescent="0.2">
      <c r="A42" s="204">
        <v>41</v>
      </c>
      <c r="B42" s="193" t="s">
        <v>308</v>
      </c>
      <c r="C42" s="194" t="s">
        <v>309</v>
      </c>
      <c r="D42" s="195" t="s">
        <v>228</v>
      </c>
      <c r="E42" s="195">
        <v>2</v>
      </c>
      <c r="F42" s="215">
        <v>26.86</v>
      </c>
      <c r="G42" s="195">
        <f t="shared" si="1"/>
        <v>53.72</v>
      </c>
    </row>
    <row r="43" spans="1:7" ht="25.5" x14ac:dyDescent="0.2">
      <c r="A43" s="196">
        <v>42</v>
      </c>
      <c r="B43" s="193" t="s">
        <v>310</v>
      </c>
      <c r="C43" s="194" t="s">
        <v>311</v>
      </c>
      <c r="D43" s="195" t="s">
        <v>228</v>
      </c>
      <c r="E43" s="195">
        <v>2</v>
      </c>
      <c r="F43" s="215">
        <v>175.28</v>
      </c>
      <c r="G43" s="195">
        <f t="shared" si="1"/>
        <v>350.56</v>
      </c>
    </row>
    <row r="44" spans="1:7" ht="25.5" x14ac:dyDescent="0.2">
      <c r="A44" s="204">
        <v>43</v>
      </c>
      <c r="B44" s="193" t="s">
        <v>312</v>
      </c>
      <c r="C44" s="194" t="s">
        <v>313</v>
      </c>
      <c r="D44" s="195" t="s">
        <v>228</v>
      </c>
      <c r="E44" s="195">
        <v>2</v>
      </c>
      <c r="F44" s="215">
        <v>27.87</v>
      </c>
      <c r="G44" s="195">
        <f t="shared" si="1"/>
        <v>55.74</v>
      </c>
    </row>
    <row r="45" spans="1:7" x14ac:dyDescent="0.2">
      <c r="A45" s="196">
        <v>44</v>
      </c>
      <c r="B45" s="193" t="s">
        <v>314</v>
      </c>
      <c r="C45" s="194" t="s">
        <v>315</v>
      </c>
      <c r="D45" s="195" t="s">
        <v>228</v>
      </c>
      <c r="E45" s="195">
        <v>2</v>
      </c>
      <c r="F45" s="215">
        <v>9.02</v>
      </c>
      <c r="G45" s="195">
        <f t="shared" si="1"/>
        <v>18.04</v>
      </c>
    </row>
    <row r="46" spans="1:7" ht="25.5" x14ac:dyDescent="0.2">
      <c r="A46" s="204">
        <v>45</v>
      </c>
      <c r="B46" s="193" t="s">
        <v>316</v>
      </c>
      <c r="C46" s="194" t="s">
        <v>317</v>
      </c>
      <c r="D46" s="195" t="s">
        <v>228</v>
      </c>
      <c r="E46" s="195">
        <v>5</v>
      </c>
      <c r="F46" s="215">
        <v>6.94</v>
      </c>
      <c r="G46" s="195">
        <f t="shared" si="1"/>
        <v>34.700000000000003</v>
      </c>
    </row>
    <row r="47" spans="1:7" ht="25.5" x14ac:dyDescent="0.2">
      <c r="A47" s="196">
        <v>46</v>
      </c>
      <c r="B47" s="193" t="s">
        <v>318</v>
      </c>
      <c r="C47" s="194" t="s">
        <v>319</v>
      </c>
      <c r="D47" s="195" t="s">
        <v>223</v>
      </c>
      <c r="E47" s="195">
        <v>1</v>
      </c>
      <c r="F47" s="215">
        <v>43.96</v>
      </c>
      <c r="G47" s="195">
        <f t="shared" si="1"/>
        <v>43.96</v>
      </c>
    </row>
    <row r="48" spans="1:7" ht="25.5" x14ac:dyDescent="0.2">
      <c r="A48" s="204">
        <v>47</v>
      </c>
      <c r="B48" s="193" t="s">
        <v>320</v>
      </c>
      <c r="C48" s="194" t="s">
        <v>321</v>
      </c>
      <c r="D48" s="195" t="s">
        <v>293</v>
      </c>
      <c r="E48" s="195">
        <v>6</v>
      </c>
      <c r="F48" s="215">
        <v>7.71</v>
      </c>
      <c r="G48" s="195">
        <f t="shared" si="1"/>
        <v>46.26</v>
      </c>
    </row>
    <row r="49" spans="1:7" ht="25.5" x14ac:dyDescent="0.2">
      <c r="A49" s="196">
        <v>48</v>
      </c>
      <c r="B49" s="193" t="s">
        <v>322</v>
      </c>
      <c r="C49" s="194" t="s">
        <v>323</v>
      </c>
      <c r="D49" s="195" t="s">
        <v>293</v>
      </c>
      <c r="E49" s="195">
        <v>5</v>
      </c>
      <c r="F49" s="215">
        <v>8.9</v>
      </c>
      <c r="G49" s="195">
        <f t="shared" si="1"/>
        <v>44.5</v>
      </c>
    </row>
    <row r="50" spans="1:7" ht="25.5" x14ac:dyDescent="0.2">
      <c r="A50" s="204">
        <v>49</v>
      </c>
      <c r="B50" s="193" t="s">
        <v>324</v>
      </c>
      <c r="C50" s="194" t="s">
        <v>325</v>
      </c>
      <c r="D50" s="195" t="s">
        <v>228</v>
      </c>
      <c r="E50" s="195">
        <v>2</v>
      </c>
      <c r="F50" s="215">
        <v>12.79</v>
      </c>
      <c r="G50" s="195">
        <f t="shared" si="1"/>
        <v>25.58</v>
      </c>
    </row>
    <row r="51" spans="1:7" ht="25.5" x14ac:dyDescent="0.2">
      <c r="A51" s="196">
        <v>50</v>
      </c>
      <c r="B51" s="193" t="s">
        <v>326</v>
      </c>
      <c r="C51" s="194" t="s">
        <v>327</v>
      </c>
      <c r="D51" s="195" t="s">
        <v>228</v>
      </c>
      <c r="E51" s="195">
        <v>2</v>
      </c>
      <c r="F51" s="215">
        <v>73.459999999999994</v>
      </c>
      <c r="G51" s="195">
        <f t="shared" si="1"/>
        <v>146.91999999999999</v>
      </c>
    </row>
    <row r="52" spans="1:7" ht="25.5" x14ac:dyDescent="0.2">
      <c r="A52" s="204">
        <v>51</v>
      </c>
      <c r="B52" s="193" t="s">
        <v>328</v>
      </c>
      <c r="C52" s="194" t="s">
        <v>329</v>
      </c>
      <c r="D52" s="195" t="s">
        <v>330</v>
      </c>
      <c r="E52" s="195">
        <v>4</v>
      </c>
      <c r="F52" s="215">
        <v>3.16</v>
      </c>
      <c r="G52" s="195">
        <f t="shared" si="1"/>
        <v>12.64</v>
      </c>
    </row>
    <row r="53" spans="1:7" x14ac:dyDescent="0.2">
      <c r="A53" s="196">
        <v>52</v>
      </c>
      <c r="B53" s="197" t="s">
        <v>331</v>
      </c>
      <c r="C53" s="198" t="s">
        <v>332</v>
      </c>
      <c r="D53" s="199" t="s">
        <v>330</v>
      </c>
      <c r="E53" s="195">
        <v>5</v>
      </c>
      <c r="F53" s="215">
        <v>25.68</v>
      </c>
      <c r="G53" s="195">
        <f t="shared" si="1"/>
        <v>128.4</v>
      </c>
    </row>
    <row r="54" spans="1:7" ht="13.5" thickBot="1" x14ac:dyDescent="0.25"/>
    <row r="55" spans="1:7" ht="13.5" thickBot="1" x14ac:dyDescent="0.25">
      <c r="F55" s="212" t="s">
        <v>411</v>
      </c>
      <c r="G55" s="213">
        <f>SUM(G2:G53)</f>
        <v>7705.619999999999</v>
      </c>
    </row>
  </sheetData>
  <pageMargins left="0.511811024" right="0.511811024" top="0.78740157499999996" bottom="0.78740157499999996" header="0.31496062000000002" footer="0.31496062000000002"/>
  <pageSetup paperSize="9" scale="49" orientation="portrait" horizontalDpi="4294967293" verticalDpi="4294967293"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1BEA-064B-434D-AB83-8A33EA130818}">
  <sheetPr>
    <tabColor theme="5" tint="0.39997558519241921"/>
  </sheetPr>
  <dimension ref="A1:G28"/>
  <sheetViews>
    <sheetView view="pageBreakPreview" topLeftCell="A9" zoomScaleNormal="100" zoomScaleSheetLayoutView="100" workbookViewId="0">
      <selection activeCell="H25" sqref="H25"/>
    </sheetView>
  </sheetViews>
  <sheetFormatPr defaultRowHeight="12.75" x14ac:dyDescent="0.2"/>
  <cols>
    <col min="1" max="1" width="5.28515625" customWidth="1"/>
    <col min="2" max="2" width="24.5703125" customWidth="1"/>
    <col min="3" max="3" width="10.7109375" bestFit="1" customWidth="1"/>
    <col min="4" max="4" width="83.28515625" customWidth="1"/>
    <col min="6" max="6" width="10" customWidth="1"/>
    <col min="7" max="7" width="11.28515625" bestFit="1" customWidth="1"/>
  </cols>
  <sheetData>
    <row r="1" spans="1:7" s="114" customFormat="1" ht="43.9" customHeight="1" x14ac:dyDescent="0.2">
      <c r="A1" s="217" t="s">
        <v>403</v>
      </c>
      <c r="B1" s="218" t="s">
        <v>333</v>
      </c>
      <c r="C1" s="218" t="s">
        <v>213</v>
      </c>
      <c r="D1" s="219" t="s">
        <v>413</v>
      </c>
      <c r="E1" s="218" t="s">
        <v>334</v>
      </c>
      <c r="F1" s="218" t="s">
        <v>414</v>
      </c>
      <c r="G1" s="218" t="s">
        <v>415</v>
      </c>
    </row>
    <row r="2" spans="1:7" ht="33.75" x14ac:dyDescent="0.2">
      <c r="A2" s="205">
        <v>1</v>
      </c>
      <c r="B2" s="205" t="s">
        <v>335</v>
      </c>
      <c r="C2" s="206" t="s">
        <v>336</v>
      </c>
      <c r="D2" s="207" t="s">
        <v>337</v>
      </c>
      <c r="E2" s="138">
        <v>20</v>
      </c>
      <c r="F2" s="216">
        <v>9.11</v>
      </c>
      <c r="G2">
        <f>Tabela2[[#This Row],[QTD]]*Tabela2[[#This Row],[Custo  unitário]]</f>
        <v>182.2</v>
      </c>
    </row>
    <row r="3" spans="1:7" ht="22.5" x14ac:dyDescent="0.2">
      <c r="A3">
        <v>2</v>
      </c>
      <c r="B3" s="208" t="s">
        <v>338</v>
      </c>
      <c r="C3" s="206" t="s">
        <v>336</v>
      </c>
      <c r="D3" s="207" t="s">
        <v>339</v>
      </c>
      <c r="E3" s="138">
        <v>20</v>
      </c>
      <c r="F3" s="216">
        <v>11.02</v>
      </c>
      <c r="G3">
        <f>Tabela2[[#This Row],[QTD]]*Tabela2[[#This Row],[Custo  unitário]]</f>
        <v>220.39999999999998</v>
      </c>
    </row>
    <row r="4" spans="1:7" ht="22.5" x14ac:dyDescent="0.2">
      <c r="A4" s="205">
        <v>3</v>
      </c>
      <c r="B4" s="205" t="s">
        <v>340</v>
      </c>
      <c r="C4" s="206" t="s">
        <v>336</v>
      </c>
      <c r="D4" s="207" t="s">
        <v>341</v>
      </c>
      <c r="E4" s="138">
        <v>20</v>
      </c>
      <c r="F4" s="216">
        <v>23.91</v>
      </c>
      <c r="G4">
        <f>Tabela2[[#This Row],[QTD]]*Tabela2[[#This Row],[Custo  unitário]]</f>
        <v>478.2</v>
      </c>
    </row>
    <row r="5" spans="1:7" ht="33.75" x14ac:dyDescent="0.2">
      <c r="A5">
        <v>4</v>
      </c>
      <c r="B5" s="208" t="s">
        <v>342</v>
      </c>
      <c r="C5" s="206" t="s">
        <v>336</v>
      </c>
      <c r="D5" s="207" t="s">
        <v>343</v>
      </c>
      <c r="E5" s="138">
        <v>50</v>
      </c>
      <c r="F5" s="216">
        <v>8.7100000000000009</v>
      </c>
      <c r="G5">
        <f>Tabela2[[#This Row],[QTD]]*Tabela2[[#This Row],[Custo  unitário]]</f>
        <v>435.50000000000006</v>
      </c>
    </row>
    <row r="6" spans="1:7" ht="22.5" x14ac:dyDescent="0.2">
      <c r="A6" s="205">
        <v>5</v>
      </c>
      <c r="B6" s="205" t="s">
        <v>344</v>
      </c>
      <c r="C6" s="206" t="s">
        <v>336</v>
      </c>
      <c r="D6" s="207" t="s">
        <v>345</v>
      </c>
      <c r="E6" s="138">
        <v>5</v>
      </c>
      <c r="F6" s="216">
        <v>112.9</v>
      </c>
      <c r="G6">
        <f>Tabela2[[#This Row],[QTD]]*Tabela2[[#This Row],[Custo  unitário]]</f>
        <v>564.5</v>
      </c>
    </row>
    <row r="7" spans="1:7" ht="22.5" x14ac:dyDescent="0.2">
      <c r="A7">
        <v>6</v>
      </c>
      <c r="B7" s="208" t="s">
        <v>346</v>
      </c>
      <c r="C7" s="206" t="s">
        <v>336</v>
      </c>
      <c r="D7" s="207" t="s">
        <v>347</v>
      </c>
      <c r="E7" s="138">
        <v>5</v>
      </c>
      <c r="F7" s="216">
        <v>131.79</v>
      </c>
      <c r="G7">
        <f>Tabela2[[#This Row],[QTD]]*Tabela2[[#This Row],[Custo  unitário]]</f>
        <v>658.94999999999993</v>
      </c>
    </row>
    <row r="8" spans="1:7" ht="33.75" x14ac:dyDescent="0.2">
      <c r="A8" s="205">
        <v>7</v>
      </c>
      <c r="B8" s="205" t="s">
        <v>348</v>
      </c>
      <c r="C8" s="206" t="s">
        <v>336</v>
      </c>
      <c r="D8" s="207" t="s">
        <v>349</v>
      </c>
      <c r="E8" s="138">
        <v>5</v>
      </c>
      <c r="F8" s="216">
        <v>53.1</v>
      </c>
      <c r="G8">
        <f>Tabela2[[#This Row],[QTD]]*Tabela2[[#This Row],[Custo  unitário]]</f>
        <v>265.5</v>
      </c>
    </row>
    <row r="9" spans="1:7" ht="22.5" x14ac:dyDescent="0.2">
      <c r="A9">
        <v>8</v>
      </c>
      <c r="B9" s="208" t="s">
        <v>350</v>
      </c>
      <c r="C9" s="206" t="s">
        <v>336</v>
      </c>
      <c r="D9" s="207" t="s">
        <v>351</v>
      </c>
      <c r="E9" s="138">
        <v>50</v>
      </c>
      <c r="F9" s="216">
        <v>4.7</v>
      </c>
      <c r="G9">
        <f>Tabela2[[#This Row],[QTD]]*Tabela2[[#This Row],[Custo  unitário]]</f>
        <v>235</v>
      </c>
    </row>
    <row r="10" spans="1:7" x14ac:dyDescent="0.2">
      <c r="A10" s="205">
        <v>9</v>
      </c>
      <c r="B10" s="205" t="s">
        <v>352</v>
      </c>
      <c r="C10" s="206" t="s">
        <v>336</v>
      </c>
      <c r="D10" s="207" t="s">
        <v>353</v>
      </c>
      <c r="E10" s="138">
        <v>5</v>
      </c>
      <c r="F10" s="216">
        <v>49.27</v>
      </c>
      <c r="G10">
        <f>Tabela2[[#This Row],[QTD]]*Tabela2[[#This Row],[Custo  unitário]]</f>
        <v>246.35000000000002</v>
      </c>
    </row>
    <row r="11" spans="1:7" ht="22.5" x14ac:dyDescent="0.2">
      <c r="A11">
        <v>10</v>
      </c>
      <c r="B11" s="208" t="s">
        <v>354</v>
      </c>
      <c r="C11" s="206" t="s">
        <v>336</v>
      </c>
      <c r="D11" s="207" t="s">
        <v>355</v>
      </c>
      <c r="E11" s="138">
        <v>5</v>
      </c>
      <c r="F11" s="216">
        <v>31.45</v>
      </c>
      <c r="G11">
        <f>Tabela2[[#This Row],[QTD]]*Tabela2[[#This Row],[Custo  unitário]]</f>
        <v>157.25</v>
      </c>
    </row>
    <row r="12" spans="1:7" ht="22.5" x14ac:dyDescent="0.2">
      <c r="A12" s="205">
        <v>11</v>
      </c>
      <c r="B12" s="205" t="s">
        <v>356</v>
      </c>
      <c r="C12" s="206" t="s">
        <v>336</v>
      </c>
      <c r="D12" s="207" t="s">
        <v>357</v>
      </c>
      <c r="E12" s="138">
        <v>1</v>
      </c>
      <c r="F12" s="216">
        <v>30.23</v>
      </c>
      <c r="G12">
        <f>Tabela2[[#This Row],[QTD]]*Tabela2[[#This Row],[Custo  unitário]]</f>
        <v>30.23</v>
      </c>
    </row>
    <row r="13" spans="1:7" ht="22.5" x14ac:dyDescent="0.2">
      <c r="A13">
        <v>12</v>
      </c>
      <c r="B13" s="208" t="s">
        <v>358</v>
      </c>
      <c r="C13" s="206" t="s">
        <v>336</v>
      </c>
      <c r="D13" s="207" t="s">
        <v>359</v>
      </c>
      <c r="E13" s="138">
        <v>5</v>
      </c>
      <c r="F13" s="216">
        <v>11.29</v>
      </c>
      <c r="G13">
        <f>Tabela2[[#This Row],[QTD]]*Tabela2[[#This Row],[Custo  unitário]]</f>
        <v>56.449999999999996</v>
      </c>
    </row>
    <row r="14" spans="1:7" ht="22.5" x14ac:dyDescent="0.2">
      <c r="A14" s="205">
        <v>13</v>
      </c>
      <c r="B14" s="205" t="s">
        <v>360</v>
      </c>
      <c r="C14" s="206" t="s">
        <v>336</v>
      </c>
      <c r="D14" s="207" t="s">
        <v>361</v>
      </c>
      <c r="E14" s="138">
        <v>50</v>
      </c>
      <c r="F14" s="216">
        <v>10.86</v>
      </c>
      <c r="G14">
        <f>Tabela2[[#This Row],[QTD]]*Tabela2[[#This Row],[Custo  unitário]]</f>
        <v>543</v>
      </c>
    </row>
    <row r="15" spans="1:7" ht="22.5" x14ac:dyDescent="0.2">
      <c r="A15">
        <v>14</v>
      </c>
      <c r="B15" s="208" t="s">
        <v>362</v>
      </c>
      <c r="C15" s="206" t="s">
        <v>336</v>
      </c>
      <c r="D15" s="207" t="s">
        <v>363</v>
      </c>
      <c r="E15" s="138">
        <v>50</v>
      </c>
      <c r="F15" s="216">
        <v>4.7300000000000004</v>
      </c>
      <c r="G15">
        <f>Tabela2[[#This Row],[QTD]]*Tabela2[[#This Row],[Custo  unitário]]</f>
        <v>236.50000000000003</v>
      </c>
    </row>
    <row r="16" spans="1:7" ht="22.5" x14ac:dyDescent="0.2">
      <c r="A16" s="205">
        <v>15</v>
      </c>
      <c r="B16" s="205" t="s">
        <v>364</v>
      </c>
      <c r="C16" s="206" t="s">
        <v>336</v>
      </c>
      <c r="D16" s="207" t="s">
        <v>365</v>
      </c>
      <c r="E16" s="138">
        <v>50</v>
      </c>
      <c r="F16" s="216">
        <v>4.7300000000000004</v>
      </c>
      <c r="G16">
        <f>Tabela2[[#This Row],[QTD]]*Tabela2[[#This Row],[Custo  unitário]]</f>
        <v>236.50000000000003</v>
      </c>
    </row>
    <row r="17" spans="1:7" ht="22.5" x14ac:dyDescent="0.2">
      <c r="A17">
        <v>16</v>
      </c>
      <c r="B17" s="208" t="s">
        <v>366</v>
      </c>
      <c r="C17" s="206" t="s">
        <v>336</v>
      </c>
      <c r="D17" s="207" t="s">
        <v>367</v>
      </c>
      <c r="E17" s="138">
        <v>50</v>
      </c>
      <c r="F17" s="216">
        <v>5.14</v>
      </c>
      <c r="G17">
        <f>Tabela2[[#This Row],[QTD]]*Tabela2[[#This Row],[Custo  unitário]]</f>
        <v>257</v>
      </c>
    </row>
    <row r="18" spans="1:7" ht="33.75" x14ac:dyDescent="0.2">
      <c r="A18" s="205">
        <v>17</v>
      </c>
      <c r="B18" s="205" t="s">
        <v>368</v>
      </c>
      <c r="C18" s="206" t="s">
        <v>336</v>
      </c>
      <c r="D18" s="207" t="s">
        <v>369</v>
      </c>
      <c r="E18" s="138">
        <v>50</v>
      </c>
      <c r="F18" s="216">
        <v>16.63</v>
      </c>
      <c r="G18">
        <f>Tabela2[[#This Row],[QTD]]*Tabela2[[#This Row],[Custo  unitário]]</f>
        <v>831.5</v>
      </c>
    </row>
    <row r="19" spans="1:7" ht="22.5" x14ac:dyDescent="0.2">
      <c r="A19">
        <v>18</v>
      </c>
      <c r="B19" s="208" t="s">
        <v>370</v>
      </c>
      <c r="C19" s="206" t="s">
        <v>336</v>
      </c>
      <c r="D19" s="207" t="s">
        <v>371</v>
      </c>
      <c r="E19" s="138">
        <v>2</v>
      </c>
      <c r="F19" s="216">
        <v>13.37</v>
      </c>
      <c r="G19">
        <f>Tabela2[[#This Row],[QTD]]*Tabela2[[#This Row],[Custo  unitário]]</f>
        <v>26.74</v>
      </c>
    </row>
    <row r="20" spans="1:7" ht="22.5" x14ac:dyDescent="0.2">
      <c r="A20" s="205">
        <v>19</v>
      </c>
      <c r="B20" s="205" t="s">
        <v>372</v>
      </c>
      <c r="C20" s="206" t="s">
        <v>336</v>
      </c>
      <c r="D20" s="207" t="s">
        <v>373</v>
      </c>
      <c r="E20" s="138">
        <v>2</v>
      </c>
      <c r="F20" s="216">
        <v>19.760000000000002</v>
      </c>
      <c r="G20">
        <f>Tabela2[[#This Row],[QTD]]*Tabela2[[#This Row],[Custo  unitário]]</f>
        <v>39.520000000000003</v>
      </c>
    </row>
    <row r="21" spans="1:7" ht="33.75" x14ac:dyDescent="0.2">
      <c r="A21">
        <v>20</v>
      </c>
      <c r="B21" s="208" t="s">
        <v>374</v>
      </c>
      <c r="C21" s="206" t="s">
        <v>336</v>
      </c>
      <c r="D21" s="207" t="s">
        <v>375</v>
      </c>
      <c r="E21" s="138">
        <v>3</v>
      </c>
      <c r="F21" s="216">
        <v>52.65</v>
      </c>
      <c r="G21">
        <f>Tabela2[[#This Row],[QTD]]*Tabela2[[#This Row],[Custo  unitário]]</f>
        <v>157.94999999999999</v>
      </c>
    </row>
    <row r="22" spans="1:7" ht="22.5" x14ac:dyDescent="0.2">
      <c r="A22" s="205">
        <v>21</v>
      </c>
      <c r="B22" s="205" t="s">
        <v>376</v>
      </c>
      <c r="C22" s="206" t="s">
        <v>336</v>
      </c>
      <c r="D22" s="207" t="s">
        <v>377</v>
      </c>
      <c r="E22" s="138">
        <v>20</v>
      </c>
      <c r="F22" s="216">
        <v>18.61</v>
      </c>
      <c r="G22">
        <f>Tabela2[[#This Row],[QTD]]*Tabela2[[#This Row],[Custo  unitário]]</f>
        <v>372.2</v>
      </c>
    </row>
    <row r="23" spans="1:7" ht="22.5" x14ac:dyDescent="0.2">
      <c r="A23">
        <v>22</v>
      </c>
      <c r="B23" s="208" t="s">
        <v>378</v>
      </c>
      <c r="C23" s="206" t="s">
        <v>336</v>
      </c>
      <c r="D23" s="207" t="s">
        <v>379</v>
      </c>
      <c r="E23" s="138">
        <v>5</v>
      </c>
      <c r="F23" s="216">
        <v>24.15</v>
      </c>
      <c r="G23">
        <f>Tabela2[[#This Row],[QTD]]*Tabela2[[#This Row],[Custo  unitário]]</f>
        <v>120.75</v>
      </c>
    </row>
    <row r="24" spans="1:7" ht="45" x14ac:dyDescent="0.2">
      <c r="A24" s="205">
        <v>23</v>
      </c>
      <c r="B24" s="205" t="s">
        <v>380</v>
      </c>
      <c r="C24" s="206" t="s">
        <v>336</v>
      </c>
      <c r="D24" s="207" t="s">
        <v>381</v>
      </c>
      <c r="E24" s="138">
        <v>4</v>
      </c>
      <c r="F24" s="216">
        <v>133.4</v>
      </c>
      <c r="G24">
        <f>Tabela2[[#This Row],[QTD]]*Tabela2[[#This Row],[Custo  unitário]]</f>
        <v>533.6</v>
      </c>
    </row>
    <row r="25" spans="1:7" ht="22.5" x14ac:dyDescent="0.2">
      <c r="A25">
        <v>24</v>
      </c>
      <c r="B25" s="208" t="s">
        <v>382</v>
      </c>
      <c r="C25" s="206" t="s">
        <v>336</v>
      </c>
      <c r="D25" s="207" t="s">
        <v>383</v>
      </c>
      <c r="E25" s="138">
        <v>20</v>
      </c>
      <c r="F25" s="216">
        <v>42.46</v>
      </c>
      <c r="G25">
        <f>Tabela2[[#This Row],[QTD]]*Tabela2[[#This Row],[Custo  unitário]]</f>
        <v>849.2</v>
      </c>
    </row>
    <row r="27" spans="1:7" x14ac:dyDescent="0.2">
      <c r="E27" s="321" t="s">
        <v>410</v>
      </c>
      <c r="F27" s="321"/>
      <c r="G27" s="210">
        <f>SUM(G2:G25)</f>
        <v>7734.99</v>
      </c>
    </row>
    <row r="28" spans="1:7" x14ac:dyDescent="0.2">
      <c r="E28" s="322" t="s">
        <v>411</v>
      </c>
      <c r="F28" s="322"/>
      <c r="G28" s="211">
        <f>G27/30</f>
        <v>257.83299999999997</v>
      </c>
    </row>
  </sheetData>
  <mergeCells count="2">
    <mergeCell ref="E27:F27"/>
    <mergeCell ref="E28:F28"/>
  </mergeCells>
  <pageMargins left="0.511811024" right="0.511811024" top="0.78740157499999996" bottom="0.78740157499999996" header="0.31496062000000002" footer="0.31496062000000002"/>
  <pageSetup paperSize="9" scale="59" orientation="portrait" horizontalDpi="4294967293" verticalDpi="4294967293"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4</vt:i4>
      </vt:variant>
    </vt:vector>
  </HeadingPairs>
  <TitlesOfParts>
    <vt:vector size="10" baseType="lpstr">
      <vt:lpstr>Quadro resumo</vt:lpstr>
      <vt:lpstr>Copeiro(a)</vt:lpstr>
      <vt:lpstr>ASG - Faxineiro</vt:lpstr>
      <vt:lpstr>Insumos M.O.</vt:lpstr>
      <vt:lpstr>Material ASG</vt:lpstr>
      <vt:lpstr>Material Copa</vt:lpstr>
      <vt:lpstr>'ASG - Faxineiro'!Area_de_impressao</vt:lpstr>
      <vt:lpstr>'Copeiro(a)'!Area_de_impressao</vt:lpstr>
      <vt:lpstr>'Insumos M.O.'!Area_de_impressao</vt:lpstr>
      <vt:lpstr>'Material ASG'!Area_de_impressao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dc:creator>
  <cp:lastModifiedBy>Michelly de Souza Ferraz</cp:lastModifiedBy>
  <cp:lastPrinted>2025-07-07T14:11:34Z</cp:lastPrinted>
  <dcterms:created xsi:type="dcterms:W3CDTF">2010-12-08T17:56:29Z</dcterms:created>
  <dcterms:modified xsi:type="dcterms:W3CDTF">2025-07-17T18:15:27Z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