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730"/>
  <workbookPr defaultThemeVersion="124226"/>
  <mc:AlternateContent xmlns:mc="http://schemas.openxmlformats.org/markup-compatibility/2006">
    <mc:Choice Requires="x15">
      <x15ac:absPath xmlns:x15ac="http://schemas.microsoft.com/office/spreadsheetml/2010/11/ac" url="I:\DADM\ALOG\DCAD\Processos Licitatórios\Editais\2025\Pregão\2 - Numerados\12 - Segurança Pessoal Privada - RC 6672\fase externa\Edital, relação de itens e DOU\"/>
    </mc:Choice>
  </mc:AlternateContent>
  <xr:revisionPtr revIDLastSave="0" documentId="13_ncr:1_{AB4B5310-ED8D-45BB-8D42-54E1B888F555}" xr6:coauthVersionLast="47" xr6:coauthVersionMax="47" xr10:uidLastSave="{00000000-0000-0000-0000-000000000000}"/>
  <bookViews>
    <workbookView xWindow="-120" yWindow="-120" windowWidth="29040" windowHeight="15720" tabRatio="681" xr2:uid="{00000000-000D-0000-FFFF-FFFF00000000}"/>
  </bookViews>
  <sheets>
    <sheet name="Quadro resumo" sheetId="7" r:id="rId1"/>
    <sheet name="Coordenador - Seg-Sex" sheetId="30" r:id="rId2"/>
    <sheet name="Diurno - Seg-Sex" sheetId="29" r:id="rId3"/>
    <sheet name="Noturno - Seg-Dom" sheetId="31" r:id="rId4"/>
    <sheet name="Diurno - Seg-Dom" sheetId="32" r:id="rId5"/>
    <sheet name="Insumos" sheetId="23" r:id="rId6"/>
  </sheets>
  <definedNames>
    <definedName name="_xlnm.Print_Area" localSheetId="0">'Quadro resumo'!$A$1:$J$34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58" i="32" l="1"/>
  <c r="H57" i="32"/>
  <c r="H59" i="31" l="1"/>
  <c r="H58" i="29"/>
  <c r="H58" i="30"/>
  <c r="F10" i="23" l="1"/>
  <c r="G10" i="23" s="1"/>
  <c r="F7" i="23"/>
  <c r="G7" i="23" s="1"/>
  <c r="F8" i="23"/>
  <c r="G8" i="23" s="1"/>
  <c r="F9" i="23"/>
  <c r="G9" i="23" s="1"/>
  <c r="G144" i="32"/>
  <c r="G143" i="32"/>
  <c r="G142" i="32"/>
  <c r="G116" i="32"/>
  <c r="G46" i="32"/>
  <c r="G53" i="32" s="1"/>
  <c r="G39" i="32"/>
  <c r="G38" i="32"/>
  <c r="H32" i="32"/>
  <c r="H27" i="32"/>
  <c r="H26" i="32"/>
  <c r="H28" i="32" s="1"/>
  <c r="H58" i="31"/>
  <c r="G40" i="32" l="1"/>
  <c r="H30" i="32"/>
  <c r="H38" i="32" s="1"/>
  <c r="H62" i="32"/>
  <c r="H68" i="32" s="1"/>
  <c r="H39" i="32" l="1"/>
  <c r="H40" i="32" s="1"/>
  <c r="H126" i="32"/>
  <c r="H49" i="32" l="1"/>
  <c r="H66" i="32"/>
  <c r="H141" i="32"/>
  <c r="H50" i="32"/>
  <c r="H44" i="32"/>
  <c r="H46" i="32"/>
  <c r="H45" i="32"/>
  <c r="H52" i="32"/>
  <c r="H78" i="32" s="1"/>
  <c r="H77" i="32" s="1"/>
  <c r="H48" i="32"/>
  <c r="H51" i="32"/>
  <c r="H53" i="32" l="1"/>
  <c r="H67" i="32" s="1"/>
  <c r="H69" i="32" s="1"/>
  <c r="H75" i="32"/>
  <c r="H76" i="32"/>
  <c r="H74" i="32" l="1"/>
  <c r="H79" i="32"/>
  <c r="H80" i="32" s="1"/>
  <c r="H127" i="32"/>
  <c r="H128" i="32" l="1"/>
  <c r="H88" i="32"/>
  <c r="H93" i="32"/>
  <c r="H94" i="32" s="1"/>
  <c r="H99" i="32" s="1"/>
  <c r="H87" i="32"/>
  <c r="H86" i="32"/>
  <c r="H89" i="32" l="1"/>
  <c r="H98" i="32" s="1"/>
  <c r="H100" i="32" s="1"/>
  <c r="H129" i="32" s="1"/>
  <c r="H140" i="32" l="1"/>
  <c r="H142" i="32" s="1"/>
  <c r="H143" i="32" l="1"/>
  <c r="H144" i="32" l="1"/>
  <c r="H145" i="32" s="1"/>
  <c r="G145" i="31" l="1"/>
  <c r="G144" i="31"/>
  <c r="G143" i="31"/>
  <c r="G117" i="31"/>
  <c r="H63" i="31"/>
  <c r="H69" i="31" s="1"/>
  <c r="G47" i="31"/>
  <c r="G54" i="31" s="1"/>
  <c r="G40" i="31"/>
  <c r="G39" i="31"/>
  <c r="H32" i="31"/>
  <c r="H27" i="31"/>
  <c r="H26" i="31"/>
  <c r="H57" i="29"/>
  <c r="G41" i="31" l="1"/>
  <c r="H28" i="31"/>
  <c r="H30" i="31" s="1"/>
  <c r="H40" i="31" l="1"/>
  <c r="H127" i="31"/>
  <c r="H39" i="31"/>
  <c r="H57" i="30"/>
  <c r="H41" i="31" l="1"/>
  <c r="H142" i="31" l="1"/>
  <c r="H67" i="31"/>
  <c r="H53" i="31"/>
  <c r="H76" i="31" s="1"/>
  <c r="H50" i="31"/>
  <c r="H46" i="31"/>
  <c r="H45" i="31"/>
  <c r="H51" i="31"/>
  <c r="H49" i="31"/>
  <c r="H47" i="31"/>
  <c r="H52" i="31"/>
  <c r="G144" i="30"/>
  <c r="G143" i="30"/>
  <c r="G142" i="30"/>
  <c r="G116" i="30"/>
  <c r="G46" i="30"/>
  <c r="G53" i="30" s="1"/>
  <c r="G39" i="30"/>
  <c r="G38" i="30"/>
  <c r="H27" i="30"/>
  <c r="H26" i="30"/>
  <c r="G144" i="29"/>
  <c r="G143" i="29"/>
  <c r="G142" i="29"/>
  <c r="G116" i="29"/>
  <c r="H62" i="29"/>
  <c r="H68" i="29" s="1"/>
  <c r="G46" i="29"/>
  <c r="G53" i="29" s="1"/>
  <c r="G39" i="29"/>
  <c r="G38" i="29"/>
  <c r="G40" i="29" s="1"/>
  <c r="H27" i="29"/>
  <c r="H26" i="29"/>
  <c r="H32" i="29" s="1"/>
  <c r="D12" i="7"/>
  <c r="G40" i="30" l="1"/>
  <c r="H54" i="31"/>
  <c r="H79" i="31"/>
  <c r="H78" i="31" s="1"/>
  <c r="H77" i="31"/>
  <c r="H75" i="31" s="1"/>
  <c r="H32" i="30"/>
  <c r="H62" i="30"/>
  <c r="H68" i="30" s="1"/>
  <c r="H28" i="30"/>
  <c r="H28" i="29"/>
  <c r="H68" i="31" l="1"/>
  <c r="H70" i="31" s="1"/>
  <c r="H80" i="31"/>
  <c r="H81" i="31" s="1"/>
  <c r="H30" i="29"/>
  <c r="H126" i="29" s="1"/>
  <c r="H30" i="30"/>
  <c r="H126" i="30" s="1"/>
  <c r="H129" i="31" l="1"/>
  <c r="H128" i="31"/>
  <c r="H94" i="31"/>
  <c r="H95" i="31" s="1"/>
  <c r="H100" i="31" s="1"/>
  <c r="H89" i="31"/>
  <c r="H39" i="29"/>
  <c r="H38" i="29"/>
  <c r="H38" i="30"/>
  <c r="H39" i="30"/>
  <c r="H88" i="31" l="1"/>
  <c r="H87" i="31"/>
  <c r="H40" i="29"/>
  <c r="H46" i="29" s="1"/>
  <c r="H40" i="30"/>
  <c r="H66" i="30" s="1"/>
  <c r="H90" i="31" l="1"/>
  <c r="H99" i="31" s="1"/>
  <c r="H50" i="29"/>
  <c r="H44" i="29"/>
  <c r="H51" i="29"/>
  <c r="H48" i="29"/>
  <c r="H45" i="29"/>
  <c r="H49" i="29"/>
  <c r="H141" i="29"/>
  <c r="H52" i="29"/>
  <c r="H75" i="29" s="1"/>
  <c r="H66" i="29"/>
  <c r="H48" i="30"/>
  <c r="H51" i="30"/>
  <c r="H49" i="30"/>
  <c r="H52" i="30"/>
  <c r="H75" i="30" s="1"/>
  <c r="H141" i="30"/>
  <c r="H44" i="30"/>
  <c r="H45" i="30"/>
  <c r="H46" i="30"/>
  <c r="H50" i="30"/>
  <c r="H53" i="29" l="1"/>
  <c r="H101" i="31"/>
  <c r="H130" i="31" s="1"/>
  <c r="H141" i="31"/>
  <c r="H67" i="29"/>
  <c r="H69" i="29" s="1"/>
  <c r="H127" i="29" s="1"/>
  <c r="H79" i="29"/>
  <c r="H76" i="29"/>
  <c r="H74" i="29" s="1"/>
  <c r="H78" i="29"/>
  <c r="H77" i="29" s="1"/>
  <c r="H53" i="30"/>
  <c r="H67" i="30" s="1"/>
  <c r="H69" i="30" s="1"/>
  <c r="H127" i="30" s="1"/>
  <c r="H78" i="30"/>
  <c r="H77" i="30" s="1"/>
  <c r="H76" i="30"/>
  <c r="H74" i="30" s="1"/>
  <c r="H80" i="29" l="1"/>
  <c r="H128" i="29" s="1"/>
  <c r="H143" i="31"/>
  <c r="H88" i="29"/>
  <c r="H87" i="29" s="1"/>
  <c r="H93" i="29"/>
  <c r="H94" i="29" s="1"/>
  <c r="H99" i="29" s="1"/>
  <c r="H79" i="30"/>
  <c r="H80" i="30" s="1"/>
  <c r="H144" i="31" l="1"/>
  <c r="H86" i="29"/>
  <c r="H89" i="29" s="1"/>
  <c r="H98" i="29" s="1"/>
  <c r="H93" i="30"/>
  <c r="H94" i="30" s="1"/>
  <c r="H99" i="30" s="1"/>
  <c r="H128" i="30"/>
  <c r="H88" i="30"/>
  <c r="H87" i="30" s="1"/>
  <c r="H145" i="31" l="1"/>
  <c r="H146" i="31" s="1"/>
  <c r="H86" i="30"/>
  <c r="H89" i="30" s="1"/>
  <c r="H98" i="30" s="1"/>
  <c r="H100" i="30" s="1"/>
  <c r="H129" i="30" s="1"/>
  <c r="H100" i="29"/>
  <c r="H129" i="29" s="1"/>
  <c r="H140" i="29"/>
  <c r="H140" i="30" l="1"/>
  <c r="H142" i="30" s="1"/>
  <c r="H143" i="30" s="1"/>
  <c r="H144" i="30" s="1"/>
  <c r="H142" i="29"/>
  <c r="H143" i="29" s="1"/>
  <c r="H145" i="30" l="1"/>
  <c r="H144" i="29"/>
  <c r="H145" i="29" s="1"/>
  <c r="G20" i="23" l="1"/>
  <c r="H20" i="23" s="1"/>
  <c r="G21" i="23" l="1"/>
  <c r="G22" i="23"/>
  <c r="G23" i="23"/>
  <c r="G24" i="23"/>
  <c r="G25" i="23"/>
  <c r="F6" i="23" l="1"/>
  <c r="G6" i="23" s="1"/>
  <c r="F5" i="23"/>
  <c r="G5" i="23" s="1"/>
  <c r="H21" i="23"/>
  <c r="H22" i="23"/>
  <c r="H23" i="23"/>
  <c r="H24" i="23"/>
  <c r="H25" i="23"/>
  <c r="A21" i="23"/>
  <c r="A22" i="23" s="1"/>
  <c r="A23" i="23" s="1"/>
  <c r="A24" i="23" s="1"/>
  <c r="A25" i="23" s="1"/>
  <c r="A6" i="23"/>
  <c r="A7" i="23" s="1"/>
  <c r="A8" i="23" s="1"/>
  <c r="A9" i="23" s="1"/>
  <c r="A10" i="23" s="1"/>
  <c r="H26" i="23" l="1"/>
  <c r="H107" i="32" s="1"/>
  <c r="G11" i="23"/>
  <c r="H105" i="32" s="1"/>
  <c r="H107" i="30" l="1"/>
  <c r="H107" i="29"/>
  <c r="H108" i="31"/>
  <c r="H109" i="32"/>
  <c r="H130" i="32" s="1"/>
  <c r="H131" i="32" s="1"/>
  <c r="H114" i="32" s="1"/>
  <c r="H115" i="32" s="1"/>
  <c r="H116" i="32" s="1"/>
  <c r="H106" i="31"/>
  <c r="H105" i="29"/>
  <c r="H110" i="31" l="1"/>
  <c r="H131" i="31" s="1"/>
  <c r="H132" i="31" s="1"/>
  <c r="H115" i="31" s="1"/>
  <c r="H109" i="30"/>
  <c r="H130" i="30" s="1"/>
  <c r="H131" i="30" s="1"/>
  <c r="H114" i="30" s="1"/>
  <c r="H115" i="30" s="1"/>
  <c r="H116" i="30" s="1"/>
  <c r="H118" i="30" s="1"/>
  <c r="H109" i="29"/>
  <c r="H130" i="29" s="1"/>
  <c r="H131" i="29" s="1"/>
  <c r="H114" i="29" s="1"/>
  <c r="H119" i="32"/>
  <c r="H117" i="32"/>
  <c r="H118" i="32"/>
  <c r="H117" i="30" l="1"/>
  <c r="H116" i="31"/>
  <c r="H117" i="31" s="1"/>
  <c r="H120" i="31" s="1"/>
  <c r="H119" i="30"/>
  <c r="H115" i="29"/>
  <c r="H116" i="29" s="1"/>
  <c r="H118" i="29" s="1"/>
  <c r="H120" i="32"/>
  <c r="H132" i="32" s="1"/>
  <c r="H133" i="32" s="1"/>
  <c r="H134" i="32" s="1"/>
  <c r="G11" i="7" s="1"/>
  <c r="H139" i="32" l="1"/>
  <c r="H146" i="32" s="1"/>
  <c r="H11" i="7"/>
  <c r="I11" i="7" s="1"/>
  <c r="H120" i="30"/>
  <c r="H132" i="30" s="1"/>
  <c r="H133" i="30" s="1"/>
  <c r="H134" i="30" s="1"/>
  <c r="G8" i="7" s="1"/>
  <c r="H118" i="31"/>
  <c r="H119" i="31"/>
  <c r="H119" i="29"/>
  <c r="H117" i="29"/>
  <c r="H139" i="30" l="1"/>
  <c r="H146" i="30" s="1"/>
  <c r="H8" i="7"/>
  <c r="H120" i="29"/>
  <c r="H132" i="29" s="1"/>
  <c r="H133" i="29" s="1"/>
  <c r="H134" i="29" s="1"/>
  <c r="G9" i="7" s="1"/>
  <c r="H121" i="31"/>
  <c r="H133" i="31" s="1"/>
  <c r="H134" i="31" s="1"/>
  <c r="H135" i="31" s="1"/>
  <c r="G10" i="7" s="1"/>
  <c r="H139" i="29" l="1"/>
  <c r="H146" i="29" s="1"/>
  <c r="H9" i="7"/>
  <c r="I9" i="7" s="1"/>
  <c r="H140" i="31"/>
  <c r="H147" i="31" s="1"/>
  <c r="H10" i="7"/>
  <c r="I10" i="7" s="1"/>
  <c r="I8" i="7"/>
  <c r="I12" i="7" l="1"/>
  <c r="I13" i="7" s="1"/>
  <c r="H12"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michelly</author>
    <author>Felipe Mazza Mascarenhas</author>
  </authors>
  <commentList>
    <comment ref="B23" authorId="0" shapeId="0" xr:uid="{8C222869-ED3C-43DD-AD9D-BF71081DF641}">
      <text>
        <r>
          <rPr>
            <sz val="9"/>
            <color indexed="81"/>
            <rFont val="Segoe UI"/>
            <family val="2"/>
          </rPr>
          <t xml:space="preserve">Nota 1: O Módulo 1 refere-se ao valor mensal devido ao empregado pela prestação do serviço no período de 12 meses.
</t>
        </r>
      </text>
    </comment>
    <comment ref="D27" authorId="0" shapeId="0" xr:uid="{7AAB757B-D537-4078-BF2B-DBE562A2E6CE}">
      <text>
        <r>
          <rPr>
            <sz val="9"/>
            <color indexed="81"/>
            <rFont val="Segoe UI"/>
            <family val="2"/>
          </rPr>
          <t>Grau mínimo 10%, grau médio 20% e grau máximo 40%.</t>
        </r>
      </text>
    </comment>
    <comment ref="B36" authorId="0" shapeId="0" xr:uid="{86ABCFE0-A010-4EEF-BFA9-BC25B833B0BF}">
      <text>
        <r>
          <rPr>
            <sz val="9"/>
            <color indexed="81"/>
            <rFont val="Segoe UI"/>
            <family val="2"/>
          </rPr>
          <t>Nota 1: Como a planilha de custos e formação de preços é calculada mensalmente, provisiona-se proporcionalmente 1/12 (um doze avos) dos valores referentes a gratificação natalina e adicional de férias.
Nota 2: O adicional de férias contido no Submódulo 2.1 corresponde a 1/3 (um terço) da remuneração que por sua vez é divido por 12 (doze) conforme Nota 1 acima.</t>
        </r>
      </text>
    </comment>
    <comment ref="G38" authorId="1" shapeId="0" xr:uid="{5FF55218-DE09-4B7C-B65C-6E6BF270C26D}">
      <text>
        <r>
          <rPr>
            <sz val="9"/>
            <color indexed="81"/>
            <rFont val="Segoe UI"/>
            <family val="2"/>
          </rPr>
          <t>Tot.1 ÷ 12 meses</t>
        </r>
      </text>
    </comment>
    <comment ref="G39" authorId="1" shapeId="0" xr:uid="{22B3B0C3-6261-4078-B72C-6658D83FF25F}">
      <text>
        <r>
          <rPr>
            <sz val="9"/>
            <color indexed="81"/>
            <rFont val="Segoe UI"/>
            <family val="2"/>
          </rPr>
          <t>(Tot.1 ÷ 12 meses) + [(Tot.1 ÷ 3) ÷ 12 meses]</t>
        </r>
      </text>
    </comment>
    <comment ref="B42" authorId="0" shapeId="0" xr:uid="{213EE85A-E59C-430C-A708-BEE7DB26D77D}">
      <text>
        <r>
          <rPr>
            <sz val="9"/>
            <color indexed="81"/>
            <rFont val="Segoe UI"/>
            <family val="2"/>
          </rPr>
          <t xml:space="preserve">Nota 1: Os percentuais dos encargos previdenciários, do FGTS e demais contribuições são aqueles estabelecidos pela legislação vigente.
Nota 2: O SAT a depender do grau de risco do serviço irá variar entre 1%, para risco leve, de 2%, para risco médio, e de 3% de risco grave.
Nota 3: Esses percentuais incidem sobre o Módulo 1 e o Submódulo 2.1.
</t>
        </r>
      </text>
    </comment>
    <comment ref="G44" authorId="0" shapeId="0" xr:uid="{698BAABF-6D3A-42DD-803F-CB4D9C31D08C}">
      <text>
        <r>
          <rPr>
            <sz val="9"/>
            <color indexed="81"/>
            <rFont val="Segoe UI"/>
            <family val="2"/>
          </rPr>
          <t>Percentual fixo:
Lei 8.212/91, Art. 22, I</t>
        </r>
      </text>
    </comment>
    <comment ref="G45" authorId="0" shapeId="0" xr:uid="{6F71E3DE-2619-43BE-86CD-F4F2E7847E7D}">
      <text>
        <r>
          <rPr>
            <sz val="9"/>
            <color indexed="81"/>
            <rFont val="Segoe UI"/>
            <family val="2"/>
          </rPr>
          <t>Percentual fixo:
- C.F./88, Art. 212, §5º
- Decreto 6.003/2006, Art. 1º, §1º</t>
        </r>
      </text>
    </comment>
    <comment ref="E46" authorId="0" shapeId="0" xr:uid="{C41C1893-741C-4F20-9314-CD0B44A114BF}">
      <text>
        <r>
          <rPr>
            <sz val="9"/>
            <color indexed="81"/>
            <rFont val="Segoe UI"/>
            <family val="2"/>
          </rPr>
          <t>Riscos Ambientais do Trabalho:
1%, 2% ou 3%
Lei 8.212/91, Art. 22, II</t>
        </r>
      </text>
    </comment>
    <comment ref="F46" authorId="0" shapeId="0" xr:uid="{356E30ED-EB52-44BA-8955-CDF7451EEFD3}">
      <text>
        <r>
          <rPr>
            <sz val="9"/>
            <color indexed="81"/>
            <rFont val="Segoe UI"/>
            <family val="2"/>
          </rPr>
          <t>Fator Acidentário de Prevenção:
0,50 a 2
Decreto 6.957/09, Art. 1º, §1º</t>
        </r>
      </text>
    </comment>
    <comment ref="G48" authorId="0" shapeId="0" xr:uid="{37BFADB0-950E-402B-BBDE-CF21A8F9337C}">
      <text>
        <r>
          <rPr>
            <sz val="9"/>
            <color indexed="81"/>
            <rFont val="Segoe UI"/>
            <family val="2"/>
          </rPr>
          <t>Percentual fixo:
- Lei 8.036/90, Art. 30</t>
        </r>
      </text>
    </comment>
    <comment ref="G49" authorId="0" shapeId="0" xr:uid="{3B15B986-E5BB-4EAF-B339-9AED0FEDC4D1}">
      <text>
        <r>
          <rPr>
            <sz val="9"/>
            <color indexed="81"/>
            <rFont val="Segoe UI"/>
            <family val="2"/>
          </rPr>
          <t>Percentual fixo:
- Decreto-Lei 6.246/44, Art. 1º
- Decreto-Lei 8.621/46, Art. 4º</t>
        </r>
      </text>
    </comment>
    <comment ref="G50" authorId="0" shapeId="0" xr:uid="{45BDE64D-1E38-4A87-99E0-8E74611566F0}">
      <text>
        <r>
          <rPr>
            <sz val="9"/>
            <color indexed="81"/>
            <rFont val="Segoe UI"/>
            <family val="2"/>
          </rPr>
          <t>Percentual fixo:
- Lei 8.029/90, alterada pela Lei 8.154/90</t>
        </r>
      </text>
    </comment>
    <comment ref="G51" authorId="0" shapeId="0" xr:uid="{90DD22B0-B6B8-4046-8A74-93E9C9CDAE5D}">
      <text>
        <r>
          <rPr>
            <sz val="9"/>
            <color indexed="81"/>
            <rFont val="Segoe UI"/>
            <family val="2"/>
          </rPr>
          <t>Percentual fixo:
- Decreto-Lei 1.146/70, Art. 1º, inciso I</t>
        </r>
      </text>
    </comment>
    <comment ref="G52" authorId="0" shapeId="0" xr:uid="{04076A37-081A-4136-9693-0D5DD6DBB329}">
      <text>
        <r>
          <rPr>
            <sz val="9"/>
            <color indexed="81"/>
            <rFont val="Segoe UI"/>
            <family val="2"/>
          </rPr>
          <t>Percentual fixo:
- Lei 8.036/90, Art. 15</t>
        </r>
      </text>
    </comment>
    <comment ref="B55" authorId="0" shapeId="0" xr:uid="{4975F1E6-5E63-4B89-9EA2-5D162BC30F21}">
      <text>
        <r>
          <rPr>
            <sz val="9"/>
            <color indexed="81"/>
            <rFont val="Segoe UI"/>
            <family val="2"/>
          </rPr>
          <t>Nota 1: O valor informado deverá ser o custo real do benefício (descontado o valor eventualmente pago pelo empregado).
Nota 2: Observar a previsão dos benefícios contidos em Acordos, Convenções e Dissídios Coletivos de Trabalho e atentar-se ao disposto no art. 6º da IN 05, de 25/05/2017.</t>
        </r>
      </text>
    </comment>
    <comment ref="C56" authorId="1" shapeId="0" xr:uid="{CEAF964D-89EE-4595-8287-7DA805F608B9}">
      <text>
        <r>
          <rPr>
            <sz val="9"/>
            <color indexed="81"/>
            <rFont val="Segoe UI"/>
            <family val="2"/>
          </rPr>
          <t>*Considerada média de 22 dias úteis mensais</t>
        </r>
      </text>
    </comment>
    <comment ref="C75" authorId="1" shapeId="0" xr:uid="{9E9FDF0B-338D-455C-B397-9F39A83D425F}">
      <text>
        <r>
          <rPr>
            <sz val="9"/>
            <color indexed="81"/>
            <rFont val="Segoe UI"/>
            <family val="2"/>
          </rPr>
          <t>O pagamento relativo à rubrica de benefícios dependerá de como a Convenção Coletiva de Trabalho aborda o assunto. Se pagamento por dia trabalhado, não deve constar esses valores na memória de cálculo.
(Remuneração +13º salário + Férias e Adicional de férias + FGTS + Benefícios - Vale Transporte) ÷ 12 meses</t>
        </r>
      </text>
    </comment>
    <comment ref="F76" authorId="1" shapeId="0" xr:uid="{0116D709-7C6F-40C2-81B3-AD9EC5272AA4}">
      <text>
        <r>
          <rPr>
            <sz val="9"/>
            <color indexed="81"/>
            <rFont val="Segoe UI"/>
            <family val="2"/>
          </rPr>
          <t>Percentual fixo</t>
        </r>
      </text>
    </comment>
    <comment ref="G77" authorId="1" shapeId="0" xr:uid="{95189678-E463-4183-B049-5EC621369971}">
      <text>
        <r>
          <rPr>
            <sz val="9"/>
            <color indexed="81"/>
            <rFont val="Segoe UI"/>
            <family val="2"/>
          </rPr>
          <t>Percentual variável, desde que maior que 100%</t>
        </r>
      </text>
    </comment>
    <comment ref="F78" authorId="1" shapeId="0" xr:uid="{CAEE242F-7167-44C1-9710-CDC5068FC2B2}">
      <text>
        <r>
          <rPr>
            <sz val="9"/>
            <color indexed="81"/>
            <rFont val="Segoe UI"/>
            <family val="2"/>
          </rPr>
          <t>Percentual fixo</t>
        </r>
      </text>
    </comment>
    <comment ref="C79" authorId="1" shapeId="0" xr:uid="{ADE047F4-BB82-499D-AB41-8A95F10C1478}">
      <text>
        <r>
          <rPr>
            <sz val="9"/>
            <color indexed="81"/>
            <rFont val="Segoe UI"/>
            <family val="2"/>
          </rPr>
          <t>(Remuneração +13º salário + Férias e Adicional de férias + FGTS + Benefícios) ÷ 12 meses</t>
        </r>
      </text>
    </comment>
    <comment ref="F79" authorId="1" shapeId="0" xr:uid="{13764411-B8F8-4DDB-AC0B-F9E0C0BFE67B}">
      <text>
        <r>
          <rPr>
            <sz val="9"/>
            <color indexed="81"/>
            <rFont val="Segoe UI"/>
            <family val="2"/>
          </rPr>
          <t>Valor fixo</t>
        </r>
      </text>
    </comment>
    <comment ref="G79" authorId="1" shapeId="0" xr:uid="{BE908A52-25A9-41B3-AF00-796E349FF79F}">
      <text>
        <r>
          <rPr>
            <sz val="9"/>
            <color indexed="81"/>
            <rFont val="Segoe UI"/>
            <family val="2"/>
          </rPr>
          <t>Lei nº 12.506, de 2011.
“Art. 1º O aviso prévio, de que trata o Capítulo VI do Título IV da Consolidação das Leis do Trabalho - CLT, aprovada pelo Decreto-Lei nº 5.452, de 1º de maio de 1943, será concedido na proporção de 30 (trinta) dias aos empregados que contem até 1 (um) ano de serviço na mesma empresa.
Parágrafo único. Ao aviso prévio previsto neste artigo serão acrescidos 3 (três) dias por ano de serviço prestado na mesma empresa, até o máximo de 60 (sessenta) dias, perfazendo um total de até 90 (noventa) dias.”</t>
        </r>
      </text>
    </comment>
    <comment ref="B83" authorId="0" shapeId="0" xr:uid="{8F533674-17FC-4934-B6A4-58E33C850828}">
      <text>
        <r>
          <rPr>
            <sz val="9"/>
            <color indexed="81"/>
            <rFont val="Segoe UI"/>
            <family val="2"/>
          </rPr>
          <t>Nota 1: Os itens que contemplam o módulo 4 se referem ao custo dos dias trabalhados pelo repositor/substituto, quando o empregado alocado na prestação de serviço estiver ausente, conforme as previsões estabelecidas na legislação.</t>
        </r>
      </text>
    </comment>
    <comment ref="G85" authorId="0" shapeId="0" xr:uid="{9472B8F1-C2EB-410C-9EFE-EA833BEB30D9}">
      <text>
        <r>
          <rPr>
            <sz val="9"/>
            <color indexed="81"/>
            <rFont val="Segoe UI"/>
            <family val="2"/>
          </rPr>
          <t xml:space="preserve">Estimativa de dias:
Férias – 30 dias/ano
Ausências Legais – 2,96 faltas/ano
Licença Paternidade – 0,075 (5 dias/ano * 1,5% incidência)
Ausência por Acidente de Trabalho – 1,2 (15 dia/ano * 8% incidência)
Afastamento Maternidade – 2,4 (4 meses/ano * 2% incidência)
Outras Ausências - 1 falta/ano
Total de 38 dias (aproximadamente) de ausência ao ano.
</t>
        </r>
      </text>
    </comment>
    <comment ref="G86" authorId="1" shapeId="0" xr:uid="{F421070D-FD3E-4B45-9F6B-BDDE04CFA392}">
      <text>
        <r>
          <rPr>
            <sz val="9"/>
            <color indexed="81"/>
            <rFont val="Segoe UI"/>
            <family val="2"/>
          </rPr>
          <t xml:space="preserve">Quantidade </t>
        </r>
        <r>
          <rPr>
            <b/>
            <sz val="9"/>
            <color indexed="81"/>
            <rFont val="Segoe UI"/>
            <family val="2"/>
          </rPr>
          <t>fixa</t>
        </r>
        <r>
          <rPr>
            <sz val="9"/>
            <color indexed="81"/>
            <rFont val="Segoe UI"/>
            <family val="2"/>
          </rPr>
          <t xml:space="preserve"> de dias = 30</t>
        </r>
      </text>
    </comment>
    <comment ref="G87" authorId="0" shapeId="0" xr:uid="{0327443E-B80C-4586-8171-05C470AF7072}">
      <text>
        <r>
          <rPr>
            <sz val="9"/>
            <color indexed="81"/>
            <rFont val="Segoe UI"/>
            <family val="2"/>
          </rPr>
          <t>Necessidade da empresa, de acordo com as probabilidades consignadas em sua proposta, de um repositor durante o ano (em dias).</t>
        </r>
      </text>
    </comment>
    <comment ref="C88" authorId="1" shapeId="0" xr:uid="{6910A8EA-F57C-42DC-8E7E-E837927C031D}">
      <text>
        <r>
          <rPr>
            <sz val="9"/>
            <color indexed="81"/>
            <rFont val="Segoe UI"/>
            <family val="2"/>
          </rPr>
          <t>(Módulo 1 + Módulo 2 + Módulo 3) ÷ 30 dias</t>
        </r>
      </text>
    </comment>
    <comment ref="G92" authorId="0" shapeId="0" xr:uid="{04A97F7E-94AE-4C15-A52F-9C2348C8EBB5}">
      <text>
        <r>
          <rPr>
            <sz val="9"/>
            <color indexed="81"/>
            <rFont val="Segoe UI"/>
            <family val="2"/>
          </rPr>
          <t xml:space="preserve">Dias necessários para substituição.
</t>
        </r>
      </text>
    </comment>
    <comment ref="B103" authorId="0" shapeId="0" xr:uid="{52F260D6-2D8C-4427-93D0-735F973BAE2C}">
      <text>
        <r>
          <rPr>
            <sz val="9"/>
            <color indexed="81"/>
            <rFont val="Segoe UI"/>
            <family val="2"/>
          </rPr>
          <t>Nota: Valores mensais por posto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michelly</author>
    <author>Felipe Mazza Mascarenhas</author>
  </authors>
  <commentList>
    <comment ref="B23" authorId="0" shapeId="0" xr:uid="{4A1BB458-A4F5-4D5D-9A2F-B2A35CD5B325}">
      <text>
        <r>
          <rPr>
            <sz val="9"/>
            <color indexed="81"/>
            <rFont val="Segoe UI"/>
            <family val="2"/>
          </rPr>
          <t xml:space="preserve">Nota 1: O Módulo 1 refere-se ao valor mensal devido ao empregado pela prestação do serviço no período de 12 meses.
</t>
        </r>
      </text>
    </comment>
    <comment ref="D27" authorId="0" shapeId="0" xr:uid="{8CD09E27-F5B2-4F2B-83A5-1536F30A3956}">
      <text>
        <r>
          <rPr>
            <sz val="9"/>
            <color indexed="81"/>
            <rFont val="Segoe UI"/>
            <family val="2"/>
          </rPr>
          <t>Grau mínimo 10%, grau médio 20% e grau máximo 40%.</t>
        </r>
      </text>
    </comment>
    <comment ref="B36" authorId="0" shapeId="0" xr:uid="{114EEEE4-FC7C-433E-9557-877CC240903F}">
      <text>
        <r>
          <rPr>
            <sz val="9"/>
            <color indexed="81"/>
            <rFont val="Segoe UI"/>
            <family val="2"/>
          </rPr>
          <t>Nota 1: Como a planilha de custos e formação de preços é calculada mensalmente, provisiona-se proporcionalmente 1/12 (um doze avos) dos valores referentes a gratificação natalina e adicional de férias.
Nota 2: O adicional de férias contido no Submódulo 2.1 corresponde a 1/3 (um terço) da remuneração que por sua vez é divido por 12 (doze) conforme Nota 1 acima.</t>
        </r>
      </text>
    </comment>
    <comment ref="G38" authorId="1" shapeId="0" xr:uid="{F988AAC3-854F-41ED-9598-0A40AE7CE7B8}">
      <text>
        <r>
          <rPr>
            <sz val="9"/>
            <color indexed="81"/>
            <rFont val="Segoe UI"/>
            <family val="2"/>
          </rPr>
          <t>Tot.1 ÷ 12 meses</t>
        </r>
      </text>
    </comment>
    <comment ref="G39" authorId="1" shapeId="0" xr:uid="{C05BD6F0-6573-4AB4-A5BD-F19CADC09565}">
      <text>
        <r>
          <rPr>
            <sz val="9"/>
            <color indexed="81"/>
            <rFont val="Segoe UI"/>
            <family val="2"/>
          </rPr>
          <t>(Tot.1 ÷ 12 meses) + [(Tot.1 ÷ 3) ÷ 12 meses]</t>
        </r>
      </text>
    </comment>
    <comment ref="B42" authorId="0" shapeId="0" xr:uid="{FFD0D37E-35FE-41BA-B3DF-DFB7B2C76724}">
      <text>
        <r>
          <rPr>
            <sz val="9"/>
            <color indexed="81"/>
            <rFont val="Segoe UI"/>
            <family val="2"/>
          </rPr>
          <t xml:space="preserve">Nota 1: Os percentuais dos encargos previdenciários, do FGTS e demais contribuições são aqueles estabelecidos pela legislação vigente.
Nota 2: O SAT a depender do grau de risco do serviço irá variar entre 1%, para risco leve, de 2%, para risco médio, e de 3% de risco grave.
Nota 3: Esses percentuais incidem sobre o Módulo 1 e o Submódulo 2.1.
</t>
        </r>
      </text>
    </comment>
    <comment ref="G44" authorId="0" shapeId="0" xr:uid="{0D7BF8AA-29AA-4F21-BCAF-F2EBADDE2B53}">
      <text>
        <r>
          <rPr>
            <sz val="9"/>
            <color indexed="81"/>
            <rFont val="Segoe UI"/>
            <family val="2"/>
          </rPr>
          <t>Percentual fixo:
Lei 8.212/91, Art. 22, I</t>
        </r>
      </text>
    </comment>
    <comment ref="G45" authorId="0" shapeId="0" xr:uid="{978A20E0-4C98-4117-91F1-48A267F284E4}">
      <text>
        <r>
          <rPr>
            <sz val="9"/>
            <color indexed="81"/>
            <rFont val="Segoe UI"/>
            <family val="2"/>
          </rPr>
          <t>Percentual fixo:
- C.F./88, Art. 212, §5º
- Decreto 6.003/2006, Art. 1º, §1º</t>
        </r>
      </text>
    </comment>
    <comment ref="E46" authorId="0" shapeId="0" xr:uid="{418F3223-8221-4083-B13C-1CD328806872}">
      <text>
        <r>
          <rPr>
            <sz val="9"/>
            <color indexed="81"/>
            <rFont val="Segoe UI"/>
            <family val="2"/>
          </rPr>
          <t>Riscos Ambientais do Trabalho:
1%, 2% ou 3%
Lei 8.212/91, Art. 22, II</t>
        </r>
      </text>
    </comment>
    <comment ref="F46" authorId="0" shapeId="0" xr:uid="{17D209D6-B359-4A3C-8DE7-9B7B4FB9AEFA}">
      <text>
        <r>
          <rPr>
            <sz val="9"/>
            <color indexed="81"/>
            <rFont val="Segoe UI"/>
            <family val="2"/>
          </rPr>
          <t>Fator Acidentário de Prevenção:
0,50 a 2
Decreto 6.957/09, Art. 1º, §1º</t>
        </r>
      </text>
    </comment>
    <comment ref="G48" authorId="0" shapeId="0" xr:uid="{9BA39A41-BD4F-4968-AB5E-E904AA758A3C}">
      <text>
        <r>
          <rPr>
            <sz val="9"/>
            <color indexed="81"/>
            <rFont val="Segoe UI"/>
            <family val="2"/>
          </rPr>
          <t>Percentual fixo:
- Lei 8.036/90, Art. 30</t>
        </r>
      </text>
    </comment>
    <comment ref="G49" authorId="0" shapeId="0" xr:uid="{EF2721A6-9DC0-4210-ACF6-F9DB6CDF30A4}">
      <text>
        <r>
          <rPr>
            <sz val="9"/>
            <color indexed="81"/>
            <rFont val="Segoe UI"/>
            <family val="2"/>
          </rPr>
          <t>Percentual fixo:
- Decreto-Lei 6.246/44, Art. 1º
- Decreto-Lei 8.621/46, Art. 4º</t>
        </r>
      </text>
    </comment>
    <comment ref="G50" authorId="0" shapeId="0" xr:uid="{D3385E49-8F5A-4C8A-89BD-B3D376B02271}">
      <text>
        <r>
          <rPr>
            <sz val="9"/>
            <color indexed="81"/>
            <rFont val="Segoe UI"/>
            <family val="2"/>
          </rPr>
          <t>Percentual fixo:
- Lei 8.029/90, alterada pela Lei 8.154/90</t>
        </r>
      </text>
    </comment>
    <comment ref="G51" authorId="0" shapeId="0" xr:uid="{2C90E446-D56B-4504-A9DB-5D96F05FE895}">
      <text>
        <r>
          <rPr>
            <sz val="9"/>
            <color indexed="81"/>
            <rFont val="Segoe UI"/>
            <family val="2"/>
          </rPr>
          <t>Percentual fixo:
- Decreto-Lei 1.146/70, Art. 1º, inciso I</t>
        </r>
      </text>
    </comment>
    <comment ref="G52" authorId="0" shapeId="0" xr:uid="{7C70F644-9996-4E74-B1FB-2CAAB44F9CF5}">
      <text>
        <r>
          <rPr>
            <sz val="9"/>
            <color indexed="81"/>
            <rFont val="Segoe UI"/>
            <family val="2"/>
          </rPr>
          <t>Percentual fixo:
- Lei 8.036/90, Art. 15</t>
        </r>
      </text>
    </comment>
    <comment ref="B55" authorId="0" shapeId="0" xr:uid="{39AC6683-2513-4672-940B-BBC63CD4A830}">
      <text>
        <r>
          <rPr>
            <sz val="9"/>
            <color indexed="81"/>
            <rFont val="Segoe UI"/>
            <family val="2"/>
          </rPr>
          <t>Nota 1: O valor informado deverá ser o custo real do benefício (descontado o valor eventualmente pago pelo empregado).
Nota 2: Observar a previsão dos benefícios contidos em Acordos, Convenções e Dissídios Coletivos de Trabalho e atentar-se ao disposto no art. 6º da IN 05, de 25/05/2017.</t>
        </r>
      </text>
    </comment>
    <comment ref="C56" authorId="1" shapeId="0" xr:uid="{D9D5D0FE-F10B-41F4-AA87-2F1ABF48A8D2}">
      <text>
        <r>
          <rPr>
            <sz val="9"/>
            <color indexed="81"/>
            <rFont val="Segoe UI"/>
            <family val="2"/>
          </rPr>
          <t>*Considerada média de 22 dias úteis mensais</t>
        </r>
      </text>
    </comment>
    <comment ref="C75" authorId="1" shapeId="0" xr:uid="{3F7B5A72-B8C4-4677-A8A8-2A5BBF13FD61}">
      <text>
        <r>
          <rPr>
            <sz val="9"/>
            <color indexed="81"/>
            <rFont val="Segoe UI"/>
            <family val="2"/>
          </rPr>
          <t>O pagamento relativo à rubrica de benefícios dependerá de como a Convenção Coletiva de Trabalho aborda o assunto. Se pagamento por dia trabalhado, não deve constar esses valores na memória de cálculo.
(Remuneração +13º salário + Férias e Adicional de férias + FGTS + Benefícios - Vale Transporte) ÷ 12 meses</t>
        </r>
      </text>
    </comment>
    <comment ref="F76" authorId="1" shapeId="0" xr:uid="{19F2C497-775B-48BB-AFDE-6F7BADDF2859}">
      <text>
        <r>
          <rPr>
            <sz val="9"/>
            <color indexed="81"/>
            <rFont val="Segoe UI"/>
            <family val="2"/>
          </rPr>
          <t>Percentual fixo</t>
        </r>
      </text>
    </comment>
    <comment ref="G77" authorId="1" shapeId="0" xr:uid="{C2E03BBC-73B7-4F59-8AF4-0CD079F70EFA}">
      <text>
        <r>
          <rPr>
            <sz val="9"/>
            <color indexed="81"/>
            <rFont val="Segoe UI"/>
            <family val="2"/>
          </rPr>
          <t>Percentual variável, desde que maior que 100%</t>
        </r>
      </text>
    </comment>
    <comment ref="F78" authorId="1" shapeId="0" xr:uid="{429DA882-BEE9-429D-8398-5402BD9C63D6}">
      <text>
        <r>
          <rPr>
            <sz val="9"/>
            <color indexed="81"/>
            <rFont val="Segoe UI"/>
            <family val="2"/>
          </rPr>
          <t>Percentual fixo</t>
        </r>
      </text>
    </comment>
    <comment ref="C79" authorId="1" shapeId="0" xr:uid="{C61DF2B8-BAEF-4158-81B3-0C7A4F34B49C}">
      <text>
        <r>
          <rPr>
            <sz val="9"/>
            <color indexed="81"/>
            <rFont val="Segoe UI"/>
            <family val="2"/>
          </rPr>
          <t>(Remuneração +13º salário + Férias e Adicional de férias + FGTS + Benefícios) ÷ 12 meses</t>
        </r>
      </text>
    </comment>
    <comment ref="F79" authorId="1" shapeId="0" xr:uid="{9D893191-0E33-4D10-AE07-8456ACA828E5}">
      <text>
        <r>
          <rPr>
            <sz val="9"/>
            <color indexed="81"/>
            <rFont val="Segoe UI"/>
            <family val="2"/>
          </rPr>
          <t>Valor fixo</t>
        </r>
      </text>
    </comment>
    <comment ref="G79" authorId="1" shapeId="0" xr:uid="{A0D0837E-7962-4A0F-ADFC-B09AF174E0EF}">
      <text>
        <r>
          <rPr>
            <sz val="9"/>
            <color indexed="81"/>
            <rFont val="Segoe UI"/>
            <family val="2"/>
          </rPr>
          <t>Lei nº 12.506, de 2011.
“Art. 1º O aviso prévio, de que trata o Capítulo VI do Título IV da Consolidação das Leis do Trabalho - CLT, aprovada pelo Decreto-Lei nº 5.452, de 1º de maio de 1943, será concedido na proporção de 30 (trinta) dias aos empregados que contem até 1 (um) ano de serviço na mesma empresa.
Parágrafo único. Ao aviso prévio previsto neste artigo serão acrescidos 3 (três) dias por ano de serviço prestado na mesma empresa, até o máximo de 60 (sessenta) dias, perfazendo um total de até 90 (noventa) dias.”</t>
        </r>
      </text>
    </comment>
    <comment ref="B83" authorId="0" shapeId="0" xr:uid="{7C1F3B4C-4B54-4BD9-A477-D9121BD8284F}">
      <text>
        <r>
          <rPr>
            <sz val="9"/>
            <color indexed="81"/>
            <rFont val="Segoe UI"/>
            <family val="2"/>
          </rPr>
          <t>Nota 1: Os itens que contemplam o módulo 4 se referem ao custo dos dias trabalhados pelo repositor/substituto, quando o empregado alocado na prestação de serviço estiver ausente, conforme as previsões estabelecidas na legislação.</t>
        </r>
      </text>
    </comment>
    <comment ref="G85" authorId="0" shapeId="0" xr:uid="{6738CF8C-BE95-4FE9-B1E6-4123F8010FC8}">
      <text>
        <r>
          <rPr>
            <sz val="9"/>
            <color indexed="81"/>
            <rFont val="Segoe UI"/>
            <family val="2"/>
          </rPr>
          <t xml:space="preserve">Estimativa de dias:
Férias – 30 dias/ano
Ausências Legais – 2,96 faltas/ano
Licença Paternidade – 0,075 (5 dias/ano * 1,5% incidência)
Ausência por Acidente de Trabalho – 1,2 (15 dia/ano * 8% incidência)
Afastamento Maternidade – 2,4 (4 meses/ano * 2% incidência)
Outras Ausências - 1 falta/ano
Total de 38 dias (aproximadamente) de ausência ao ano.
</t>
        </r>
      </text>
    </comment>
    <comment ref="G86" authorId="1" shapeId="0" xr:uid="{8638B0BC-2E37-46A3-BB1C-057F74BD9CCA}">
      <text>
        <r>
          <rPr>
            <sz val="9"/>
            <color indexed="81"/>
            <rFont val="Segoe UI"/>
            <family val="2"/>
          </rPr>
          <t xml:space="preserve">Quantidade </t>
        </r>
        <r>
          <rPr>
            <b/>
            <sz val="9"/>
            <color indexed="81"/>
            <rFont val="Segoe UI"/>
            <family val="2"/>
          </rPr>
          <t>fixa</t>
        </r>
        <r>
          <rPr>
            <sz val="9"/>
            <color indexed="81"/>
            <rFont val="Segoe UI"/>
            <family val="2"/>
          </rPr>
          <t xml:space="preserve"> de dias = 30</t>
        </r>
      </text>
    </comment>
    <comment ref="G87" authorId="0" shapeId="0" xr:uid="{9FF8289D-E510-4709-AEF7-F6E845BF0385}">
      <text>
        <r>
          <rPr>
            <sz val="9"/>
            <color indexed="81"/>
            <rFont val="Segoe UI"/>
            <family val="2"/>
          </rPr>
          <t>Necessidade da empresa, de acordo com as probabilidades consignadas em sua proposta, de um repositor durante o ano (em dias).</t>
        </r>
      </text>
    </comment>
    <comment ref="C88" authorId="1" shapeId="0" xr:uid="{4DDEF6EB-0E11-487A-A8A9-35D35059073B}">
      <text>
        <r>
          <rPr>
            <sz val="9"/>
            <color indexed="81"/>
            <rFont val="Segoe UI"/>
            <family val="2"/>
          </rPr>
          <t>(Módulo 1 + Módulo 2 + Módulo 3) ÷ 30 dias</t>
        </r>
      </text>
    </comment>
    <comment ref="G92" authorId="0" shapeId="0" xr:uid="{BC40380F-E765-48A5-A271-3E6C98B6F95F}">
      <text>
        <r>
          <rPr>
            <sz val="9"/>
            <color indexed="81"/>
            <rFont val="Segoe UI"/>
            <family val="2"/>
          </rPr>
          <t xml:space="preserve">Dias necessários para substituição.
</t>
        </r>
      </text>
    </comment>
    <comment ref="B103" authorId="0" shapeId="0" xr:uid="{919C0FB6-D1C8-4321-87AF-BF137149115A}">
      <text>
        <r>
          <rPr>
            <sz val="9"/>
            <color indexed="81"/>
            <rFont val="Segoe UI"/>
            <family val="2"/>
          </rPr>
          <t>Nota: Valores mensais por posto</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michelly</author>
    <author>Felipe Mazza Mascarenhas</author>
  </authors>
  <commentList>
    <comment ref="B23" authorId="0" shapeId="0" xr:uid="{D98EA916-85FA-4C59-8594-F607DD3A8120}">
      <text>
        <r>
          <rPr>
            <sz val="9"/>
            <color indexed="81"/>
            <rFont val="Segoe UI"/>
            <family val="2"/>
          </rPr>
          <t xml:space="preserve">Nota 1: O Módulo 1 refere-se ao valor mensal devido ao empregado pela prestação do serviço no período de 12 meses.
</t>
        </r>
      </text>
    </comment>
    <comment ref="D27" authorId="0" shapeId="0" xr:uid="{7D996DA3-C3F0-4AA1-A047-4DE13984A351}">
      <text>
        <r>
          <rPr>
            <sz val="9"/>
            <color indexed="81"/>
            <rFont val="Segoe UI"/>
            <family val="2"/>
          </rPr>
          <t>Grau mínimo 10%, grau médio 20% e grau máximo 40%.</t>
        </r>
      </text>
    </comment>
    <comment ref="B37" authorId="0" shapeId="0" xr:uid="{B297C74E-4DAC-4FD5-8650-40BAC8CEC274}">
      <text>
        <r>
          <rPr>
            <sz val="9"/>
            <color indexed="81"/>
            <rFont val="Segoe UI"/>
            <family val="2"/>
          </rPr>
          <t>Nota 1: Como a planilha de custos e formação de preços é calculada mensalmente, provisiona-se proporcionalmente 1/12 (um doze avos) dos valores referentes a gratificação natalina e adicional de férias.
Nota 2: O adicional de férias contido no Submódulo 2.1 corresponde a 1/3 (um terço) da remuneração que por sua vez é divido por 12 (doze) conforme Nota 1 acima.</t>
        </r>
      </text>
    </comment>
    <comment ref="G39" authorId="1" shapeId="0" xr:uid="{DC5E7F18-C55E-429E-8A95-51C81D9097A5}">
      <text>
        <r>
          <rPr>
            <sz val="9"/>
            <color indexed="81"/>
            <rFont val="Segoe UI"/>
            <family val="2"/>
          </rPr>
          <t>Tot.1 ÷ 12 meses</t>
        </r>
      </text>
    </comment>
    <comment ref="G40" authorId="1" shapeId="0" xr:uid="{6331C511-99C5-4BEF-92DC-A4BC7C1C4332}">
      <text>
        <r>
          <rPr>
            <sz val="9"/>
            <color indexed="81"/>
            <rFont val="Segoe UI"/>
            <family val="2"/>
          </rPr>
          <t>(Tot.1 ÷ 12 meses) + [(Tot.1 ÷ 3) ÷ 12 meses]</t>
        </r>
      </text>
    </comment>
    <comment ref="B43" authorId="0" shapeId="0" xr:uid="{2784DD5E-941D-4CC6-97A0-8315B22CA2C0}">
      <text>
        <r>
          <rPr>
            <sz val="9"/>
            <color indexed="81"/>
            <rFont val="Segoe UI"/>
            <family val="2"/>
          </rPr>
          <t xml:space="preserve">Nota 1: Os percentuais dos encargos previdenciários, do FGTS e demais contribuições são aqueles estabelecidos pela legislação vigente.
Nota 2: O SAT a depender do grau de risco do serviço irá variar entre 1%, para risco leve, de 2%, para risco médio, e de 3% de risco grave.
Nota 3: Esses percentuais incidem sobre o Módulo 1 e o Submódulo 2.1.
</t>
        </r>
      </text>
    </comment>
    <comment ref="G45" authorId="0" shapeId="0" xr:uid="{4BB0B1AF-E8BA-4605-A455-85DCC9C8D3C6}">
      <text>
        <r>
          <rPr>
            <sz val="9"/>
            <color indexed="81"/>
            <rFont val="Segoe UI"/>
            <family val="2"/>
          </rPr>
          <t>Percentual fixo:
Lei 8.212/91, Art. 22, I</t>
        </r>
      </text>
    </comment>
    <comment ref="G46" authorId="0" shapeId="0" xr:uid="{57DBCB90-3F8A-439E-9A18-183CD72315B3}">
      <text>
        <r>
          <rPr>
            <sz val="9"/>
            <color indexed="81"/>
            <rFont val="Segoe UI"/>
            <family val="2"/>
          </rPr>
          <t>Percentual fixo:
- C.F./88, Art. 212, §5º
- Decreto 6.003/2006, Art. 1º, §1º</t>
        </r>
      </text>
    </comment>
    <comment ref="E47" authorId="0" shapeId="0" xr:uid="{45484C6D-D743-47BF-A2C8-C551C8A8BF62}">
      <text>
        <r>
          <rPr>
            <sz val="9"/>
            <color indexed="81"/>
            <rFont val="Segoe UI"/>
            <family val="2"/>
          </rPr>
          <t>Riscos Ambientais do Trabalho:
1%, 2% ou 3%
Lei 8.212/91, Art. 22, II</t>
        </r>
      </text>
    </comment>
    <comment ref="F47" authorId="0" shapeId="0" xr:uid="{166EC63B-11B1-44F9-AA22-4A0794B8E598}">
      <text>
        <r>
          <rPr>
            <sz val="9"/>
            <color indexed="81"/>
            <rFont val="Segoe UI"/>
            <family val="2"/>
          </rPr>
          <t>Fator Acidentário de Prevenção:
0,50 a 2
Decreto 6.957/09, Art. 1º, §1º</t>
        </r>
      </text>
    </comment>
    <comment ref="G49" authorId="0" shapeId="0" xr:uid="{2A67C963-65ED-42EB-9042-98BE5F80152B}">
      <text>
        <r>
          <rPr>
            <sz val="9"/>
            <color indexed="81"/>
            <rFont val="Segoe UI"/>
            <family val="2"/>
          </rPr>
          <t>Percentual fixo:
- Lei 8.036/90, Art. 30</t>
        </r>
      </text>
    </comment>
    <comment ref="G50" authorId="0" shapeId="0" xr:uid="{D8BDAEF9-9310-4AD6-8588-2891E407B023}">
      <text>
        <r>
          <rPr>
            <sz val="9"/>
            <color indexed="81"/>
            <rFont val="Segoe UI"/>
            <family val="2"/>
          </rPr>
          <t>Percentual fixo:
- Decreto-Lei 6.246/44, Art. 1º
- Decreto-Lei 8.621/46, Art. 4º</t>
        </r>
      </text>
    </comment>
    <comment ref="G51" authorId="0" shapeId="0" xr:uid="{891B2445-7DD1-4B6D-8C0F-A082216FC354}">
      <text>
        <r>
          <rPr>
            <sz val="9"/>
            <color indexed="81"/>
            <rFont val="Segoe UI"/>
            <family val="2"/>
          </rPr>
          <t>Percentual fixo:
- Lei 8.029/90, alterada pela Lei 8.154/90</t>
        </r>
      </text>
    </comment>
    <comment ref="G52" authorId="0" shapeId="0" xr:uid="{EB8C6176-274D-4594-88B1-5841A709F01C}">
      <text>
        <r>
          <rPr>
            <sz val="9"/>
            <color indexed="81"/>
            <rFont val="Segoe UI"/>
            <family val="2"/>
          </rPr>
          <t>Percentual fixo:
- Decreto-Lei 1.146/70, Art. 1º, inciso I</t>
        </r>
      </text>
    </comment>
    <comment ref="G53" authorId="0" shapeId="0" xr:uid="{77114302-C96D-479D-8186-57A981BA2F72}">
      <text>
        <r>
          <rPr>
            <sz val="9"/>
            <color indexed="81"/>
            <rFont val="Segoe UI"/>
            <family val="2"/>
          </rPr>
          <t>Percentual fixo:
- Lei 8.036/90, Art. 15</t>
        </r>
      </text>
    </comment>
    <comment ref="B56" authorId="0" shapeId="0" xr:uid="{4FBB1622-2FAA-44D0-84C7-23DDC1DF3A69}">
      <text>
        <r>
          <rPr>
            <sz val="9"/>
            <color indexed="81"/>
            <rFont val="Segoe UI"/>
            <family val="2"/>
          </rPr>
          <t>Nota 1: O valor informado deverá ser o custo real do benefício (descontado o valor eventualmente pago pelo empregado).
Nota 2: Observar a previsão dos benefícios contidos em Acordos, Convenções e Dissídios Coletivos de Trabalho e atentar-se ao disposto no art. 6º da IN 05, de 25/05/2017.</t>
        </r>
      </text>
    </comment>
    <comment ref="C57" authorId="1" shapeId="0" xr:uid="{AAA00619-49F3-49A3-B87B-DA2DB95FF8A2}">
      <text>
        <r>
          <rPr>
            <sz val="9"/>
            <color indexed="81"/>
            <rFont val="Segoe UI"/>
            <family val="2"/>
          </rPr>
          <t>*Considerada média de 22 dias úteis mensais</t>
        </r>
      </text>
    </comment>
    <comment ref="C76" authorId="1" shapeId="0" xr:uid="{009120B0-E51B-47A4-A504-43FC44C9A389}">
      <text>
        <r>
          <rPr>
            <sz val="9"/>
            <color indexed="81"/>
            <rFont val="Segoe UI"/>
            <family val="2"/>
          </rPr>
          <t>O pagamento relativo à rubrica de benefícios dependerá de como a Convenção Coletiva de Trabalho aborda o assunto. Se pagamento por dia trabalhado, não deve constar esses valores na memória de cálculo.
(Remuneração +13º salário + Férias e Adicional de férias + FGTS + Benefícios - Vale Transporte) ÷ 12 meses</t>
        </r>
      </text>
    </comment>
    <comment ref="F77" authorId="1" shapeId="0" xr:uid="{E6FE3D0F-6D8F-4F7B-ACCA-D1E819621138}">
      <text>
        <r>
          <rPr>
            <sz val="9"/>
            <color indexed="81"/>
            <rFont val="Segoe UI"/>
            <family val="2"/>
          </rPr>
          <t>Percentual fixo</t>
        </r>
      </text>
    </comment>
    <comment ref="G78" authorId="1" shapeId="0" xr:uid="{D6E9436C-35AB-4932-822D-901C73A9B147}">
      <text>
        <r>
          <rPr>
            <sz val="9"/>
            <color indexed="81"/>
            <rFont val="Segoe UI"/>
            <family val="2"/>
          </rPr>
          <t>Percentual variável, desde que maior que 100%</t>
        </r>
      </text>
    </comment>
    <comment ref="F79" authorId="1" shapeId="0" xr:uid="{A6450A47-F369-44F7-8F70-5E016A1936F2}">
      <text>
        <r>
          <rPr>
            <sz val="9"/>
            <color indexed="81"/>
            <rFont val="Segoe UI"/>
            <family val="2"/>
          </rPr>
          <t>Percentual fixo</t>
        </r>
      </text>
    </comment>
    <comment ref="C80" authorId="1" shapeId="0" xr:uid="{38DF6309-85E6-4914-A22D-C441715984E2}">
      <text>
        <r>
          <rPr>
            <sz val="9"/>
            <color indexed="81"/>
            <rFont val="Segoe UI"/>
            <family val="2"/>
          </rPr>
          <t>(Remuneração +13º salário + Férias e Adicional de férias + FGTS + Benefícios) ÷ 12 meses</t>
        </r>
      </text>
    </comment>
    <comment ref="F80" authorId="1" shapeId="0" xr:uid="{3438BAE2-87D9-408C-A176-1E597E72395A}">
      <text>
        <r>
          <rPr>
            <sz val="9"/>
            <color indexed="81"/>
            <rFont val="Segoe UI"/>
            <family val="2"/>
          </rPr>
          <t>Valor fixo</t>
        </r>
      </text>
    </comment>
    <comment ref="G80" authorId="1" shapeId="0" xr:uid="{156FE346-4EA2-424D-962A-5EB7807D25D0}">
      <text>
        <r>
          <rPr>
            <sz val="9"/>
            <color indexed="81"/>
            <rFont val="Segoe UI"/>
            <family val="2"/>
          </rPr>
          <t>Lei nº 12.506, de 2011.
“Art. 1º O aviso prévio, de que trata o Capítulo VI do Título IV da Consolidação das Leis do Trabalho - CLT, aprovada pelo Decreto-Lei nº 5.452, de 1º de maio de 1943, será concedido na proporção de 30 (trinta) dias aos empregados que contem até 1 (um) ano de serviço na mesma empresa.
Parágrafo único. Ao aviso prévio previsto neste artigo serão acrescidos 3 (três) dias por ano de serviço prestado na mesma empresa, até o máximo de 60 (sessenta) dias, perfazendo um total de até 90 (noventa) dias.”</t>
        </r>
      </text>
    </comment>
    <comment ref="B84" authorId="0" shapeId="0" xr:uid="{DA085B0E-B318-439B-AA5E-EC8A95DB1EBF}">
      <text>
        <r>
          <rPr>
            <sz val="9"/>
            <color indexed="81"/>
            <rFont val="Segoe UI"/>
            <family val="2"/>
          </rPr>
          <t>Nota 1: Os itens que contemplam o módulo 4 se referem ao custo dos dias trabalhados pelo repositor/substituto, quando o empregado alocado na prestação de serviço estiver ausente, conforme as previsões estabelecidas na legislação.</t>
        </r>
      </text>
    </comment>
    <comment ref="G86" authorId="0" shapeId="0" xr:uid="{BDB6888E-5E75-40D1-9454-987F1F112FE8}">
      <text>
        <r>
          <rPr>
            <sz val="9"/>
            <color indexed="81"/>
            <rFont val="Segoe UI"/>
            <family val="2"/>
          </rPr>
          <t xml:space="preserve">Estimativa de dias:
Férias – 30 dias/ano
Ausências Legais – 2,96 faltas/ano
Licença Paternidade – 0,075 (5 dias/ano * 1,5% incidência)
Ausência por Acidente de Trabalho – 1,2 (15 dia/ano * 8% incidência)
Afastamento Maternidade – 2,4 (4 meses/ano * 2% incidência)
Outras Ausências - 1 falta/ano
Total de 38 dias (aproximadamente) de ausência ao ano.
</t>
        </r>
      </text>
    </comment>
    <comment ref="G87" authorId="1" shapeId="0" xr:uid="{181BE77C-AD8C-4C15-88D4-92DFEFF1A9DB}">
      <text>
        <r>
          <rPr>
            <sz val="9"/>
            <color indexed="81"/>
            <rFont val="Segoe UI"/>
            <family val="2"/>
          </rPr>
          <t xml:space="preserve">Quantidade </t>
        </r>
        <r>
          <rPr>
            <b/>
            <sz val="9"/>
            <color indexed="81"/>
            <rFont val="Segoe UI"/>
            <family val="2"/>
          </rPr>
          <t>fixa</t>
        </r>
        <r>
          <rPr>
            <sz val="9"/>
            <color indexed="81"/>
            <rFont val="Segoe UI"/>
            <family val="2"/>
          </rPr>
          <t xml:space="preserve"> de dias = 30</t>
        </r>
      </text>
    </comment>
    <comment ref="G88" authorId="0" shapeId="0" xr:uid="{5DD9BFF2-2850-4CD9-AC44-3A26405FBD39}">
      <text>
        <r>
          <rPr>
            <sz val="9"/>
            <color indexed="81"/>
            <rFont val="Segoe UI"/>
            <family val="2"/>
          </rPr>
          <t>Necessidade da empresa, de acordo com as probabilidades consignadas em sua proposta, de um repositor durante o ano (em dias).</t>
        </r>
      </text>
    </comment>
    <comment ref="C89" authorId="1" shapeId="0" xr:uid="{498DD813-8141-43EE-AC07-E15049BB9D8F}">
      <text>
        <r>
          <rPr>
            <sz val="9"/>
            <color indexed="81"/>
            <rFont val="Segoe UI"/>
            <family val="2"/>
          </rPr>
          <t>(Módulo 1 + Módulo 2 + Módulo 3) ÷ 30 dias</t>
        </r>
      </text>
    </comment>
    <comment ref="G93" authorId="0" shapeId="0" xr:uid="{C471CD3E-4546-4779-8DF1-239A79E220D0}">
      <text>
        <r>
          <rPr>
            <sz val="9"/>
            <color indexed="81"/>
            <rFont val="Segoe UI"/>
            <family val="2"/>
          </rPr>
          <t xml:space="preserve">Dias necessários para substituição.
</t>
        </r>
      </text>
    </comment>
    <comment ref="B104" authorId="0" shapeId="0" xr:uid="{49B19203-1351-44B3-A878-28C467A86BA7}">
      <text>
        <r>
          <rPr>
            <sz val="9"/>
            <color indexed="81"/>
            <rFont val="Segoe UI"/>
            <family val="2"/>
          </rPr>
          <t>Nota: Valores mensais por posto</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michelly</author>
    <author>Felipe Mazza Mascarenhas</author>
  </authors>
  <commentList>
    <comment ref="B23" authorId="0" shapeId="0" xr:uid="{EB2A117C-473A-4465-97CA-E62B6F6AF784}">
      <text>
        <r>
          <rPr>
            <sz val="9"/>
            <color indexed="81"/>
            <rFont val="Segoe UI"/>
            <family val="2"/>
          </rPr>
          <t xml:space="preserve">Nota 1: O Módulo 1 refere-se ao valor mensal devido ao empregado pela prestação do serviço no período de 12 meses.
</t>
        </r>
      </text>
    </comment>
    <comment ref="D27" authorId="0" shapeId="0" xr:uid="{CFF10E05-180A-4D83-97CA-ED9ED965625D}">
      <text>
        <r>
          <rPr>
            <sz val="9"/>
            <color indexed="81"/>
            <rFont val="Segoe UI"/>
            <family val="2"/>
          </rPr>
          <t>Grau mínimo 10%, grau médio 20% e grau máximo 40%.</t>
        </r>
      </text>
    </comment>
    <comment ref="B36" authorId="0" shapeId="0" xr:uid="{42289C64-F8FE-4BCF-B386-C8393CF9540F}">
      <text>
        <r>
          <rPr>
            <sz val="9"/>
            <color indexed="81"/>
            <rFont val="Segoe UI"/>
            <family val="2"/>
          </rPr>
          <t>Nota 1: Como a planilha de custos e formação de preços é calculada mensalmente, provisiona-se proporcionalmente 1/12 (um doze avos) dos valores referentes a gratificação natalina e adicional de férias.
Nota 2: O adicional de férias contido no Submódulo 2.1 corresponde a 1/3 (um terço) da remuneração que por sua vez é divido por 12 (doze) conforme Nota 1 acima.</t>
        </r>
      </text>
    </comment>
    <comment ref="G38" authorId="1" shapeId="0" xr:uid="{52388EE1-1393-400B-8BC2-81647B72368A}">
      <text>
        <r>
          <rPr>
            <sz val="9"/>
            <color indexed="81"/>
            <rFont val="Segoe UI"/>
            <family val="2"/>
          </rPr>
          <t>Tot.1 ÷ 12 meses</t>
        </r>
      </text>
    </comment>
    <comment ref="G39" authorId="1" shapeId="0" xr:uid="{E0B131C1-9A88-495B-812A-1A2313BD4E37}">
      <text>
        <r>
          <rPr>
            <sz val="9"/>
            <color indexed="81"/>
            <rFont val="Segoe UI"/>
            <family val="2"/>
          </rPr>
          <t>(Tot.1 ÷ 12 meses) + [(Tot.1 ÷ 3) ÷ 12 meses]</t>
        </r>
      </text>
    </comment>
    <comment ref="B42" authorId="0" shapeId="0" xr:uid="{D6086E78-9773-470D-A459-4CC2774C15E8}">
      <text>
        <r>
          <rPr>
            <sz val="9"/>
            <color indexed="81"/>
            <rFont val="Segoe UI"/>
            <family val="2"/>
          </rPr>
          <t xml:space="preserve">Nota 1: Os percentuais dos encargos previdenciários, do FGTS e demais contribuições são aqueles estabelecidos pela legislação vigente.
Nota 2: O SAT a depender do grau de risco do serviço irá variar entre 1%, para risco leve, de 2%, para risco médio, e de 3% de risco grave.
Nota 3: Esses percentuais incidem sobre o Módulo 1 e o Submódulo 2.1.
</t>
        </r>
      </text>
    </comment>
    <comment ref="G44" authorId="0" shapeId="0" xr:uid="{1A5D9076-0E82-4339-A925-70011338A2FA}">
      <text>
        <r>
          <rPr>
            <sz val="9"/>
            <color indexed="81"/>
            <rFont val="Segoe UI"/>
            <family val="2"/>
          </rPr>
          <t>Percentual fixo:
Lei 8.212/91, Art. 22, I</t>
        </r>
      </text>
    </comment>
    <comment ref="G45" authorId="0" shapeId="0" xr:uid="{6421B3E5-20DE-4430-B336-B2DB66B088E6}">
      <text>
        <r>
          <rPr>
            <sz val="9"/>
            <color indexed="81"/>
            <rFont val="Segoe UI"/>
            <family val="2"/>
          </rPr>
          <t>Percentual fixo:
- C.F./88, Art. 212, §5º
- Decreto 6.003/2006, Art. 1º, §1º</t>
        </r>
      </text>
    </comment>
    <comment ref="E46" authorId="0" shapeId="0" xr:uid="{47BE1B79-8523-4167-B458-DF0C9FBFC6D5}">
      <text>
        <r>
          <rPr>
            <sz val="9"/>
            <color indexed="81"/>
            <rFont val="Segoe UI"/>
            <family val="2"/>
          </rPr>
          <t>Riscos Ambientais do Trabalho:
1%, 2% ou 3%
Lei 8.212/91, Art. 22, II</t>
        </r>
      </text>
    </comment>
    <comment ref="F46" authorId="0" shapeId="0" xr:uid="{71D23462-C14E-4794-BF97-504EA2FC915D}">
      <text>
        <r>
          <rPr>
            <sz val="9"/>
            <color indexed="81"/>
            <rFont val="Segoe UI"/>
            <family val="2"/>
          </rPr>
          <t>Fator Acidentário de Prevenção:
0,50 a 2
Decreto 6.957/09, Art. 1º, §1º</t>
        </r>
      </text>
    </comment>
    <comment ref="G48" authorId="0" shapeId="0" xr:uid="{77FC230C-0206-4621-843A-DD21EA25DCB3}">
      <text>
        <r>
          <rPr>
            <sz val="9"/>
            <color indexed="81"/>
            <rFont val="Segoe UI"/>
            <family val="2"/>
          </rPr>
          <t>Percentual fixo:
- Lei 8.036/90, Art. 30</t>
        </r>
      </text>
    </comment>
    <comment ref="G49" authorId="0" shapeId="0" xr:uid="{C4E5562B-3E3C-422E-BBF3-FDE5903239A9}">
      <text>
        <r>
          <rPr>
            <sz val="9"/>
            <color indexed="81"/>
            <rFont val="Segoe UI"/>
            <family val="2"/>
          </rPr>
          <t>Percentual fixo:
- Decreto-Lei 6.246/44, Art. 1º
- Decreto-Lei 8.621/46, Art. 4º</t>
        </r>
      </text>
    </comment>
    <comment ref="G50" authorId="0" shapeId="0" xr:uid="{0F0701E8-0B46-491D-8BED-92AEB0FA1053}">
      <text>
        <r>
          <rPr>
            <sz val="9"/>
            <color indexed="81"/>
            <rFont val="Segoe UI"/>
            <family val="2"/>
          </rPr>
          <t>Percentual fixo:
- Lei 8.029/90, alterada pela Lei 8.154/90</t>
        </r>
      </text>
    </comment>
    <comment ref="G51" authorId="0" shapeId="0" xr:uid="{CFFC211A-FED9-45BE-9093-95FAC6143D64}">
      <text>
        <r>
          <rPr>
            <sz val="9"/>
            <color indexed="81"/>
            <rFont val="Segoe UI"/>
            <family val="2"/>
          </rPr>
          <t>Percentual fixo:
- Decreto-Lei 1.146/70, Art. 1º, inciso I</t>
        </r>
      </text>
    </comment>
    <comment ref="G52" authorId="0" shapeId="0" xr:uid="{2E928142-29B6-46AC-8FCA-65C067BBDA00}">
      <text>
        <r>
          <rPr>
            <sz val="9"/>
            <color indexed="81"/>
            <rFont val="Segoe UI"/>
            <family val="2"/>
          </rPr>
          <t>Percentual fixo:
- Lei 8.036/90, Art. 15</t>
        </r>
      </text>
    </comment>
    <comment ref="B55" authorId="0" shapeId="0" xr:uid="{0746E450-CA13-4922-AAD1-CC56014F2498}">
      <text>
        <r>
          <rPr>
            <sz val="9"/>
            <color indexed="81"/>
            <rFont val="Segoe UI"/>
            <family val="2"/>
          </rPr>
          <t>Nota 1: O valor informado deverá ser o custo real do benefício (descontado o valor eventualmente pago pelo empregado).
Nota 2: Observar a previsão dos benefícios contidos em Acordos, Convenções e Dissídios Coletivos de Trabalho e atentar-se ao disposto no art. 6º da IN 05, de 25/05/2017.</t>
        </r>
      </text>
    </comment>
    <comment ref="C56" authorId="1" shapeId="0" xr:uid="{131D5D3A-58FA-4155-8AF4-002742207A9F}">
      <text>
        <r>
          <rPr>
            <sz val="9"/>
            <color indexed="81"/>
            <rFont val="Segoe UI"/>
            <family val="2"/>
          </rPr>
          <t>*Considerada média de 22 dias úteis mensais</t>
        </r>
      </text>
    </comment>
    <comment ref="C75" authorId="1" shapeId="0" xr:uid="{38C0A5E0-A094-4668-AF2A-7B6128939E05}">
      <text>
        <r>
          <rPr>
            <sz val="9"/>
            <color indexed="81"/>
            <rFont val="Segoe UI"/>
            <family val="2"/>
          </rPr>
          <t>O pagamento relativo à rubrica de benefícios dependerá de como a Convenção Coletiva de Trabalho aborda o assunto. Se pagamento por dia trabalhado, não deve constar esses valores na memória de cálculo.
(Remuneração +13º salário + Férias e Adicional de férias + FGTS + Benefícios - Vale Transporte) ÷ 12 meses</t>
        </r>
      </text>
    </comment>
    <comment ref="F76" authorId="1" shapeId="0" xr:uid="{165A966A-9C08-474B-A77E-7E2C161CF836}">
      <text>
        <r>
          <rPr>
            <sz val="9"/>
            <color indexed="81"/>
            <rFont val="Segoe UI"/>
            <family val="2"/>
          </rPr>
          <t>Percentual fixo</t>
        </r>
      </text>
    </comment>
    <comment ref="G77" authorId="1" shapeId="0" xr:uid="{F8F2CB2F-456C-4678-BB14-DA64A8B13145}">
      <text>
        <r>
          <rPr>
            <sz val="9"/>
            <color indexed="81"/>
            <rFont val="Segoe UI"/>
            <family val="2"/>
          </rPr>
          <t>Percentual variável, desde que maior que 100%</t>
        </r>
      </text>
    </comment>
    <comment ref="F78" authorId="1" shapeId="0" xr:uid="{C610DDFC-9F36-4272-A5AB-E02255FA94BE}">
      <text>
        <r>
          <rPr>
            <sz val="9"/>
            <color indexed="81"/>
            <rFont val="Segoe UI"/>
            <family val="2"/>
          </rPr>
          <t>Percentual fixo</t>
        </r>
      </text>
    </comment>
    <comment ref="C79" authorId="1" shapeId="0" xr:uid="{B1ABB1AE-013D-449A-BE21-04649318E923}">
      <text>
        <r>
          <rPr>
            <sz val="9"/>
            <color indexed="81"/>
            <rFont val="Segoe UI"/>
            <family val="2"/>
          </rPr>
          <t>(Remuneração +13º salário + Férias e Adicional de férias + FGTS + Benefícios) ÷ 12 meses</t>
        </r>
      </text>
    </comment>
    <comment ref="F79" authorId="1" shapeId="0" xr:uid="{52BAFB37-F08D-47F1-BE66-8095EA9AC468}">
      <text>
        <r>
          <rPr>
            <sz val="9"/>
            <color indexed="81"/>
            <rFont val="Segoe UI"/>
            <family val="2"/>
          </rPr>
          <t>Valor fixo</t>
        </r>
      </text>
    </comment>
    <comment ref="G79" authorId="1" shapeId="0" xr:uid="{32B7F050-7C43-4B1C-8DE8-53D30FA1E1BA}">
      <text>
        <r>
          <rPr>
            <sz val="9"/>
            <color indexed="81"/>
            <rFont val="Segoe UI"/>
            <family val="2"/>
          </rPr>
          <t>Lei nº 12.506, de 2011.
“Art. 1º O aviso prévio, de que trata o Capítulo VI do Título IV da Consolidação das Leis do Trabalho - CLT, aprovada pelo Decreto-Lei nº 5.452, de 1º de maio de 1943, será concedido na proporção de 30 (trinta) dias aos empregados que contem até 1 (um) ano de serviço na mesma empresa.
Parágrafo único. Ao aviso prévio previsto neste artigo serão acrescidos 3 (três) dias por ano de serviço prestado na mesma empresa, até o máximo de 60 (sessenta) dias, perfazendo um total de até 90 (noventa) dias.”</t>
        </r>
      </text>
    </comment>
    <comment ref="B83" authorId="0" shapeId="0" xr:uid="{1BDA48DD-51FA-45E9-878D-D0A87ADCD43A}">
      <text>
        <r>
          <rPr>
            <sz val="9"/>
            <color indexed="81"/>
            <rFont val="Segoe UI"/>
            <family val="2"/>
          </rPr>
          <t>Nota 1: Os itens que contemplam o módulo 4 se referem ao custo dos dias trabalhados pelo repositor/substituto, quando o empregado alocado na prestação de serviço estiver ausente, conforme as previsões estabelecidas na legislação.</t>
        </r>
      </text>
    </comment>
    <comment ref="G85" authorId="0" shapeId="0" xr:uid="{5D1846AF-6661-4776-91BC-EC56CE69E769}">
      <text>
        <r>
          <rPr>
            <sz val="9"/>
            <color indexed="81"/>
            <rFont val="Segoe UI"/>
            <family val="2"/>
          </rPr>
          <t xml:space="preserve">Estimativa de dias:
Férias – 30 dias/ano
Ausências Legais – 2,96 faltas/ano
Licença Paternidade – 0,075 (5 dias/ano * 1,5% incidência)
Ausência por Acidente de Trabalho – 1,2 (15 dia/ano * 8% incidência)
Afastamento Maternidade – 2,4 (4 meses/ano * 2% incidência)
Outras Ausências - 1 falta/ano
Total de 38 dias (aproximadamente) de ausência ao ano.
</t>
        </r>
      </text>
    </comment>
    <comment ref="G86" authorId="1" shapeId="0" xr:uid="{9994D090-90D5-47D3-9B97-7ABF4C93CDD3}">
      <text>
        <r>
          <rPr>
            <sz val="9"/>
            <color indexed="81"/>
            <rFont val="Segoe UI"/>
            <family val="2"/>
          </rPr>
          <t xml:space="preserve">Quantidade </t>
        </r>
        <r>
          <rPr>
            <b/>
            <sz val="9"/>
            <color indexed="81"/>
            <rFont val="Segoe UI"/>
            <family val="2"/>
          </rPr>
          <t>fixa</t>
        </r>
        <r>
          <rPr>
            <sz val="9"/>
            <color indexed="81"/>
            <rFont val="Segoe UI"/>
            <family val="2"/>
          </rPr>
          <t xml:space="preserve"> de dias = 30</t>
        </r>
      </text>
    </comment>
    <comment ref="G87" authorId="0" shapeId="0" xr:uid="{9A9213C9-56DC-4AB2-BDF4-28B62B7FCEBF}">
      <text>
        <r>
          <rPr>
            <sz val="9"/>
            <color indexed="81"/>
            <rFont val="Segoe UI"/>
            <family val="2"/>
          </rPr>
          <t>Necessidade da empresa, de acordo com as probabilidades consignadas em sua proposta, de um repositor durante o ano (em dias).</t>
        </r>
      </text>
    </comment>
    <comment ref="C88" authorId="1" shapeId="0" xr:uid="{BB134D8F-CC8D-4237-A04A-F9268599D336}">
      <text>
        <r>
          <rPr>
            <sz val="9"/>
            <color indexed="81"/>
            <rFont val="Segoe UI"/>
            <family val="2"/>
          </rPr>
          <t>(Módulo 1 + Módulo 2 + Módulo 3) ÷ 30 dias</t>
        </r>
      </text>
    </comment>
    <comment ref="G92" authorId="0" shapeId="0" xr:uid="{D18BFBDD-15B8-4D24-AC01-13F2BED1ECB2}">
      <text>
        <r>
          <rPr>
            <sz val="9"/>
            <color indexed="81"/>
            <rFont val="Segoe UI"/>
            <family val="2"/>
          </rPr>
          <t xml:space="preserve">Dias necessários para substituição.
</t>
        </r>
      </text>
    </comment>
    <comment ref="B103" authorId="0" shapeId="0" xr:uid="{838C1EF2-393D-4C38-8AB2-989F8AA77257}">
      <text>
        <r>
          <rPr>
            <sz val="9"/>
            <color indexed="81"/>
            <rFont val="Segoe UI"/>
            <family val="2"/>
          </rPr>
          <t>Nota: Valores mensais por posto</t>
        </r>
      </text>
    </comment>
  </commentList>
</comments>
</file>

<file path=xl/sharedStrings.xml><?xml version="1.0" encoding="utf-8"?>
<sst xmlns="http://schemas.openxmlformats.org/spreadsheetml/2006/main" count="1161" uniqueCount="249">
  <si>
    <t>Adicional Noturno</t>
  </si>
  <si>
    <t>%</t>
  </si>
  <si>
    <t>Outros (especificar)</t>
  </si>
  <si>
    <t>Lucro</t>
  </si>
  <si>
    <t>A</t>
  </si>
  <si>
    <t>B</t>
  </si>
  <si>
    <t>C</t>
  </si>
  <si>
    <t>D</t>
  </si>
  <si>
    <t>E</t>
  </si>
  <si>
    <t>F</t>
  </si>
  <si>
    <t>G</t>
  </si>
  <si>
    <t>H</t>
  </si>
  <si>
    <t>Materiais</t>
  </si>
  <si>
    <t>Equipamentos</t>
  </si>
  <si>
    <t>4.1</t>
  </si>
  <si>
    <t>4.2</t>
  </si>
  <si>
    <t>Custos Indiretos</t>
  </si>
  <si>
    <t>Salário Base</t>
  </si>
  <si>
    <t>PIS</t>
  </si>
  <si>
    <t>COFINS</t>
  </si>
  <si>
    <t>ISS</t>
  </si>
  <si>
    <t>C.1</t>
  </si>
  <si>
    <t>C.2</t>
  </si>
  <si>
    <t>C.3</t>
  </si>
  <si>
    <t xml:space="preserve">Adicional Periculosidade </t>
  </si>
  <si>
    <t>Adicional Insalubridade</t>
  </si>
  <si>
    <t>13º Salário, Férias e Adicional de Férias</t>
  </si>
  <si>
    <t>GPS, FGTS e Outras Contribuições</t>
  </si>
  <si>
    <t>SESC ou SESI</t>
  </si>
  <si>
    <t xml:space="preserve">INSS </t>
  </si>
  <si>
    <t xml:space="preserve">Salário Educação </t>
  </si>
  <si>
    <t xml:space="preserve">SENAI - SENAC </t>
  </si>
  <si>
    <t xml:space="preserve">SEBRAE </t>
  </si>
  <si>
    <t xml:space="preserve">INCRA </t>
  </si>
  <si>
    <t xml:space="preserve">FGTS </t>
  </si>
  <si>
    <t>Submódulo 2.1 - 13º Salário, Férias e Adicional de Férias</t>
  </si>
  <si>
    <t>Submódulo 2.3 - Benefícios Mensais e Diários</t>
  </si>
  <si>
    <t>2.1</t>
  </si>
  <si>
    <t>2.2</t>
  </si>
  <si>
    <t>2.3</t>
  </si>
  <si>
    <t>Benefícios Mensais e Diários</t>
  </si>
  <si>
    <t>Ausências Legais</t>
  </si>
  <si>
    <t>Módulo 4 - Custo de Reposição do Profissional Ausente</t>
  </si>
  <si>
    <t>Intrajornada</t>
  </si>
  <si>
    <t xml:space="preserve">Uniformes </t>
  </si>
  <si>
    <t>Subtotal (A + B + C + D + E)</t>
  </si>
  <si>
    <t xml:space="preserve">Transporte </t>
  </si>
  <si>
    <t xml:space="preserve">Auxílio-Refeição/Alimentação  </t>
  </si>
  <si>
    <t>Valor (R$)</t>
  </si>
  <si>
    <t>PLANILHA DE CUSTOS E FORMAÇÃO DE PREÇOS</t>
  </si>
  <si>
    <t xml:space="preserve">Dados para composição dos custos referentes a mão de obra </t>
  </si>
  <si>
    <t xml:space="preserve">Tipo de Serviço (mesmo serviço com características distintas) </t>
  </si>
  <si>
    <t xml:space="preserve">Classificação Brasileira de Ocupações (CBO) </t>
  </si>
  <si>
    <t xml:space="preserve">Salário Normativo da Categoria Profissional </t>
  </si>
  <si>
    <t>Data-Base da Categoria (dia/mês/ano)</t>
  </si>
  <si>
    <t xml:space="preserve">Ano do Acordo, Convenção ou Dissídio Coletivo: </t>
  </si>
  <si>
    <t>Indicação dos sindicatos, acordos coletivos ou convenções coletivas</t>
  </si>
  <si>
    <t>Composição da Remuneração</t>
  </si>
  <si>
    <t>Total</t>
  </si>
  <si>
    <t>Provisão para Rescisão</t>
  </si>
  <si>
    <t>Insumos Diversos</t>
  </si>
  <si>
    <t>Custos Indiretos, Tributos e Lucro</t>
  </si>
  <si>
    <t>Férias e Adicional de Férias</t>
  </si>
  <si>
    <t>Módulo 1 - COMPOSIÇÃO DA REMUNERAÇÃO</t>
  </si>
  <si>
    <t>Módulo 2 - ENCARGOS E BENEFÍCIOS ANUAIS, MENSAIS E DIÁRIOS</t>
  </si>
  <si>
    <t>Submódulo 2.2 - Encargos Previdenciários (GPS), Fundo de Garantia por Tempo de Serviço (FGTS) e outras contribuições</t>
  </si>
  <si>
    <t>GPS, FGTS e outras contribuições</t>
  </si>
  <si>
    <t>Encargos e Benefícios Anuais, Mensais e Diários</t>
  </si>
  <si>
    <t>Quadro-Resumo do Módulo 2 - Encargos e Benefícios anuais, mensais e diários</t>
  </si>
  <si>
    <t>Módulo 3 - PROVISÃO PARA RESCISÃO</t>
  </si>
  <si>
    <t>Módulo 4 - CUSTO DE REPOSIÇÃO DO PROFISSIONAL AUSENTE</t>
  </si>
  <si>
    <t>Quadro-Resumo do Módulo 4 - Custo De Reposição do Profissional Ausente</t>
  </si>
  <si>
    <t>Custo de Reposição do Profissional Ausente</t>
  </si>
  <si>
    <t>Módulo 5 - INSUMOS DIVERSOS</t>
  </si>
  <si>
    <t>Módulo 6 - CUSTOS INDIRETOS, TRIBUTOS E LUCRO</t>
  </si>
  <si>
    <t>VALOR TOTAL POR EMPREGADO</t>
  </si>
  <si>
    <t>Módulo 1 - Composição da Remuneração</t>
  </si>
  <si>
    <t>Módulo 2 - Encargos e Benefícios Anuais, Mensais e Diários</t>
  </si>
  <si>
    <t>Módulo 3 - Provisão para Rescisão</t>
  </si>
  <si>
    <t>Módulo 5 - Insumos Diversos</t>
  </si>
  <si>
    <t>Módulo 6 - Custos Indiretos, Tributos e Lucro</t>
  </si>
  <si>
    <t>UNIFORMES</t>
  </si>
  <si>
    <t>Item</t>
  </si>
  <si>
    <t>Custo Unitário</t>
  </si>
  <si>
    <t>Cargo</t>
  </si>
  <si>
    <t>Meses</t>
  </si>
  <si>
    <t>Valor Mensal</t>
  </si>
  <si>
    <t>Valor Total</t>
  </si>
  <si>
    <t>Submódulo 4.1 - Substituto nas Ausências Legais</t>
  </si>
  <si>
    <t>Substituto nas Ausências Legais</t>
  </si>
  <si>
    <t>Submódulo 4.2 - Substituto na Intrajornada</t>
  </si>
  <si>
    <t>Substituto na Intrajornada</t>
  </si>
  <si>
    <t>Substituto na cobertura de Intervalo para repouso ou alimentação</t>
  </si>
  <si>
    <t>Registro Eletrônico de Ponto</t>
  </si>
  <si>
    <t>Valor Unitário</t>
  </si>
  <si>
    <t>API com Probabilidade</t>
  </si>
  <si>
    <t>Aviso Prévio Indenizado - API</t>
  </si>
  <si>
    <t>Multa do FGTS do API</t>
  </si>
  <si>
    <t>APT com Probabilidade</t>
  </si>
  <si>
    <t>Multa do FGTS do APT</t>
  </si>
  <si>
    <t xml:space="preserve">FAP </t>
  </si>
  <si>
    <t>SAT - GIIL/RAT</t>
  </si>
  <si>
    <t xml:space="preserve">RAT </t>
  </si>
  <si>
    <t>Dias</t>
  </si>
  <si>
    <t>Valor Total por Empregado</t>
  </si>
  <si>
    <t>Tributos</t>
  </si>
  <si>
    <t>Total Custo Variável (Pagamento pelo Fato Gerador)</t>
  </si>
  <si>
    <t>Quant. h/mês</t>
  </si>
  <si>
    <t>Férias</t>
  </si>
  <si>
    <r>
      <t>13º (Décimo-terceiro) salário</t>
    </r>
    <r>
      <rPr>
        <sz val="9"/>
        <color indexed="10"/>
        <rFont val="Tahoma"/>
        <family val="2"/>
      </rPr>
      <t xml:space="preserve"> </t>
    </r>
  </si>
  <si>
    <t>Custo diário do substituto</t>
  </si>
  <si>
    <t>Vida Útil (meses)</t>
  </si>
  <si>
    <t>CUSTO TOTAL MENSAL</t>
  </si>
  <si>
    <t>EQUIPAMENTOS</t>
  </si>
  <si>
    <t>Investimento</t>
  </si>
  <si>
    <t>Custo mensal por posto</t>
  </si>
  <si>
    <t>Quant. por posto</t>
  </si>
  <si>
    <t>BASE DE CÁLCULO DOS TRIBUTOS</t>
  </si>
  <si>
    <t>Mão de Obra vinculada à execução contratual (valor por posto)</t>
  </si>
  <si>
    <t>Memória de cálculo da hora extra</t>
  </si>
  <si>
    <t>Quant. de postos</t>
  </si>
  <si>
    <t>Quant. de equipamentos</t>
  </si>
  <si>
    <t>VALOR TOTAL</t>
  </si>
  <si>
    <t>Valor da hora extra</t>
  </si>
  <si>
    <t>Anexo II</t>
  </si>
  <si>
    <t>Os valores destinados ao pagamento de férias, décimo terceiro salário, ausências legais e verbas rescisórias dos empregados da contratada que participarem da execução dos serviços contratados serão efetuados pela contratante à contratada somente na ocorrência do fato gerador</t>
  </si>
  <si>
    <t>Pagamento Mensal Sem Fato Gerador</t>
  </si>
  <si>
    <t>Categoria Profissional (nome do cargo)</t>
  </si>
  <si>
    <t>1.A x 30%</t>
  </si>
  <si>
    <t>Tot.1</t>
  </si>
  <si>
    <t>Tot.1 x 8,33%</t>
  </si>
  <si>
    <t>Tot.2.1</t>
  </si>
  <si>
    <t>Tot.1 x 11,11%</t>
  </si>
  <si>
    <t>(Tot.1 + Tot.2.1) x 20%</t>
  </si>
  <si>
    <t>(Tot.1 + Tot.2.1) x 2,5%</t>
  </si>
  <si>
    <t>(Tot.1 + Tot.2.1) x 1,5%</t>
  </si>
  <si>
    <t>(Tot.1 + Tot.2.1) x 1%</t>
  </si>
  <si>
    <t>(Tot.1 + Tot.2.1) x 0,6%</t>
  </si>
  <si>
    <t>(Tot.1 + Tot.2.1) x 0,2%</t>
  </si>
  <si>
    <t>(Tot.1 + Tot.2.1) x 8%</t>
  </si>
  <si>
    <t>(Tot.1 + Tot.2.1) x (RAT x FAP)</t>
  </si>
  <si>
    <t>Tot.2.2</t>
  </si>
  <si>
    <t>Tot.2.3</t>
  </si>
  <si>
    <t>Tot.2</t>
  </si>
  <si>
    <t>(VT diário x 22 d.u.) - (1.A x 6%)</t>
  </si>
  <si>
    <t>(VR/VA x 22 d.u.) - (Custo do empregado)</t>
  </si>
  <si>
    <t>(Tot.1 + Tot.2 + Tot.3) ÷ 30 dias</t>
  </si>
  <si>
    <t>Tot.3</t>
  </si>
  <si>
    <t>Tot.4.1</t>
  </si>
  <si>
    <t>Tot.4.2</t>
  </si>
  <si>
    <t>Tot.4</t>
  </si>
  <si>
    <t>Tot.5</t>
  </si>
  <si>
    <t>Tot.6</t>
  </si>
  <si>
    <t>(4.1.C x 30 dias) ÷ 12 meses</t>
  </si>
  <si>
    <t>6.A + 6.B + 6.C.1 + 6.C.2 + 6.C.3</t>
  </si>
  <si>
    <t>Tot.7</t>
  </si>
  <si>
    <t>Tot.8</t>
  </si>
  <si>
    <t>Provisão para férias, 13º salário , ausências legais, Rescisão</t>
  </si>
  <si>
    <t>Tot.2.1 + Tot.3 + Tot.4.1</t>
  </si>
  <si>
    <t>Outros (ausências legais, paternidade,  acidente de trabalho, maternidade, outros)</t>
  </si>
  <si>
    <r>
      <t xml:space="preserve">(3.B + 3.C) x </t>
    </r>
    <r>
      <rPr>
        <sz val="8"/>
        <color rgb="FFFF0000"/>
        <rFont val="Tahoma"/>
        <family val="2"/>
      </rPr>
      <t>XX</t>
    </r>
    <r>
      <rPr>
        <sz val="8"/>
        <rFont val="Tahoma"/>
        <family val="2"/>
      </rPr>
      <t>%</t>
    </r>
  </si>
  <si>
    <r>
      <t xml:space="preserve">3.E x </t>
    </r>
    <r>
      <rPr>
        <sz val="8"/>
        <color rgb="FFFF0000"/>
        <rFont val="Tahoma"/>
        <family val="2"/>
      </rPr>
      <t>XX</t>
    </r>
    <r>
      <rPr>
        <sz val="8"/>
        <rFont val="Tahoma"/>
        <family val="2"/>
      </rPr>
      <t>%</t>
    </r>
  </si>
  <si>
    <r>
      <t xml:space="preserve">(4.1.C x </t>
    </r>
    <r>
      <rPr>
        <sz val="8"/>
        <color rgb="FFFF0000"/>
        <rFont val="Tahoma"/>
        <family val="2"/>
      </rPr>
      <t>XX</t>
    </r>
    <r>
      <rPr>
        <sz val="8"/>
        <rFont val="Tahoma"/>
        <family val="2"/>
      </rPr>
      <t xml:space="preserve"> dias) ÷ 12 meses</t>
    </r>
  </si>
  <si>
    <r>
      <t xml:space="preserve">7.F x </t>
    </r>
    <r>
      <rPr>
        <sz val="8"/>
        <color rgb="FFFF0000"/>
        <rFont val="Tahoma"/>
        <family val="2"/>
      </rPr>
      <t>XX</t>
    </r>
    <r>
      <rPr>
        <sz val="8"/>
        <rFont val="Tahoma"/>
        <family val="2"/>
      </rPr>
      <t>%</t>
    </r>
  </si>
  <si>
    <r>
      <t xml:space="preserve">(7.F + 6.A) x </t>
    </r>
    <r>
      <rPr>
        <sz val="8"/>
        <color rgb="FFFF0000"/>
        <rFont val="Tahoma"/>
        <family val="2"/>
      </rPr>
      <t>XX</t>
    </r>
    <r>
      <rPr>
        <sz val="8"/>
        <rFont val="Tahoma"/>
        <family val="2"/>
      </rPr>
      <t>%</t>
    </r>
  </si>
  <si>
    <r>
      <t xml:space="preserve">(7.F + 6.A + 6.B) ÷ </t>
    </r>
    <r>
      <rPr>
        <sz val="8"/>
        <color rgb="FFFF0000"/>
        <rFont val="Tahoma"/>
        <family val="2"/>
      </rPr>
      <t>XX</t>
    </r>
  </si>
  <si>
    <r>
      <t xml:space="preserve">6.C x </t>
    </r>
    <r>
      <rPr>
        <sz val="8"/>
        <color rgb="FFFF0000"/>
        <rFont val="Tahoma"/>
        <family val="2"/>
      </rPr>
      <t>XX</t>
    </r>
    <r>
      <rPr>
        <sz val="8"/>
        <rFont val="Tahoma"/>
        <family val="2"/>
      </rPr>
      <t>%</t>
    </r>
  </si>
  <si>
    <r>
      <t xml:space="preserve">(8.B + 8.C) x </t>
    </r>
    <r>
      <rPr>
        <sz val="8"/>
        <color rgb="FFFF0000"/>
        <rFont val="Tahoma"/>
        <family val="2"/>
      </rPr>
      <t>XX</t>
    </r>
    <r>
      <rPr>
        <sz val="8"/>
        <color theme="1"/>
        <rFont val="Tahoma"/>
        <family val="2"/>
      </rPr>
      <t>%</t>
    </r>
  </si>
  <si>
    <r>
      <t xml:space="preserve">(8.B + 8.C + 8.D) x </t>
    </r>
    <r>
      <rPr>
        <sz val="8"/>
        <color rgb="FFFF0000"/>
        <rFont val="Tahoma"/>
        <family val="2"/>
      </rPr>
      <t>XX</t>
    </r>
    <r>
      <rPr>
        <sz val="8"/>
        <color theme="1"/>
        <rFont val="Tahoma"/>
        <family val="2"/>
      </rPr>
      <t>%</t>
    </r>
  </si>
  <si>
    <t>7.F + 7.G</t>
  </si>
  <si>
    <t>7.A + 7.B + 7.C + 7.D + 7.E</t>
  </si>
  <si>
    <r>
      <t xml:space="preserve">1.A x </t>
    </r>
    <r>
      <rPr>
        <sz val="8"/>
        <color rgb="FFFF0000"/>
        <rFont val="Tahoma"/>
        <family val="2"/>
      </rPr>
      <t>XX</t>
    </r>
    <r>
      <rPr>
        <sz val="8"/>
        <rFont val="Tahoma"/>
        <family val="2"/>
      </rPr>
      <t xml:space="preserve">% </t>
    </r>
    <r>
      <rPr>
        <sz val="8"/>
        <color rgb="FFFF0000"/>
        <rFont val="Tahoma"/>
        <family val="2"/>
      </rPr>
      <t>(10%, 20% ou 40%)</t>
    </r>
  </si>
  <si>
    <t>2.2.H x 40%</t>
  </si>
  <si>
    <t>Encargos Previdenciários, FGTS e outras contribuições</t>
  </si>
  <si>
    <t>8.A - 8.G</t>
  </si>
  <si>
    <r>
      <t xml:space="preserve">(8.B + 8.C + 8.D + 8.E) x </t>
    </r>
    <r>
      <rPr>
        <sz val="8"/>
        <color rgb="FFFF0000"/>
        <rFont val="Tahoma"/>
        <family val="2"/>
      </rPr>
      <t>XX</t>
    </r>
    <r>
      <rPr>
        <sz val="8"/>
        <color theme="1"/>
        <rFont val="Tahoma"/>
        <family val="2"/>
      </rPr>
      <t>%</t>
    </r>
  </si>
  <si>
    <t>8.B + 8.C + 8.D + 8.E + 8.F</t>
  </si>
  <si>
    <t>Aviso Prévio - Lei nº 12.506/2011, Art. 1º</t>
  </si>
  <si>
    <t>[(1.A + 1.B) x 20%]/220h x 8h x nº dias trabalhados mês</t>
  </si>
  <si>
    <t>(Tot.1 + Tot.2.1 + 2.2.H + Tot.2.3 - 2.3.A) ÷ 12 meses</t>
  </si>
  <si>
    <t>Tot. 2.1 x Encargos % 2.2</t>
  </si>
  <si>
    <r>
      <t xml:space="preserve">(Tot.1 + Tot.2 + Tot.3) ÷ 220h x (1+50%) x </t>
    </r>
    <r>
      <rPr>
        <sz val="8"/>
        <color rgb="FFFF0000"/>
        <rFont val="Tahoma"/>
        <family val="2"/>
      </rPr>
      <t>XX</t>
    </r>
    <r>
      <rPr>
        <sz val="8"/>
        <rFont val="Tahoma"/>
        <family val="2"/>
      </rPr>
      <t xml:space="preserve"> dias</t>
    </r>
  </si>
  <si>
    <r>
      <t>[Local]</t>
    </r>
    <r>
      <rPr>
        <sz val="9"/>
        <rFont val="Tahoma"/>
        <family val="2"/>
      </rPr>
      <t xml:space="preserve">, </t>
    </r>
    <r>
      <rPr>
        <sz val="9"/>
        <color rgb="FFFF0000"/>
        <rFont val="Tahoma"/>
        <family val="2"/>
      </rPr>
      <t>XX</t>
    </r>
    <r>
      <rPr>
        <sz val="9"/>
        <rFont val="Tahoma"/>
        <family val="2"/>
      </rPr>
      <t xml:space="preserve"> de </t>
    </r>
    <r>
      <rPr>
        <sz val="9"/>
        <color rgb="FFFF0000"/>
        <rFont val="Tahoma"/>
        <family val="2"/>
      </rPr>
      <t>XXXXXX</t>
    </r>
    <r>
      <rPr>
        <sz val="9"/>
        <rFont val="Tahoma"/>
        <family val="2"/>
      </rPr>
      <t xml:space="preserve"> de </t>
    </r>
    <r>
      <rPr>
        <sz val="9"/>
        <color rgb="FFFF0000"/>
        <rFont val="Tahoma"/>
        <family val="2"/>
      </rPr>
      <t>XXXX</t>
    </r>
    <r>
      <rPr>
        <sz val="9"/>
        <rFont val="Tahoma"/>
        <family val="2"/>
      </rPr>
      <t>.</t>
    </r>
  </si>
  <si>
    <t>________________________________________</t>
  </si>
  <si>
    <t>[Assinatura do Representante legal]</t>
  </si>
  <si>
    <t xml:space="preserve"> Nome: ___________________</t>
  </si>
  <si>
    <t xml:space="preserve"> Cargo: ___________________</t>
  </si>
  <si>
    <t>CPF: ____________________</t>
  </si>
  <si>
    <t>RG: _____________________</t>
  </si>
  <si>
    <t>Preencher apenas as células em amarelo e substituir os caracteres em vermelho</t>
  </si>
  <si>
    <t>CUSTO POR EMPREGADO</t>
  </si>
  <si>
    <t>Módulo 7 - QUADRO-RESUMO DO CUSTO POR EMPREGADO</t>
  </si>
  <si>
    <t>PAGAMENTO MÍNIMO MENSAL SEM FATO GERADOR E/OU OUTRAS OCORRÊNCIAS</t>
  </si>
  <si>
    <t>Módulo 8- QUADRO-RESUMO DO PAGAMENTO MENSAL SEM FATO GERADOR E/OU OUTRAS OCORRÊNCIAS</t>
  </si>
  <si>
    <t>Prazo de depreciação do equipamento (meses)</t>
  </si>
  <si>
    <t>Contrato inicial</t>
  </si>
  <si>
    <t>{[(Tot.1+Tot.2.1+Tot.2.2)÷30 dias] x 3 dias} ÷ 12 meses</t>
  </si>
  <si>
    <t>Sal. Mínimo</t>
  </si>
  <si>
    <t>O proponente declara:
a) que as informações prestadas são verídicas, assumindo a responsabilidade integral por eventuais erros no enquadramento sindical ou fraude pela utilização de instrumento coletivo incompatível com o enquadramento sindical declarado, e por qualquer ônus decorrente de reenquadramentos que ocorram durante a vigência contratual, sujeitando-se às sanções previstas na Lei 13.303/16.
b) que a proposta econômica compreende a integralidade dos custos para atendimento dos direitos trabalhistas assegurados na Constituição Federal, nas leis trabalhistas, nas normas infralegais, nas convenções coletivas de trabalho e nos termos de ajustamento de conduta vigentes na data de entrega das propostas e que foi elaborada de forma independente.</t>
  </si>
  <si>
    <t>QUADRO RESUMO - Agentes de Segurança Pessoal Privada</t>
  </si>
  <si>
    <t>Escala</t>
  </si>
  <si>
    <t>Diurno – Seg-Sex</t>
  </si>
  <si>
    <t>8h</t>
  </si>
  <si>
    <t>12h/36h</t>
  </si>
  <si>
    <r>
      <t xml:space="preserve">Segue a indicação do enquadramento sindical do licitante, relacionando qual a atividade econômica preponderante e a justificativa para adoção do instrumento coletivo do trabalho em que se baseia a proposta: </t>
    </r>
    <r>
      <rPr>
        <sz val="9"/>
        <color rgb="FFFF0000"/>
        <rFont val="Tahoma"/>
        <family val="2"/>
      </rPr>
      <t>XXXX</t>
    </r>
  </si>
  <si>
    <t>Coordenador</t>
  </si>
  <si>
    <t>Supervisor de vigilantes - Código 5103-10</t>
  </si>
  <si>
    <t>2024/2025</t>
  </si>
  <si>
    <t>SINDICATO DAS EMPRESAS DE SEG.PRIVADA,VIGILANCIA PATRIMONIAL,SISTEMAS DE SEGURANCA,ESCOLTA,SEG.PESSOAL E CURSOS DE FORMACAO NO EST.DO RIO DE JANEIRO e SINDICATO DOS VIGILANTES E EMPREGADOS EM EMPRESAS DE SEGURANCA, DE VIGILANCIA, DE TRANSPORTE DE VALORES, DE PREVENCAO E COMBATE A INCENDIO, DE CURSOS</t>
  </si>
  <si>
    <t>Seguro de vida/acidente</t>
  </si>
  <si>
    <t>Vigilante patrimonial - Código 5173-30</t>
  </si>
  <si>
    <t>(VT diário x 11 d.u.) - (1.A x 6%)</t>
  </si>
  <si>
    <t>(VR/VA x 11 d.u.) - (Custo do empregado)</t>
  </si>
  <si>
    <t>Segurança pessoal privada - Coordenação</t>
  </si>
  <si>
    <t>(VT diário x 15 d.u.) - (1.A x 6%)</t>
  </si>
  <si>
    <t>(VR/VA x 15 d.u.) - (Custo do empregado)</t>
  </si>
  <si>
    <t xml:space="preserve">Segurança pessoal privada - Diurno – Seg-Sex </t>
  </si>
  <si>
    <t xml:space="preserve">Segurança pessoal privada - Turno: Diurno – Seg-Sex </t>
  </si>
  <si>
    <t>Terno Preto</t>
  </si>
  <si>
    <t>Camisa Social</t>
  </si>
  <si>
    <t>Gravata</t>
  </si>
  <si>
    <t>Par de meias</t>
  </si>
  <si>
    <t>Sapato</t>
  </si>
  <si>
    <t>Cinto</t>
  </si>
  <si>
    <t>Lanterna recarregável</t>
  </si>
  <si>
    <t>Radiocomunicador</t>
  </si>
  <si>
    <t>Microfone de lapela</t>
  </si>
  <si>
    <t>Bastão de ronda</t>
  </si>
  <si>
    <t>Livro de ocorrências</t>
  </si>
  <si>
    <t>(4.1.C x XX dias) ÷ 12 meses</t>
  </si>
  <si>
    <t xml:space="preserve">Quantidade (Posto) </t>
  </si>
  <si>
    <r>
      <t xml:space="preserve">VALIDADE DA PROPOSTA: </t>
    </r>
    <r>
      <rPr>
        <sz val="9"/>
        <color rgb="FFFF0000"/>
        <rFont val="Tahoma"/>
        <family val="2"/>
      </rPr>
      <t>XX</t>
    </r>
    <r>
      <rPr>
        <sz val="9"/>
        <rFont val="Tahoma"/>
        <family val="2"/>
      </rPr>
      <t xml:space="preserve"> (</t>
    </r>
    <r>
      <rPr>
        <sz val="9"/>
        <color rgb="FFFF0000"/>
        <rFont val="Tahoma"/>
        <family val="2"/>
      </rPr>
      <t>XXXX</t>
    </r>
    <r>
      <rPr>
        <sz val="9"/>
        <rFont val="Tahoma"/>
        <family val="2"/>
      </rPr>
      <t>) dias, a contar do dia da sessão de recebimento da mesma (observar o subitem 5.5 do Edital).</t>
    </r>
  </si>
  <si>
    <t>Coordenador – Seg-Sex</t>
  </si>
  <si>
    <t>Auxílio Familiar</t>
  </si>
  <si>
    <t>Vale Alimentação (Triênios)</t>
  </si>
  <si>
    <r>
      <t>OBJETO:</t>
    </r>
    <r>
      <rPr>
        <sz val="9"/>
        <rFont val="Tahoma"/>
        <family val="2"/>
      </rPr>
      <t xml:space="preserve"> Contratação de pessoa jurídica especializada na prestação de serviços continuados de segurança pessoal privada, nas dependências da Finep/RJ, com o fornecimento de todos os insumos necessários à execução dos serviços.</t>
    </r>
  </si>
  <si>
    <t>Seguem em anexo:
a) cópia da carta ou do registro sindical do sindicato ao qual este Licitante declara ser enquadrado.
b) cópia do Acordo, Convenção Coletiva de Trabalho ou Dissídio Coletivo utilizado por este Licitante para a elaboração da planilha de custos e formação de preços que embasam o valor global ofertado. 
c) documento comprobatório do RAT.</t>
  </si>
  <si>
    <t>Diurno – Seg-Dom</t>
  </si>
  <si>
    <t>Noturno – Seg-Dom</t>
  </si>
  <si>
    <t>Tot.7 x 2</t>
  </si>
  <si>
    <t>Tot.7 x 1</t>
  </si>
  <si>
    <t>VALOR TOTAL DO POSTO</t>
  </si>
  <si>
    <t xml:space="preserve">Nº de Mudas </t>
  </si>
  <si>
    <t xml:space="preserve">Custo anual </t>
  </si>
  <si>
    <t xml:space="preserve">Segurança pessoal privada - Diurno - Seg-Dom </t>
  </si>
  <si>
    <t>Segurança pessoal privada - Noturno – Seg-Dom</t>
  </si>
  <si>
    <t>Segurança pessoal privada - Turno: Noturno – Seg-Dom</t>
  </si>
  <si>
    <t>Segurança pessoal privada - Turno: Diurno - Seg-Dom</t>
  </si>
  <si>
    <r>
      <t>Ref.: Pregão eletrônico nº 900</t>
    </r>
    <r>
      <rPr>
        <b/>
        <sz val="9"/>
        <color rgb="FFFF0000"/>
        <rFont val="Tahoma"/>
        <family val="2"/>
      </rPr>
      <t>12</t>
    </r>
    <r>
      <rPr>
        <b/>
        <sz val="9"/>
        <rFont val="Tahoma"/>
        <family val="2"/>
      </rPr>
      <t>/2025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</si>
</sst>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8" formatCode="&quot;R$&quot;\ #,##0.00;[Red]\-&quot;R$&quot;\ #,##0.00"/>
    <numFmt numFmtId="44" formatCode="_-&quot;R$&quot;\ * #,##0.00_-;\-&quot;R$&quot;\ * #,##0.00_-;_-&quot;R$&quot;\ * &quot;-&quot;??_-;_-@_-"/>
    <numFmt numFmtId="43" formatCode="_-* #,##0.00_-;\-* #,##0.00_-;_-* &quot;-&quot;??_-;_-@_-"/>
    <numFmt numFmtId="164" formatCode="_(&quot;R$ &quot;* #,##0.00_);_(&quot;R$ &quot;* \(#,##0.00\);_(&quot;R$ &quot;* &quot;-&quot;??_);_(@_)"/>
    <numFmt numFmtId="165" formatCode="#,##0.00_ ;\-#,##0.00\ "/>
    <numFmt numFmtId="166" formatCode="#,##0_ ;\-#,##0\ "/>
    <numFmt numFmtId="167" formatCode="&quot;R$&quot;\ #,##0.00"/>
  </numFmts>
  <fonts count="28" x14ac:knownFonts="1">
    <font>
      <sz val="10"/>
      <name val="Arial"/>
      <family val="2"/>
    </font>
    <font>
      <sz val="11"/>
      <color theme="1"/>
      <name val="Calibri"/>
      <family val="2"/>
      <scheme val="minor"/>
    </font>
    <font>
      <sz val="11"/>
      <color theme="1"/>
      <name val="Calibri"/>
      <family val="2"/>
      <scheme val="minor"/>
    </font>
    <font>
      <sz val="10"/>
      <name val="Arial"/>
      <family val="2"/>
    </font>
    <font>
      <b/>
      <sz val="10"/>
      <name val="Arial"/>
      <family val="2"/>
    </font>
    <font>
      <sz val="10"/>
      <name val="Arial"/>
      <family val="2"/>
    </font>
    <font>
      <b/>
      <sz val="9"/>
      <name val="Tahoma"/>
      <family val="2"/>
    </font>
    <font>
      <sz val="9"/>
      <name val="Tahoma"/>
      <family val="2"/>
    </font>
    <font>
      <b/>
      <sz val="10"/>
      <name val="Tahoma"/>
      <family val="2"/>
    </font>
    <font>
      <b/>
      <sz val="9"/>
      <color rgb="FFFF0000"/>
      <name val="Tahoma"/>
      <family val="2"/>
    </font>
    <font>
      <sz val="9"/>
      <color indexed="10"/>
      <name val="Tahoma"/>
      <family val="2"/>
    </font>
    <font>
      <sz val="9"/>
      <color rgb="FFFF0000"/>
      <name val="Tahoma"/>
      <family val="2"/>
    </font>
    <font>
      <b/>
      <sz val="11"/>
      <color theme="1"/>
      <name val="Tahoma"/>
      <family val="2"/>
    </font>
    <font>
      <sz val="8"/>
      <color theme="1"/>
      <name val="Tahoma"/>
      <family val="2"/>
    </font>
    <font>
      <sz val="9"/>
      <color theme="1"/>
      <name val="Tahoma"/>
      <family val="2"/>
    </font>
    <font>
      <b/>
      <sz val="9"/>
      <color theme="1"/>
      <name val="Tahoma"/>
      <family val="2"/>
    </font>
    <font>
      <sz val="8"/>
      <name val="Tahoma"/>
      <family val="2"/>
    </font>
    <font>
      <sz val="8"/>
      <color rgb="FFFF0000"/>
      <name val="Tahoma"/>
      <family val="2"/>
    </font>
    <font>
      <b/>
      <sz val="8"/>
      <color rgb="FFFF0000"/>
      <name val="Tahoma"/>
      <family val="2"/>
    </font>
    <font>
      <b/>
      <sz val="9"/>
      <color theme="3"/>
      <name val="Tahoma"/>
      <family val="2"/>
    </font>
    <font>
      <sz val="9"/>
      <color indexed="8"/>
      <name val="Tahoma"/>
      <family val="2"/>
    </font>
    <font>
      <b/>
      <sz val="8"/>
      <name val="Tahoma"/>
      <family val="2"/>
    </font>
    <font>
      <sz val="9"/>
      <color indexed="81"/>
      <name val="Segoe UI"/>
      <family val="2"/>
    </font>
    <font>
      <b/>
      <sz val="9"/>
      <color indexed="81"/>
      <name val="Segoe UI"/>
      <family val="2"/>
    </font>
    <font>
      <b/>
      <sz val="11"/>
      <name val="Tahoma"/>
      <family val="2"/>
    </font>
    <font>
      <b/>
      <sz val="8"/>
      <color theme="1"/>
      <name val="Tahoma"/>
      <family val="2"/>
    </font>
    <font>
      <sz val="7.5"/>
      <name val="Tahoma"/>
      <family val="2"/>
    </font>
    <font>
      <sz val="9"/>
      <color theme="3"/>
      <name val="Tahoma"/>
      <family val="2"/>
    </font>
  </fonts>
  <fills count="10">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0"/>
        <bgColor indexed="64"/>
      </patternFill>
    </fill>
    <fill>
      <patternFill patternType="solid">
        <fgColor theme="6" tint="0.59999389629810485"/>
        <bgColor indexed="64"/>
      </patternFill>
    </fill>
    <fill>
      <patternFill patternType="solid">
        <fgColor rgb="FFFFFF99"/>
        <bgColor indexed="64"/>
      </patternFill>
    </fill>
    <fill>
      <patternFill patternType="solid">
        <fgColor theme="8" tint="0.79998168889431442"/>
        <bgColor indexed="64"/>
      </patternFill>
    </fill>
    <fill>
      <patternFill patternType="solid">
        <fgColor theme="9" tint="0.59999389629810485"/>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8"/>
      </left>
      <right style="thin">
        <color indexed="8"/>
      </right>
      <top style="thin">
        <color indexed="8"/>
      </top>
      <bottom style="thin">
        <color indexed="8"/>
      </bottom>
      <diagonal/>
    </border>
    <border>
      <left/>
      <right style="thin">
        <color indexed="64"/>
      </right>
      <top/>
      <bottom/>
      <diagonal/>
    </border>
  </borders>
  <cellStyleXfs count="14">
    <xf numFmtId="0" fontId="0" fillId="0" borderId="0"/>
    <xf numFmtId="164" fontId="3" fillId="0" borderId="0" applyFill="0" applyBorder="0" applyAlignment="0" applyProtection="0"/>
    <xf numFmtId="9" fontId="3" fillId="0" borderId="0" applyFill="0" applyBorder="0" applyAlignment="0" applyProtection="0"/>
    <xf numFmtId="43" fontId="3" fillId="0" borderId="0" applyFont="0" applyFill="0" applyBorder="0" applyAlignment="0" applyProtection="0"/>
    <xf numFmtId="0" fontId="2" fillId="0" borderId="0"/>
    <xf numFmtId="0" fontId="3" fillId="0" borderId="0"/>
    <xf numFmtId="164" fontId="3" fillId="0" borderId="0" applyFont="0" applyFill="0" applyBorder="0" applyAlignment="0" applyProtection="0"/>
    <xf numFmtId="9"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1" fillId="0" borderId="0"/>
    <xf numFmtId="43" fontId="1" fillId="0" borderId="0" applyFont="0" applyFill="0" applyBorder="0" applyAlignment="0" applyProtection="0"/>
  </cellStyleXfs>
  <cellXfs count="269">
    <xf numFmtId="0" fontId="0" fillId="0" borderId="0" xfId="0"/>
    <xf numFmtId="0" fontId="14" fillId="0" borderId="0" xfId="0" applyFont="1" applyAlignment="1">
      <alignment vertical="center"/>
    </xf>
    <xf numFmtId="0" fontId="7" fillId="0" borderId="0" xfId="0" applyFont="1" applyAlignment="1">
      <alignment horizontal="center" vertical="center" wrapText="1"/>
    </xf>
    <xf numFmtId="0" fontId="14" fillId="5" borderId="1" xfId="0" applyFont="1" applyFill="1" applyBorder="1" applyAlignment="1">
      <alignment horizontal="center" vertical="center" wrapText="1"/>
    </xf>
    <xf numFmtId="8" fontId="14" fillId="0" borderId="1" xfId="0" applyNumberFormat="1" applyFont="1" applyBorder="1" applyAlignment="1">
      <alignment vertical="center" wrapText="1"/>
    </xf>
    <xf numFmtId="8" fontId="14" fillId="5" borderId="1" xfId="0" applyNumberFormat="1" applyFont="1" applyFill="1" applyBorder="1" applyAlignment="1">
      <alignment horizontal="right" vertical="center" wrapText="1"/>
    </xf>
    <xf numFmtId="8" fontId="15" fillId="0" borderId="1" xfId="0" applyNumberFormat="1" applyFont="1" applyBorder="1" applyAlignment="1">
      <alignment vertical="center"/>
    </xf>
    <xf numFmtId="8" fontId="6" fillId="0" borderId="1" xfId="0" applyNumberFormat="1" applyFont="1" applyBorder="1" applyAlignment="1">
      <alignment vertical="center"/>
    </xf>
    <xf numFmtId="0" fontId="20" fillId="6" borderId="17" xfId="0" applyFont="1" applyFill="1" applyBorder="1" applyAlignment="1">
      <alignment horizontal="center" vertical="center"/>
    </xf>
    <xf numFmtId="165" fontId="14" fillId="5" borderId="1" xfId="0" applyNumberFormat="1" applyFont="1" applyFill="1" applyBorder="1" applyAlignment="1">
      <alignment vertical="center"/>
    </xf>
    <xf numFmtId="10" fontId="14" fillId="0" borderId="1" xfId="2" applyNumberFormat="1" applyFont="1" applyBorder="1" applyAlignment="1">
      <alignment horizontal="center" vertical="center" wrapText="1"/>
    </xf>
    <xf numFmtId="0" fontId="5" fillId="0" borderId="0" xfId="0" applyFont="1" applyAlignment="1">
      <alignment vertical="center"/>
    </xf>
    <xf numFmtId="0" fontId="8" fillId="0" borderId="0" xfId="0" applyFont="1" applyAlignment="1">
      <alignment horizontal="left" vertical="center"/>
    </xf>
    <xf numFmtId="0" fontId="6" fillId="0" borderId="1" xfId="0" applyFont="1" applyBorder="1" applyAlignment="1">
      <alignment horizontal="center" vertical="center"/>
    </xf>
    <xf numFmtId="0" fontId="7" fillId="3" borderId="1" xfId="0" applyFont="1" applyFill="1" applyBorder="1" applyAlignment="1">
      <alignment vertical="center"/>
    </xf>
    <xf numFmtId="43" fontId="7" fillId="0" borderId="1" xfId="3" applyFont="1" applyBorder="1" applyAlignment="1">
      <alignment vertical="center"/>
    </xf>
    <xf numFmtId="43" fontId="6" fillId="3" borderId="1" xfId="3" applyFont="1" applyFill="1" applyBorder="1" applyAlignment="1">
      <alignment vertical="center"/>
    </xf>
    <xf numFmtId="43" fontId="6" fillId="0" borderId="0" xfId="3" applyFont="1" applyFill="1" applyBorder="1" applyAlignment="1">
      <alignment vertical="center"/>
    </xf>
    <xf numFmtId="10" fontId="7" fillId="0" borderId="1" xfId="0" applyNumberFormat="1" applyFont="1" applyBorder="1" applyAlignment="1">
      <alignment horizontal="center" vertical="center"/>
    </xf>
    <xf numFmtId="43" fontId="7" fillId="0" borderId="1" xfId="3" applyFont="1" applyFill="1" applyBorder="1" applyAlignment="1">
      <alignment vertical="center"/>
    </xf>
    <xf numFmtId="10" fontId="6" fillId="3" borderId="1" xfId="0" applyNumberFormat="1" applyFont="1" applyFill="1" applyBorder="1" applyAlignment="1">
      <alignment horizontal="center" vertical="center"/>
    </xf>
    <xf numFmtId="10" fontId="6" fillId="3" borderId="13" xfId="0" applyNumberFormat="1" applyFont="1" applyFill="1" applyBorder="1" applyAlignment="1">
      <alignment horizontal="center" vertical="center"/>
    </xf>
    <xf numFmtId="43" fontId="6" fillId="0" borderId="1" xfId="3" applyFont="1" applyFill="1" applyBorder="1" applyAlignment="1">
      <alignment vertical="center"/>
    </xf>
    <xf numFmtId="10" fontId="11" fillId="0" borderId="1" xfId="0" applyNumberFormat="1" applyFont="1" applyBorder="1" applyAlignment="1">
      <alignment horizontal="center" vertical="center"/>
    </xf>
    <xf numFmtId="0" fontId="16" fillId="0" borderId="0" xfId="0" applyFont="1" applyAlignment="1">
      <alignment horizontal="left" vertical="center" wrapText="1"/>
    </xf>
    <xf numFmtId="43" fontId="7" fillId="0" borderId="1" xfId="3" applyFont="1" applyFill="1" applyBorder="1" applyAlignment="1">
      <alignment horizontal="center" vertical="center"/>
    </xf>
    <xf numFmtId="2" fontId="6" fillId="0" borderId="0" xfId="0" applyNumberFormat="1" applyFont="1" applyAlignment="1">
      <alignment vertical="center"/>
    </xf>
    <xf numFmtId="0" fontId="6" fillId="3" borderId="1" xfId="0" applyFont="1" applyFill="1" applyBorder="1" applyAlignment="1">
      <alignment vertical="center"/>
    </xf>
    <xf numFmtId="164" fontId="6" fillId="3" borderId="1" xfId="1" applyFont="1" applyFill="1" applyBorder="1" applyAlignment="1">
      <alignment vertical="center"/>
    </xf>
    <xf numFmtId="2" fontId="5" fillId="0" borderId="0" xfId="0" applyNumberFormat="1" applyFont="1" applyAlignment="1">
      <alignment vertical="center"/>
    </xf>
    <xf numFmtId="165" fontId="15" fillId="2" borderId="1" xfId="0" applyNumberFormat="1" applyFont="1" applyFill="1" applyBorder="1" applyAlignment="1">
      <alignment vertical="center"/>
    </xf>
    <xf numFmtId="43" fontId="7" fillId="7" borderId="1" xfId="3" applyFont="1" applyFill="1" applyBorder="1" applyAlignment="1">
      <alignment vertical="center"/>
    </xf>
    <xf numFmtId="9" fontId="7" fillId="7" borderId="1" xfId="2" applyFont="1" applyFill="1" applyBorder="1" applyAlignment="1">
      <alignment horizontal="center" vertical="center"/>
    </xf>
    <xf numFmtId="10" fontId="7" fillId="7" borderId="1" xfId="2" applyNumberFormat="1" applyFont="1" applyFill="1" applyBorder="1" applyAlignment="1">
      <alignment horizontal="center" vertical="center"/>
    </xf>
    <xf numFmtId="43" fontId="7" fillId="0" borderId="1" xfId="0" applyNumberFormat="1" applyFont="1" applyBorder="1" applyAlignment="1">
      <alignment vertical="center"/>
    </xf>
    <xf numFmtId="9" fontId="7" fillId="7" borderId="2" xfId="0" applyNumberFormat="1" applyFont="1" applyFill="1" applyBorder="1" applyAlignment="1">
      <alignment horizontal="center" vertical="center"/>
    </xf>
    <xf numFmtId="0" fontId="7" fillId="7" borderId="2" xfId="0" applyFont="1" applyFill="1" applyBorder="1" applyAlignment="1">
      <alignment horizontal="center" vertical="center"/>
    </xf>
    <xf numFmtId="43" fontId="7" fillId="7" borderId="1" xfId="3" applyFont="1" applyFill="1" applyBorder="1" applyAlignment="1">
      <alignment horizontal="right" vertical="center"/>
    </xf>
    <xf numFmtId="10" fontId="7" fillId="7" borderId="1" xfId="0" applyNumberFormat="1" applyFont="1" applyFill="1" applyBorder="1" applyAlignment="1">
      <alignment horizontal="center" vertical="center"/>
    </xf>
    <xf numFmtId="1" fontId="7" fillId="3" borderId="1" xfId="0" applyNumberFormat="1" applyFont="1" applyFill="1" applyBorder="1" applyAlignment="1">
      <alignment horizontal="center" vertical="center"/>
    </xf>
    <xf numFmtId="9" fontId="7" fillId="3" borderId="1" xfId="0" applyNumberFormat="1" applyFont="1" applyFill="1" applyBorder="1" applyAlignment="1">
      <alignment horizontal="center" vertical="center"/>
    </xf>
    <xf numFmtId="0" fontId="15" fillId="4" borderId="1" xfId="0" applyFont="1" applyFill="1" applyBorder="1" applyAlignment="1">
      <alignment horizontal="center" vertical="center" wrapText="1"/>
    </xf>
    <xf numFmtId="4" fontId="15" fillId="4" borderId="1" xfId="0" applyNumberFormat="1" applyFont="1" applyFill="1" applyBorder="1" applyAlignment="1">
      <alignment horizontal="center" vertical="center" wrapText="1"/>
    </xf>
    <xf numFmtId="0" fontId="14" fillId="5" borderId="0" xfId="0" applyFont="1" applyFill="1" applyAlignment="1">
      <alignment horizontal="center" vertical="center" wrapText="1"/>
    </xf>
    <xf numFmtId="0" fontId="15" fillId="5" borderId="0" xfId="0" applyFont="1" applyFill="1" applyAlignment="1">
      <alignment horizontal="center" vertical="center" wrapText="1"/>
    </xf>
    <xf numFmtId="4" fontId="14" fillId="5" borderId="1" xfId="0" applyNumberFormat="1" applyFont="1" applyFill="1" applyBorder="1" applyAlignment="1">
      <alignment horizontal="center" vertical="center" wrapText="1"/>
    </xf>
    <xf numFmtId="3" fontId="14" fillId="5" borderId="1" xfId="0" applyNumberFormat="1" applyFont="1" applyFill="1" applyBorder="1" applyAlignment="1">
      <alignment horizontal="center" vertical="center" wrapText="1"/>
    </xf>
    <xf numFmtId="4" fontId="15" fillId="5" borderId="0" xfId="0" applyNumberFormat="1" applyFont="1" applyFill="1" applyAlignment="1">
      <alignment horizontal="center" vertical="center" wrapText="1"/>
    </xf>
    <xf numFmtId="4" fontId="14" fillId="7" borderId="1" xfId="0" applyNumberFormat="1" applyFont="1" applyFill="1" applyBorder="1" applyAlignment="1">
      <alignment horizontal="center" vertical="center" wrapText="1"/>
    </xf>
    <xf numFmtId="3" fontId="14" fillId="7" borderId="1" xfId="0" applyNumberFormat="1" applyFont="1" applyFill="1" applyBorder="1" applyAlignment="1">
      <alignment horizontal="center" vertical="center" wrapText="1"/>
    </xf>
    <xf numFmtId="10" fontId="7" fillId="7" borderId="1" xfId="0" applyNumberFormat="1" applyFont="1" applyFill="1" applyBorder="1" applyAlignment="1">
      <alignment horizontal="right" vertical="center"/>
    </xf>
    <xf numFmtId="10" fontId="7" fillId="7" borderId="1" xfId="2" applyNumberFormat="1" applyFont="1" applyFill="1" applyBorder="1" applyAlignment="1">
      <alignment horizontal="right" vertical="center"/>
    </xf>
    <xf numFmtId="0" fontId="7" fillId="3" borderId="1" xfId="2" applyNumberFormat="1" applyFont="1" applyFill="1" applyBorder="1" applyAlignment="1">
      <alignment horizontal="right" vertical="center"/>
    </xf>
    <xf numFmtId="43" fontId="7" fillId="0" borderId="1" xfId="3" applyFont="1" applyBorder="1" applyAlignment="1">
      <alignment horizontal="center" vertical="center"/>
    </xf>
    <xf numFmtId="0" fontId="7" fillId="5" borderId="1" xfId="0" applyFont="1" applyFill="1" applyBorder="1" applyAlignment="1">
      <alignment horizontal="center" vertical="center"/>
    </xf>
    <xf numFmtId="0" fontId="7" fillId="2" borderId="1" xfId="0" applyFont="1" applyFill="1" applyBorder="1" applyAlignment="1">
      <alignment horizontal="center" vertical="center" wrapText="1"/>
    </xf>
    <xf numFmtId="0" fontId="20" fillId="2" borderId="1" xfId="0" applyFont="1" applyFill="1" applyBorder="1" applyAlignment="1">
      <alignment horizontal="center" vertical="center" wrapText="1"/>
    </xf>
    <xf numFmtId="166" fontId="14" fillId="0" borderId="1" xfId="3" applyNumberFormat="1" applyFont="1" applyFill="1" applyBorder="1" applyAlignment="1">
      <alignment horizontal="center" vertical="center" wrapText="1"/>
    </xf>
    <xf numFmtId="0" fontId="7" fillId="0" borderId="0" xfId="0" applyFont="1" applyAlignment="1">
      <alignment vertical="center"/>
    </xf>
    <xf numFmtId="8" fontId="7" fillId="0" borderId="0" xfId="0" applyNumberFormat="1" applyFont="1" applyAlignment="1">
      <alignment vertical="center"/>
    </xf>
    <xf numFmtId="8" fontId="6" fillId="2" borderId="1" xfId="0" applyNumberFormat="1" applyFont="1" applyFill="1" applyBorder="1" applyAlignment="1">
      <alignment vertical="center"/>
    </xf>
    <xf numFmtId="2" fontId="7" fillId="7" borderId="1" xfId="0" applyNumberFormat="1" applyFont="1" applyFill="1" applyBorder="1" applyAlignment="1">
      <alignment horizontal="center" vertical="center"/>
    </xf>
    <xf numFmtId="0" fontId="6" fillId="0" borderId="0" xfId="0" applyFont="1" applyAlignment="1">
      <alignment vertical="center"/>
    </xf>
    <xf numFmtId="0" fontId="5" fillId="5" borderId="0" xfId="0" applyFont="1" applyFill="1" applyAlignment="1">
      <alignment vertical="center"/>
    </xf>
    <xf numFmtId="0" fontId="17" fillId="5" borderId="0" xfId="0" applyFont="1" applyFill="1" applyAlignment="1">
      <alignment vertical="center"/>
    </xf>
    <xf numFmtId="0" fontId="18" fillId="5" borderId="0" xfId="0" applyFont="1" applyFill="1" applyAlignment="1">
      <alignment horizontal="center" vertical="center"/>
    </xf>
    <xf numFmtId="0" fontId="6" fillId="5" borderId="0" xfId="0" applyFont="1" applyFill="1" applyAlignment="1">
      <alignment horizontal="left" vertical="center"/>
    </xf>
    <xf numFmtId="0" fontId="7" fillId="5" borderId="0" xfId="0" applyFont="1" applyFill="1" applyAlignment="1">
      <alignment horizontal="center" vertical="center"/>
    </xf>
    <xf numFmtId="0" fontId="8" fillId="5" borderId="0" xfId="0" applyFont="1" applyFill="1" applyAlignment="1">
      <alignment horizontal="left" vertical="center"/>
    </xf>
    <xf numFmtId="0" fontId="7" fillId="5" borderId="9" xfId="0" applyFont="1" applyFill="1" applyBorder="1" applyAlignment="1">
      <alignment vertical="center"/>
    </xf>
    <xf numFmtId="0" fontId="7" fillId="5" borderId="3" xfId="0" applyFont="1" applyFill="1" applyBorder="1" applyAlignment="1">
      <alignment vertical="center"/>
    </xf>
    <xf numFmtId="0" fontId="7" fillId="5" borderId="10" xfId="0" applyFont="1" applyFill="1" applyBorder="1" applyAlignment="1">
      <alignment vertical="center"/>
    </xf>
    <xf numFmtId="43" fontId="7" fillId="5" borderId="1" xfId="3" applyFont="1" applyFill="1" applyBorder="1" applyAlignment="1">
      <alignment vertical="center"/>
    </xf>
    <xf numFmtId="43" fontId="6" fillId="5" borderId="0" xfId="3" applyFont="1" applyFill="1" applyBorder="1" applyAlignment="1">
      <alignment vertical="center"/>
    </xf>
    <xf numFmtId="0" fontId="3" fillId="5" borderId="0" xfId="0" applyFont="1" applyFill="1" applyAlignment="1">
      <alignment vertical="center"/>
    </xf>
    <xf numFmtId="0" fontId="16" fillId="5" borderId="14" xfId="0" applyFont="1" applyFill="1" applyBorder="1" applyAlignment="1">
      <alignment horizontal="left" vertical="center" wrapText="1"/>
    </xf>
    <xf numFmtId="0" fontId="16" fillId="5" borderId="0" xfId="0" applyFont="1" applyFill="1" applyAlignment="1">
      <alignment horizontal="left" vertical="center" wrapText="1"/>
    </xf>
    <xf numFmtId="0" fontId="16" fillId="5" borderId="18" xfId="0" applyFont="1" applyFill="1" applyBorder="1" applyAlignment="1">
      <alignment horizontal="left" vertical="center" wrapText="1"/>
    </xf>
    <xf numFmtId="10" fontId="6" fillId="5" borderId="0" xfId="0" applyNumberFormat="1" applyFont="1" applyFill="1" applyAlignment="1">
      <alignment horizontal="center" vertical="center"/>
    </xf>
    <xf numFmtId="2" fontId="6" fillId="5" borderId="0" xfId="0" applyNumberFormat="1" applyFont="1" applyFill="1" applyAlignment="1">
      <alignment vertical="center"/>
    </xf>
    <xf numFmtId="0" fontId="4" fillId="5" borderId="0" xfId="0" applyFont="1" applyFill="1" applyAlignment="1">
      <alignment vertical="center"/>
    </xf>
    <xf numFmtId="0" fontId="7" fillId="0" borderId="11" xfId="0" applyFont="1" applyBorder="1" applyAlignment="1">
      <alignment vertical="center"/>
    </xf>
    <xf numFmtId="0" fontId="6" fillId="3" borderId="10" xfId="0" applyFont="1" applyFill="1" applyBorder="1" applyAlignment="1">
      <alignment vertical="center"/>
    </xf>
    <xf numFmtId="0" fontId="7" fillId="0" borderId="1" xfId="0" applyFont="1" applyBorder="1" applyAlignment="1">
      <alignment vertical="center"/>
    </xf>
    <xf numFmtId="0" fontId="6" fillId="0" borderId="9" xfId="0" applyFont="1" applyBorder="1" applyAlignment="1">
      <alignment vertical="center"/>
    </xf>
    <xf numFmtId="0" fontId="7" fillId="0" borderId="9" xfId="0" applyFont="1" applyBorder="1" applyAlignment="1">
      <alignment vertical="center" wrapText="1"/>
    </xf>
    <xf numFmtId="0" fontId="14" fillId="0" borderId="1" xfId="0" applyFont="1" applyBorder="1" applyAlignment="1">
      <alignment vertical="center" wrapText="1"/>
    </xf>
    <xf numFmtId="43" fontId="6" fillId="0" borderId="1" xfId="3" applyFont="1" applyFill="1" applyBorder="1" applyAlignment="1">
      <alignment horizontal="center" vertical="center"/>
    </xf>
    <xf numFmtId="0" fontId="6" fillId="3" borderId="9" xfId="0" applyFont="1" applyFill="1" applyBorder="1" applyAlignment="1">
      <alignment horizontal="center" vertical="center"/>
    </xf>
    <xf numFmtId="0" fontId="6" fillId="3" borderId="3" xfId="0" applyFont="1" applyFill="1" applyBorder="1" applyAlignment="1">
      <alignment horizontal="center" vertical="center"/>
    </xf>
    <xf numFmtId="0" fontId="15" fillId="2" borderId="1" xfId="0" applyFont="1" applyFill="1" applyBorder="1" applyAlignment="1">
      <alignment horizontal="center" vertical="center"/>
    </xf>
    <xf numFmtId="0" fontId="6" fillId="0" borderId="9" xfId="0" applyFont="1" applyBorder="1" applyAlignment="1">
      <alignment horizontal="center" vertical="center"/>
    </xf>
    <xf numFmtId="0" fontId="19" fillId="5" borderId="0" xfId="0" applyFont="1" applyFill="1" applyAlignment="1">
      <alignment horizontal="left" vertical="center"/>
    </xf>
    <xf numFmtId="0" fontId="7" fillId="0" borderId="9" xfId="0" applyFont="1" applyBorder="1" applyAlignment="1">
      <alignment vertical="center"/>
    </xf>
    <xf numFmtId="0" fontId="7" fillId="0" borderId="3" xfId="0" applyFont="1" applyBorder="1" applyAlignment="1">
      <alignment vertical="center"/>
    </xf>
    <xf numFmtId="0" fontId="6" fillId="3" borderId="1" xfId="0" applyFont="1" applyFill="1" applyBorder="1" applyAlignment="1">
      <alignment horizontal="center" vertical="center"/>
    </xf>
    <xf numFmtId="0" fontId="21" fillId="5" borderId="0" xfId="0" applyFont="1" applyFill="1" applyAlignment="1">
      <alignment horizontal="left" vertical="center"/>
    </xf>
    <xf numFmtId="0" fontId="6" fillId="5" borderId="12" xfId="0" applyFont="1" applyFill="1" applyBorder="1" applyAlignment="1">
      <alignment horizontal="center" vertical="center"/>
    </xf>
    <xf numFmtId="0" fontId="6" fillId="5" borderId="11" xfId="0" applyFont="1" applyFill="1" applyBorder="1" applyAlignment="1">
      <alignment horizontal="center" vertical="center"/>
    </xf>
    <xf numFmtId="0" fontId="6" fillId="5" borderId="0" xfId="0" applyFont="1" applyFill="1" applyAlignment="1">
      <alignment horizontal="center" vertical="center"/>
    </xf>
    <xf numFmtId="0" fontId="6" fillId="0" borderId="0" xfId="0" applyFont="1" applyAlignment="1">
      <alignment horizontal="center" vertical="center"/>
    </xf>
    <xf numFmtId="0" fontId="9" fillId="5" borderId="0" xfId="0" applyFont="1" applyFill="1" applyAlignment="1">
      <alignment horizontal="center" vertical="center"/>
    </xf>
    <xf numFmtId="43" fontId="7" fillId="0" borderId="0" xfId="3" applyFont="1" applyBorder="1" applyAlignment="1">
      <alignment vertical="center"/>
    </xf>
    <xf numFmtId="43" fontId="7" fillId="5" borderId="0" xfId="3" applyFont="1" applyFill="1" applyBorder="1" applyAlignment="1">
      <alignment vertical="center"/>
    </xf>
    <xf numFmtId="43" fontId="7" fillId="0" borderId="0" xfId="3" applyFont="1" applyBorder="1" applyAlignment="1">
      <alignment horizontal="center" vertical="center"/>
    </xf>
    <xf numFmtId="43" fontId="7" fillId="0" borderId="0" xfId="0" applyNumberFormat="1" applyFont="1" applyAlignment="1">
      <alignment vertical="center"/>
    </xf>
    <xf numFmtId="43" fontId="7" fillId="0" borderId="0" xfId="3" applyFont="1" applyFill="1" applyBorder="1" applyAlignment="1">
      <alignment vertical="center"/>
    </xf>
    <xf numFmtId="0" fontId="6" fillId="5" borderId="0" xfId="0" applyFont="1" applyFill="1" applyAlignment="1">
      <alignment horizontal="center" vertical="center" wrapText="1"/>
    </xf>
    <xf numFmtId="43" fontId="6" fillId="0" borderId="0" xfId="3" applyFont="1" applyFill="1" applyBorder="1" applyAlignment="1">
      <alignment horizontal="center" vertical="center"/>
    </xf>
    <xf numFmtId="43" fontId="7" fillId="0" borderId="0" xfId="3" applyFont="1" applyFill="1" applyBorder="1" applyAlignment="1">
      <alignment horizontal="center" vertical="center"/>
    </xf>
    <xf numFmtId="165" fontId="14" fillId="5" borderId="0" xfId="0" applyNumberFormat="1" applyFont="1" applyFill="1" applyAlignment="1">
      <alignment vertical="center"/>
    </xf>
    <xf numFmtId="165" fontId="11" fillId="0" borderId="0" xfId="1" applyNumberFormat="1" applyFont="1" applyBorder="1" applyAlignment="1">
      <alignment horizontal="right" vertical="center" wrapText="1"/>
    </xf>
    <xf numFmtId="0" fontId="11" fillId="0" borderId="0" xfId="0" applyFont="1" applyAlignment="1">
      <alignment horizontal="left" vertical="center" wrapText="1"/>
    </xf>
    <xf numFmtId="0" fontId="0" fillId="0" borderId="0" xfId="0" applyAlignment="1">
      <alignment vertical="center"/>
    </xf>
    <xf numFmtId="165" fontId="14" fillId="0" borderId="1" xfId="0" applyNumberFormat="1" applyFont="1" applyBorder="1" applyAlignment="1">
      <alignment vertical="center"/>
    </xf>
    <xf numFmtId="165" fontId="14" fillId="0" borderId="0" xfId="0" applyNumberFormat="1" applyFont="1" applyAlignment="1">
      <alignment vertical="center"/>
    </xf>
    <xf numFmtId="0" fontId="19" fillId="0" borderId="0" xfId="0" applyFont="1" applyAlignment="1">
      <alignment horizontal="left" vertical="center"/>
    </xf>
    <xf numFmtId="0" fontId="15" fillId="0" borderId="0" xfId="0" applyFont="1" applyAlignment="1">
      <alignment horizontal="center" vertical="center"/>
    </xf>
    <xf numFmtId="0" fontId="6" fillId="0" borderId="0" xfId="0" applyFont="1" applyAlignment="1">
      <alignment horizontal="center" vertical="center" wrapText="1"/>
    </xf>
    <xf numFmtId="43" fontId="7" fillId="0" borderId="0" xfId="3" applyFont="1" applyFill="1" applyBorder="1" applyAlignment="1">
      <alignment horizontal="right" vertical="center"/>
    </xf>
    <xf numFmtId="164" fontId="6" fillId="0" borderId="0" xfId="1" applyFont="1" applyFill="1" applyBorder="1" applyAlignment="1">
      <alignment vertical="center"/>
    </xf>
    <xf numFmtId="165" fontId="15" fillId="0" borderId="0" xfId="0" applyNumberFormat="1" applyFont="1" applyAlignment="1">
      <alignment vertical="center"/>
    </xf>
    <xf numFmtId="43" fontId="6" fillId="0" borderId="0" xfId="0" applyNumberFormat="1" applyFont="1" applyAlignment="1">
      <alignment horizontal="center" vertical="center"/>
    </xf>
    <xf numFmtId="0" fontId="11" fillId="0" borderId="0" xfId="0" applyFont="1" applyAlignment="1">
      <alignment horizontal="center" vertical="center"/>
    </xf>
    <xf numFmtId="0" fontId="7" fillId="0" borderId="0" xfId="0" applyFont="1" applyAlignment="1">
      <alignment horizontal="center" vertical="center"/>
    </xf>
    <xf numFmtId="0" fontId="6" fillId="3" borderId="10" xfId="0" applyFont="1" applyFill="1" applyBorder="1" applyAlignment="1">
      <alignment horizontal="center" vertical="center"/>
    </xf>
    <xf numFmtId="0" fontId="6" fillId="0" borderId="2" xfId="0" applyFont="1" applyBorder="1" applyAlignment="1">
      <alignment horizontal="center" vertical="center"/>
    </xf>
    <xf numFmtId="0" fontId="19" fillId="0" borderId="1" xfId="0" applyFont="1" applyBorder="1" applyAlignment="1">
      <alignment vertical="center" wrapText="1"/>
    </xf>
    <xf numFmtId="165" fontId="27" fillId="0" borderId="1" xfId="1" applyNumberFormat="1" applyFont="1" applyBorder="1" applyAlignment="1">
      <alignment horizontal="right" vertical="center" wrapText="1"/>
    </xf>
    <xf numFmtId="0" fontId="15" fillId="0" borderId="0" xfId="0" applyFont="1" applyAlignment="1">
      <alignment horizontal="center" vertical="center" wrapText="1"/>
    </xf>
    <xf numFmtId="0" fontId="14" fillId="0" borderId="0" xfId="0" applyFont="1" applyAlignment="1">
      <alignment horizontal="center" vertical="center" wrapText="1"/>
    </xf>
    <xf numFmtId="4" fontId="14" fillId="0" borderId="0" xfId="0" applyNumberFormat="1" applyFont="1" applyAlignment="1">
      <alignment horizontal="center" vertical="center" wrapText="1"/>
    </xf>
    <xf numFmtId="4" fontId="14" fillId="0" borderId="1" xfId="0" applyNumberFormat="1" applyFont="1" applyBorder="1" applyAlignment="1">
      <alignment horizontal="center" vertical="center" wrapText="1"/>
    </xf>
    <xf numFmtId="0" fontId="12" fillId="0" borderId="0" xfId="0" applyFont="1" applyAlignment="1">
      <alignment vertical="center" wrapText="1"/>
    </xf>
    <xf numFmtId="0" fontId="14" fillId="0" borderId="1" xfId="0" applyFont="1" applyBorder="1" applyAlignment="1">
      <alignment horizontal="left" vertical="center" wrapText="1"/>
    </xf>
    <xf numFmtId="3" fontId="14" fillId="0" borderId="1" xfId="0" applyNumberFormat="1" applyFont="1" applyBorder="1" applyAlignment="1">
      <alignment horizontal="center" vertical="center" wrapText="1"/>
    </xf>
    <xf numFmtId="0" fontId="6" fillId="0" borderId="1" xfId="0" applyFont="1" applyBorder="1" applyAlignment="1">
      <alignment vertical="center"/>
    </xf>
    <xf numFmtId="0" fontId="16" fillId="5" borderId="0" xfId="0" applyFont="1" applyFill="1" applyAlignment="1">
      <alignment vertical="center"/>
    </xf>
    <xf numFmtId="0" fontId="27" fillId="0" borderId="11" xfId="0" applyFont="1" applyBorder="1" applyAlignment="1">
      <alignment vertical="center" wrapText="1"/>
    </xf>
    <xf numFmtId="0" fontId="6" fillId="3" borderId="2" xfId="0" applyFont="1" applyFill="1" applyBorder="1" applyAlignment="1">
      <alignment horizontal="center" vertical="center"/>
    </xf>
    <xf numFmtId="0" fontId="6" fillId="2" borderId="9" xfId="0" applyFont="1" applyFill="1" applyBorder="1" applyAlignment="1">
      <alignment vertical="center"/>
    </xf>
    <xf numFmtId="0" fontId="6" fillId="2" borderId="10" xfId="0" applyFont="1" applyFill="1" applyBorder="1" applyAlignment="1">
      <alignment vertical="center"/>
    </xf>
    <xf numFmtId="0" fontId="8" fillId="9" borderId="1" xfId="0" applyFont="1" applyFill="1" applyBorder="1" applyAlignment="1">
      <alignment horizontal="center" vertical="center"/>
    </xf>
    <xf numFmtId="0" fontId="6" fillId="5" borderId="8" xfId="0" applyFont="1" applyFill="1" applyBorder="1" applyAlignment="1">
      <alignment vertical="center" wrapText="1"/>
    </xf>
    <xf numFmtId="0" fontId="6" fillId="5" borderId="16" xfId="0" applyFont="1" applyFill="1" applyBorder="1" applyAlignment="1">
      <alignment vertical="center" wrapText="1"/>
    </xf>
    <xf numFmtId="10" fontId="7" fillId="0" borderId="2" xfId="0" applyNumberFormat="1" applyFont="1" applyBorder="1" applyAlignment="1">
      <alignment horizontal="center" vertical="center"/>
    </xf>
    <xf numFmtId="43" fontId="7" fillId="0" borderId="2" xfId="3" applyFont="1" applyFill="1" applyBorder="1" applyAlignment="1">
      <alignment vertical="center"/>
    </xf>
    <xf numFmtId="0" fontId="6" fillId="5" borderId="0" xfId="0" applyFont="1" applyFill="1" applyAlignment="1">
      <alignment vertical="center"/>
    </xf>
    <xf numFmtId="0" fontId="6" fillId="0" borderId="8" xfId="0" applyFont="1" applyBorder="1" applyAlignment="1">
      <alignment vertical="center"/>
    </xf>
    <xf numFmtId="0" fontId="6" fillId="0" borderId="16" xfId="0" applyFont="1" applyBorder="1" applyAlignment="1">
      <alignment vertical="center"/>
    </xf>
    <xf numFmtId="0" fontId="6" fillId="5" borderId="8" xfId="0" applyFont="1" applyFill="1" applyBorder="1" applyAlignment="1">
      <alignment vertical="center"/>
    </xf>
    <xf numFmtId="0" fontId="6" fillId="5" borderId="16" xfId="0" applyFont="1" applyFill="1" applyBorder="1" applyAlignment="1">
      <alignment vertical="center"/>
    </xf>
    <xf numFmtId="0" fontId="13" fillId="5" borderId="9" xfId="0" applyFont="1" applyFill="1" applyBorder="1" applyAlignment="1">
      <alignment vertical="center"/>
    </xf>
    <xf numFmtId="0" fontId="13" fillId="5" borderId="3" xfId="0" applyFont="1" applyFill="1" applyBorder="1" applyAlignment="1">
      <alignment vertical="center"/>
    </xf>
    <xf numFmtId="0" fontId="13" fillId="5" borderId="10" xfId="0" applyFont="1" applyFill="1" applyBorder="1" applyAlignment="1">
      <alignment vertical="center"/>
    </xf>
    <xf numFmtId="0" fontId="13" fillId="0" borderId="10" xfId="0" applyFont="1" applyBorder="1" applyAlignment="1">
      <alignment vertical="center"/>
    </xf>
    <xf numFmtId="0" fontId="6" fillId="3" borderId="2" xfId="0" applyFont="1" applyFill="1" applyBorder="1" applyAlignment="1">
      <alignment vertical="center"/>
    </xf>
    <xf numFmtId="0" fontId="6" fillId="3" borderId="16" xfId="0" applyFont="1" applyFill="1" applyBorder="1" applyAlignment="1">
      <alignment vertical="center" wrapText="1"/>
    </xf>
    <xf numFmtId="0" fontId="6" fillId="2" borderId="3" xfId="0" applyFont="1" applyFill="1" applyBorder="1" applyAlignment="1">
      <alignment vertical="center"/>
    </xf>
    <xf numFmtId="0" fontId="14" fillId="5" borderId="2" xfId="0" applyFont="1" applyFill="1" applyBorder="1" applyAlignment="1">
      <alignment vertical="center" wrapText="1"/>
    </xf>
    <xf numFmtId="0" fontId="13" fillId="5" borderId="16" xfId="0" applyFont="1" applyFill="1" applyBorder="1" applyAlignment="1">
      <alignment vertical="center"/>
    </xf>
    <xf numFmtId="165" fontId="14" fillId="5" borderId="2" xfId="0" applyNumberFormat="1" applyFont="1" applyFill="1" applyBorder="1" applyAlignment="1">
      <alignment vertical="center"/>
    </xf>
    <xf numFmtId="0" fontId="25" fillId="2" borderId="10" xfId="0" applyFont="1" applyFill="1" applyBorder="1" applyAlignment="1">
      <alignment vertical="center"/>
    </xf>
    <xf numFmtId="0" fontId="21" fillId="3" borderId="3" xfId="0" applyFont="1" applyFill="1" applyBorder="1" applyAlignment="1">
      <alignment vertical="center"/>
    </xf>
    <xf numFmtId="0" fontId="21" fillId="3" borderId="10" xfId="0" applyFont="1" applyFill="1" applyBorder="1" applyAlignment="1">
      <alignment vertical="center"/>
    </xf>
    <xf numFmtId="0" fontId="6" fillId="5" borderId="18" xfId="0" applyFont="1" applyFill="1" applyBorder="1" applyAlignment="1">
      <alignment horizontal="center" vertical="center"/>
    </xf>
    <xf numFmtId="0" fontId="16" fillId="0" borderId="9" xfId="0" applyFont="1" applyBorder="1" applyAlignment="1">
      <alignment vertical="center"/>
    </xf>
    <xf numFmtId="0" fontId="16" fillId="0" borderId="3" xfId="0" applyFont="1" applyBorder="1" applyAlignment="1">
      <alignment vertical="center"/>
    </xf>
    <xf numFmtId="0" fontId="16" fillId="0" borderId="10" xfId="0" applyFont="1" applyBorder="1" applyAlignment="1">
      <alignment vertical="center"/>
    </xf>
    <xf numFmtId="0" fontId="16" fillId="0" borderId="9" xfId="0" applyFont="1" applyBorder="1" applyAlignment="1">
      <alignment vertical="center" wrapText="1"/>
    </xf>
    <xf numFmtId="0" fontId="16" fillId="0" borderId="3" xfId="0" applyFont="1" applyBorder="1" applyAlignment="1">
      <alignment vertical="center" wrapText="1"/>
    </xf>
    <xf numFmtId="0" fontId="16" fillId="0" borderId="10" xfId="0" applyFont="1" applyBorder="1" applyAlignment="1">
      <alignment vertical="center" wrapText="1"/>
    </xf>
    <xf numFmtId="0" fontId="21" fillId="0" borderId="9" xfId="0" applyFont="1" applyBorder="1" applyAlignment="1">
      <alignment vertical="center"/>
    </xf>
    <xf numFmtId="0" fontId="21" fillId="0" borderId="3" xfId="0" applyFont="1" applyBorder="1" applyAlignment="1">
      <alignment vertical="center"/>
    </xf>
    <xf numFmtId="0" fontId="21" fillId="0" borderId="10" xfId="0" applyFont="1" applyBorder="1" applyAlignment="1">
      <alignment vertical="center"/>
    </xf>
    <xf numFmtId="0" fontId="21" fillId="3" borderId="9" xfId="0" applyFont="1" applyFill="1" applyBorder="1" applyAlignment="1">
      <alignment vertical="center"/>
    </xf>
    <xf numFmtId="4" fontId="16" fillId="8" borderId="1" xfId="0" applyNumberFormat="1" applyFont="1" applyFill="1" applyBorder="1" applyAlignment="1">
      <alignment vertical="center"/>
    </xf>
    <xf numFmtId="0" fontId="16" fillId="8" borderId="1" xfId="0" applyFont="1" applyFill="1" applyBorder="1" applyAlignment="1">
      <alignment vertical="center"/>
    </xf>
    <xf numFmtId="0" fontId="7" fillId="0" borderId="1" xfId="0" applyFont="1" applyBorder="1" applyAlignment="1">
      <alignment horizontal="center" vertical="center" wrapText="1"/>
    </xf>
    <xf numFmtId="43" fontId="17" fillId="5" borderId="0" xfId="0" applyNumberFormat="1" applyFont="1" applyFill="1" applyAlignment="1">
      <alignment vertical="center"/>
    </xf>
    <xf numFmtId="0" fontId="6" fillId="4" borderId="1" xfId="0" applyFont="1" applyFill="1" applyBorder="1" applyAlignment="1">
      <alignment horizontal="center" vertical="center" wrapText="1"/>
    </xf>
    <xf numFmtId="0" fontId="7" fillId="0" borderId="0" xfId="0" applyFont="1" applyAlignment="1">
      <alignment horizontal="left" vertical="center" wrapText="1"/>
    </xf>
    <xf numFmtId="43" fontId="5" fillId="5" borderId="0" xfId="0" applyNumberFormat="1" applyFont="1" applyFill="1" applyAlignment="1">
      <alignment vertical="center"/>
    </xf>
    <xf numFmtId="2" fontId="5" fillId="5" borderId="0" xfId="0" applyNumberFormat="1" applyFont="1" applyFill="1" applyAlignment="1">
      <alignment vertical="center"/>
    </xf>
    <xf numFmtId="0" fontId="7" fillId="0" borderId="0" xfId="0" applyFont="1" applyAlignment="1">
      <alignment horizontal="left" vertical="center" wrapText="1"/>
    </xf>
    <xf numFmtId="0" fontId="24" fillId="3" borderId="6" xfId="0" applyFont="1" applyFill="1" applyBorder="1" applyAlignment="1">
      <alignment horizontal="center" vertical="center"/>
    </xf>
    <xf numFmtId="0" fontId="24" fillId="3" borderId="5" xfId="0" applyFont="1" applyFill="1" applyBorder="1" applyAlignment="1">
      <alignment horizontal="center" vertical="center"/>
    </xf>
    <xf numFmtId="0" fontId="24" fillId="3" borderId="4" xfId="0" applyFont="1" applyFill="1" applyBorder="1" applyAlignment="1">
      <alignment horizontal="center" vertical="center"/>
    </xf>
    <xf numFmtId="0" fontId="6" fillId="2" borderId="1" xfId="0" applyFont="1" applyFill="1" applyBorder="1" applyAlignment="1">
      <alignment horizontal="center" vertical="center" wrapText="1"/>
    </xf>
    <xf numFmtId="0" fontId="6" fillId="0" borderId="0" xfId="0" applyFont="1" applyAlignment="1">
      <alignment horizontal="center" vertical="center"/>
    </xf>
    <xf numFmtId="0" fontId="6" fillId="0" borderId="0" xfId="0" applyFont="1" applyAlignment="1">
      <alignment horizontal="left" vertical="center" wrapText="1"/>
    </xf>
    <xf numFmtId="0" fontId="6" fillId="0" borderId="0" xfId="0" applyFont="1" applyAlignment="1">
      <alignment horizontal="left" vertical="center"/>
    </xf>
    <xf numFmtId="0" fontId="6" fillId="3" borderId="9" xfId="0" applyFont="1" applyFill="1" applyBorder="1" applyAlignment="1">
      <alignment horizontal="center" vertical="center"/>
    </xf>
    <xf numFmtId="0" fontId="6" fillId="3" borderId="3" xfId="0" applyFont="1" applyFill="1" applyBorder="1" applyAlignment="1">
      <alignment horizontal="center" vertical="center"/>
    </xf>
    <xf numFmtId="0" fontId="6" fillId="3" borderId="10" xfId="0" applyFont="1" applyFill="1" applyBorder="1" applyAlignment="1">
      <alignment horizontal="center" vertical="center"/>
    </xf>
    <xf numFmtId="0" fontId="27" fillId="0" borderId="9" xfId="0" applyFont="1" applyBorder="1" applyAlignment="1">
      <alignment horizontal="center" vertical="center" wrapText="1"/>
    </xf>
    <xf numFmtId="0" fontId="27" fillId="0" borderId="3" xfId="0" applyFont="1" applyBorder="1" applyAlignment="1">
      <alignment horizontal="center" vertical="center" wrapText="1"/>
    </xf>
    <xf numFmtId="0" fontId="27" fillId="0" borderId="10" xfId="0" applyFont="1" applyBorder="1" applyAlignment="1">
      <alignment horizontal="center" vertical="center" wrapText="1"/>
    </xf>
    <xf numFmtId="0" fontId="25" fillId="2" borderId="9" xfId="0" applyFont="1" applyFill="1" applyBorder="1" applyAlignment="1">
      <alignment horizontal="left" vertical="center"/>
    </xf>
    <xf numFmtId="0" fontId="25" fillId="2" borderId="3" xfId="0" applyFont="1" applyFill="1" applyBorder="1" applyAlignment="1">
      <alignment horizontal="left" vertical="center"/>
    </xf>
    <xf numFmtId="0" fontId="13" fillId="5" borderId="7" xfId="0" applyFont="1" applyFill="1" applyBorder="1" applyAlignment="1">
      <alignment horizontal="left" vertical="center"/>
    </xf>
    <xf numFmtId="0" fontId="13" fillId="5" borderId="8" xfId="0" applyFont="1" applyFill="1" applyBorder="1" applyAlignment="1">
      <alignment horizontal="left" vertical="center"/>
    </xf>
    <xf numFmtId="0" fontId="13" fillId="5" borderId="9" xfId="0" applyFont="1" applyFill="1" applyBorder="1" applyAlignment="1">
      <alignment horizontal="left" vertical="center"/>
    </xf>
    <xf numFmtId="0" fontId="13" fillId="5" borderId="3" xfId="0" applyFont="1" applyFill="1" applyBorder="1" applyAlignment="1">
      <alignment horizontal="left" vertical="center"/>
    </xf>
    <xf numFmtId="0" fontId="13" fillId="0" borderId="9" xfId="0" applyFont="1" applyBorder="1" applyAlignment="1">
      <alignment horizontal="left" vertical="center" wrapText="1"/>
    </xf>
    <xf numFmtId="0" fontId="13" fillId="0" borderId="3" xfId="0" applyFont="1" applyBorder="1" applyAlignment="1">
      <alignment horizontal="left" vertical="center" wrapText="1"/>
    </xf>
    <xf numFmtId="0" fontId="13" fillId="0" borderId="10" xfId="0" applyFont="1" applyBorder="1" applyAlignment="1">
      <alignment horizontal="left" vertical="center" wrapText="1"/>
    </xf>
    <xf numFmtId="0" fontId="21" fillId="3" borderId="3" xfId="0" applyFont="1" applyFill="1" applyBorder="1" applyAlignment="1">
      <alignment horizontal="left" vertical="center"/>
    </xf>
    <xf numFmtId="0" fontId="19" fillId="5" borderId="0" xfId="0" applyFont="1" applyFill="1" applyAlignment="1">
      <alignment horizontal="left" vertical="center"/>
    </xf>
    <xf numFmtId="0" fontId="6" fillId="2" borderId="9" xfId="0" applyFont="1" applyFill="1" applyBorder="1" applyAlignment="1">
      <alignment horizontal="center" vertical="center"/>
    </xf>
    <xf numFmtId="0" fontId="6" fillId="2" borderId="3" xfId="0" applyFont="1" applyFill="1" applyBorder="1" applyAlignment="1">
      <alignment horizontal="center" vertical="center"/>
    </xf>
    <xf numFmtId="0" fontId="6" fillId="3" borderId="7" xfId="0" applyFont="1" applyFill="1" applyBorder="1" applyAlignment="1">
      <alignment horizontal="center" vertical="center" wrapText="1"/>
    </xf>
    <xf numFmtId="0" fontId="6" fillId="3" borderId="8" xfId="0" applyFont="1" applyFill="1" applyBorder="1" applyAlignment="1">
      <alignment horizontal="center" vertical="center" wrapText="1"/>
    </xf>
    <xf numFmtId="0" fontId="15" fillId="2" borderId="9" xfId="0" applyFont="1" applyFill="1" applyBorder="1" applyAlignment="1">
      <alignment horizontal="center" vertical="center"/>
    </xf>
    <xf numFmtId="0" fontId="15" fillId="2" borderId="3" xfId="0" applyFont="1" applyFill="1" applyBorder="1" applyAlignment="1">
      <alignment horizontal="center" vertical="center"/>
    </xf>
    <xf numFmtId="0" fontId="16" fillId="0" borderId="9" xfId="0" applyFont="1" applyBorder="1" applyAlignment="1">
      <alignment horizontal="left" vertical="center"/>
    </xf>
    <xf numFmtId="0" fontId="16" fillId="0" borderId="3" xfId="0" applyFont="1" applyBorder="1" applyAlignment="1">
      <alignment horizontal="left" vertical="center"/>
    </xf>
    <xf numFmtId="0" fontId="16" fillId="0" borderId="10" xfId="0" applyFont="1" applyBorder="1" applyAlignment="1">
      <alignment horizontal="left" vertical="center"/>
    </xf>
    <xf numFmtId="0" fontId="6" fillId="2" borderId="10" xfId="0" applyFont="1" applyFill="1" applyBorder="1" applyAlignment="1">
      <alignment horizontal="center" vertical="center"/>
    </xf>
    <xf numFmtId="0" fontId="6" fillId="3" borderId="9" xfId="0" applyFont="1" applyFill="1" applyBorder="1" applyAlignment="1">
      <alignment horizontal="left" vertical="center"/>
    </xf>
    <xf numFmtId="0" fontId="6" fillId="3" borderId="3" xfId="0" applyFont="1" applyFill="1" applyBorder="1" applyAlignment="1">
      <alignment horizontal="left" vertical="center"/>
    </xf>
    <xf numFmtId="0" fontId="6" fillId="3" borderId="10" xfId="0" applyFont="1" applyFill="1" applyBorder="1" applyAlignment="1">
      <alignment horizontal="left" vertical="center"/>
    </xf>
    <xf numFmtId="0" fontId="6" fillId="5" borderId="7" xfId="0" applyFont="1" applyFill="1" applyBorder="1" applyAlignment="1">
      <alignment horizontal="center" vertical="center"/>
    </xf>
    <xf numFmtId="0" fontId="6" fillId="5" borderId="8" xfId="0" applyFont="1" applyFill="1" applyBorder="1" applyAlignment="1">
      <alignment horizontal="center" vertical="center"/>
    </xf>
    <xf numFmtId="0" fontId="26" fillId="0" borderId="9" xfId="0" applyFont="1" applyBorder="1" applyAlignment="1">
      <alignment horizontal="left" vertical="center"/>
    </xf>
    <xf numFmtId="0" fontId="26" fillId="0" borderId="10" xfId="0" applyFont="1" applyBorder="1" applyAlignment="1">
      <alignment horizontal="left" vertical="center"/>
    </xf>
    <xf numFmtId="0" fontId="6" fillId="0" borderId="9" xfId="0" applyFont="1" applyBorder="1" applyAlignment="1">
      <alignment horizontal="center" vertical="center"/>
    </xf>
    <xf numFmtId="0" fontId="6" fillId="0" borderId="3" xfId="0" applyFont="1" applyBorder="1" applyAlignment="1">
      <alignment horizontal="center" vertical="center"/>
    </xf>
    <xf numFmtId="0" fontId="6" fillId="5" borderId="12" xfId="0" applyFont="1" applyFill="1" applyBorder="1" applyAlignment="1">
      <alignment horizontal="center" vertical="center"/>
    </xf>
    <xf numFmtId="0" fontId="6" fillId="5" borderId="11" xfId="0" applyFont="1" applyFill="1" applyBorder="1" applyAlignment="1">
      <alignment horizontal="center" vertical="center" wrapText="1"/>
    </xf>
    <xf numFmtId="0" fontId="6" fillId="5" borderId="12" xfId="0" applyFont="1" applyFill="1" applyBorder="1" applyAlignment="1">
      <alignment horizontal="center" vertical="center" wrapText="1"/>
    </xf>
    <xf numFmtId="0" fontId="6" fillId="5" borderId="15" xfId="0" applyFont="1" applyFill="1" applyBorder="1" applyAlignment="1">
      <alignment horizontal="center" vertical="center" wrapText="1"/>
    </xf>
    <xf numFmtId="0" fontId="6" fillId="5" borderId="9" xfId="0" applyFont="1" applyFill="1" applyBorder="1" applyAlignment="1">
      <alignment horizontal="center" vertical="center" wrapText="1"/>
    </xf>
    <xf numFmtId="0" fontId="6" fillId="5" borderId="3" xfId="0" applyFont="1" applyFill="1" applyBorder="1" applyAlignment="1">
      <alignment horizontal="center" vertical="center" wrapText="1"/>
    </xf>
    <xf numFmtId="0" fontId="6" fillId="5" borderId="10" xfId="0" applyFont="1" applyFill="1" applyBorder="1" applyAlignment="1">
      <alignment horizontal="center" vertical="center" wrapText="1"/>
    </xf>
    <xf numFmtId="0" fontId="6" fillId="5" borderId="11" xfId="0" applyFont="1" applyFill="1" applyBorder="1" applyAlignment="1">
      <alignment horizontal="center" vertical="center"/>
    </xf>
    <xf numFmtId="0" fontId="6" fillId="5" borderId="15" xfId="0" applyFont="1" applyFill="1" applyBorder="1" applyAlignment="1">
      <alignment horizontal="center" vertical="center"/>
    </xf>
    <xf numFmtId="0" fontId="6" fillId="0" borderId="13" xfId="0" applyFont="1" applyBorder="1" applyAlignment="1">
      <alignment horizontal="center" vertical="center"/>
    </xf>
    <xf numFmtId="0" fontId="6" fillId="0" borderId="2" xfId="0" applyFont="1" applyBorder="1" applyAlignment="1">
      <alignment horizontal="center" vertical="center"/>
    </xf>
    <xf numFmtId="0" fontId="7" fillId="0" borderId="11" xfId="0" applyFont="1" applyBorder="1" applyAlignment="1">
      <alignment horizontal="left" vertical="center"/>
    </xf>
    <xf numFmtId="0" fontId="7" fillId="0" borderId="7" xfId="0" applyFont="1" applyBorder="1" applyAlignment="1">
      <alignment horizontal="left" vertical="center"/>
    </xf>
    <xf numFmtId="0" fontId="16" fillId="0" borderId="1" xfId="0" applyFont="1" applyBorder="1" applyAlignment="1">
      <alignment horizontal="left" vertical="center" wrapText="1"/>
    </xf>
    <xf numFmtId="10" fontId="7" fillId="0" borderId="15" xfId="0" applyNumberFormat="1" applyFont="1" applyBorder="1" applyAlignment="1">
      <alignment horizontal="center" vertical="center"/>
    </xf>
    <xf numFmtId="10" fontId="7" fillId="0" borderId="16" xfId="0" applyNumberFormat="1" applyFont="1" applyBorder="1" applyAlignment="1">
      <alignment horizontal="center" vertical="center"/>
    </xf>
    <xf numFmtId="43" fontId="7" fillId="0" borderId="1" xfId="3" applyFont="1" applyFill="1" applyBorder="1" applyAlignment="1">
      <alignment horizontal="center" vertical="center"/>
    </xf>
    <xf numFmtId="0" fontId="6" fillId="2" borderId="1" xfId="0" applyFont="1" applyFill="1" applyBorder="1" applyAlignment="1">
      <alignment horizontal="center" vertical="center"/>
    </xf>
    <xf numFmtId="0" fontId="6" fillId="0" borderId="11" xfId="0" applyFont="1" applyBorder="1" applyAlignment="1">
      <alignment horizontal="center" vertical="center"/>
    </xf>
    <xf numFmtId="0" fontId="6" fillId="0" borderId="12" xfId="0" applyFont="1" applyBorder="1" applyAlignment="1">
      <alignment horizontal="center" vertical="center"/>
    </xf>
    <xf numFmtId="0" fontId="6" fillId="0" borderId="1" xfId="0" applyFont="1" applyBorder="1" applyAlignment="1">
      <alignment horizontal="center" vertical="center"/>
    </xf>
    <xf numFmtId="0" fontId="6" fillId="3" borderId="7" xfId="0" applyFont="1" applyFill="1" applyBorder="1" applyAlignment="1">
      <alignment horizontal="center" vertical="center"/>
    </xf>
    <xf numFmtId="0" fontId="6" fillId="3" borderId="8" xfId="0" applyFont="1" applyFill="1" applyBorder="1" applyAlignment="1">
      <alignment horizontal="center" vertical="center"/>
    </xf>
    <xf numFmtId="0" fontId="6" fillId="3" borderId="16" xfId="0" applyFont="1" applyFill="1" applyBorder="1" applyAlignment="1">
      <alignment horizontal="center" vertical="center"/>
    </xf>
    <xf numFmtId="0" fontId="14" fillId="4" borderId="1" xfId="0" applyFont="1" applyFill="1" applyBorder="1" applyAlignment="1">
      <alignment horizontal="center" vertical="center"/>
    </xf>
    <xf numFmtId="0" fontId="14" fillId="4" borderId="1" xfId="0" applyFont="1" applyFill="1" applyBorder="1" applyAlignment="1">
      <alignment horizontal="left" vertical="center"/>
    </xf>
    <xf numFmtId="0" fontId="14" fillId="7" borderId="1" xfId="0" applyFont="1" applyFill="1" applyBorder="1" applyAlignment="1">
      <alignment horizontal="left" vertical="center"/>
    </xf>
    <xf numFmtId="167" fontId="14" fillId="7" borderId="1" xfId="0" applyNumberFormat="1" applyFont="1" applyFill="1" applyBorder="1" applyAlignment="1">
      <alignment horizontal="left" vertical="center"/>
    </xf>
    <xf numFmtId="0" fontId="6" fillId="5" borderId="0" xfId="0" applyFont="1" applyFill="1" applyAlignment="1">
      <alignment horizontal="center" vertical="center"/>
    </xf>
    <xf numFmtId="0" fontId="9" fillId="5" borderId="0" xfId="0" applyFont="1" applyFill="1" applyAlignment="1">
      <alignment horizontal="center" vertical="center"/>
    </xf>
    <xf numFmtId="0" fontId="9" fillId="4" borderId="9" xfId="0" applyFont="1" applyFill="1" applyBorder="1" applyAlignment="1">
      <alignment horizontal="center" vertical="center" wrapText="1"/>
    </xf>
    <xf numFmtId="0" fontId="9" fillId="4" borderId="3" xfId="0" applyFont="1" applyFill="1" applyBorder="1" applyAlignment="1">
      <alignment horizontal="center" vertical="center" wrapText="1"/>
    </xf>
    <xf numFmtId="0" fontId="9" fillId="4" borderId="10" xfId="0" applyFont="1" applyFill="1" applyBorder="1" applyAlignment="1">
      <alignment horizontal="center" vertical="center" wrapText="1"/>
    </xf>
    <xf numFmtId="0" fontId="15" fillId="2" borderId="1" xfId="0" applyFont="1" applyFill="1" applyBorder="1" applyAlignment="1">
      <alignment horizontal="center" vertical="center"/>
    </xf>
    <xf numFmtId="14" fontId="14" fillId="7" borderId="1" xfId="0" applyNumberFormat="1" applyFont="1" applyFill="1" applyBorder="1" applyAlignment="1">
      <alignment horizontal="left" vertical="center"/>
    </xf>
    <xf numFmtId="0" fontId="12" fillId="3" borderId="6" xfId="0" applyFont="1" applyFill="1" applyBorder="1" applyAlignment="1">
      <alignment horizontal="center" vertical="center" wrapText="1"/>
    </xf>
    <xf numFmtId="0" fontId="12" fillId="3" borderId="5" xfId="0" applyFont="1" applyFill="1" applyBorder="1" applyAlignment="1">
      <alignment horizontal="center" vertical="center" wrapText="1"/>
    </xf>
    <xf numFmtId="0" fontId="12" fillId="3" borderId="4" xfId="0" applyFont="1" applyFill="1" applyBorder="1" applyAlignment="1">
      <alignment horizontal="center" vertical="center" wrapText="1"/>
    </xf>
    <xf numFmtId="0" fontId="15" fillId="4" borderId="9" xfId="0" applyFont="1" applyFill="1" applyBorder="1" applyAlignment="1">
      <alignment horizontal="center" vertical="center" wrapText="1"/>
    </xf>
    <xf numFmtId="0" fontId="15" fillId="4" borderId="10" xfId="0" applyFont="1" applyFill="1" applyBorder="1" applyAlignment="1">
      <alignment horizontal="center" vertical="center" wrapText="1"/>
    </xf>
    <xf numFmtId="0" fontId="15" fillId="4" borderId="1" xfId="0" applyFont="1" applyFill="1" applyBorder="1" applyAlignment="1">
      <alignment horizontal="center" vertical="center" wrapText="1"/>
    </xf>
  </cellXfs>
  <cellStyles count="14">
    <cellStyle name="Moeda" xfId="1" builtinId="4"/>
    <cellStyle name="Moeda 2" xfId="6" xr:uid="{00000000-0005-0000-0000-000001000000}"/>
    <cellStyle name="Moeda 3" xfId="11" xr:uid="{00000000-0005-0000-0000-000002000000}"/>
    <cellStyle name="Normal" xfId="0" builtinId="0"/>
    <cellStyle name="Normal 2" xfId="5" xr:uid="{00000000-0005-0000-0000-000004000000}"/>
    <cellStyle name="Normal 3" xfId="4" xr:uid="{00000000-0005-0000-0000-000005000000}"/>
    <cellStyle name="Normal 4" xfId="12" xr:uid="{00000000-0005-0000-0000-000006000000}"/>
    <cellStyle name="Porcentagem" xfId="2" builtinId="5"/>
    <cellStyle name="Porcentagem 2" xfId="7" xr:uid="{00000000-0005-0000-0000-000008000000}"/>
    <cellStyle name="Porcentagem 3" xfId="10" xr:uid="{00000000-0005-0000-0000-000009000000}"/>
    <cellStyle name="Vírgula" xfId="3" builtinId="3"/>
    <cellStyle name="Vírgula 2" xfId="8" xr:uid="{00000000-0005-0000-0000-00000B000000}"/>
    <cellStyle name="Vírgula 3" xfId="9" xr:uid="{00000000-0005-0000-0000-00000C000000}"/>
    <cellStyle name="Vírgula 4" xfId="13" xr:uid="{00000000-0005-0000-0000-00000D000000}"/>
  </cellStyles>
  <dxfs count="0"/>
  <tableStyles count="0" defaultTableStyle="TableStyleMedium9" defaultPivotStyle="PivotStyleLight16"/>
  <colors>
    <mruColors>
      <color rgb="FFFFFF99"/>
      <color rgb="FF00CC00"/>
      <color rgb="FF33C34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C1:L30"/>
  <sheetViews>
    <sheetView showGridLines="0" tabSelected="1" topLeftCell="A7" zoomScaleNormal="100" workbookViewId="0">
      <selection activeCell="C4" sqref="C4:I4"/>
    </sheetView>
  </sheetViews>
  <sheetFormatPr defaultColWidth="9.140625" defaultRowHeight="22.5" customHeight="1" x14ac:dyDescent="0.2"/>
  <cols>
    <col min="1" max="1" width="9.140625" style="58"/>
    <col min="2" max="2" width="3.28515625" style="58" customWidth="1"/>
    <col min="3" max="3" width="20.85546875" style="58" customWidth="1"/>
    <col min="4" max="6" width="13.28515625" style="58" customWidth="1"/>
    <col min="7" max="7" width="14.28515625" style="58" customWidth="1"/>
    <col min="8" max="8" width="15.85546875" style="58" customWidth="1"/>
    <col min="9" max="9" width="16.140625" style="58" bestFit="1" customWidth="1"/>
    <col min="10" max="10" width="14.7109375" style="58" bestFit="1" customWidth="1"/>
    <col min="11" max="11" width="11.7109375" style="58" bestFit="1" customWidth="1"/>
    <col min="12" max="12" width="14.42578125" style="58" bestFit="1" customWidth="1"/>
    <col min="13" max="16384" width="9.140625" style="58"/>
  </cols>
  <sheetData>
    <row r="1" spans="3:12" ht="22.5" customHeight="1" x14ac:dyDescent="0.2">
      <c r="C1" s="189" t="s">
        <v>124</v>
      </c>
      <c r="D1" s="189"/>
      <c r="E1" s="189"/>
      <c r="F1" s="189"/>
      <c r="G1" s="189"/>
      <c r="H1" s="189"/>
      <c r="I1" s="189"/>
    </row>
    <row r="3" spans="3:12" ht="22.5" customHeight="1" x14ac:dyDescent="0.2">
      <c r="C3" s="62" t="s">
        <v>248</v>
      </c>
    </row>
    <row r="4" spans="3:12" ht="22.5" customHeight="1" x14ac:dyDescent="0.2">
      <c r="C4" s="190" t="s">
        <v>235</v>
      </c>
      <c r="D4" s="191"/>
      <c r="E4" s="191"/>
      <c r="F4" s="191"/>
      <c r="G4" s="191"/>
      <c r="H4" s="191"/>
      <c r="I4" s="191"/>
      <c r="J4" s="59"/>
    </row>
    <row r="5" spans="3:12" ht="22.5" customHeight="1" thickBot="1" x14ac:dyDescent="0.25"/>
    <row r="6" spans="3:12" ht="22.5" customHeight="1" thickBot="1" x14ac:dyDescent="0.25">
      <c r="C6" s="185" t="s">
        <v>199</v>
      </c>
      <c r="D6" s="186"/>
      <c r="E6" s="186"/>
      <c r="F6" s="186"/>
      <c r="G6" s="186"/>
      <c r="H6" s="186"/>
      <c r="I6" s="187"/>
    </row>
    <row r="7" spans="3:12" ht="22.5" customHeight="1" x14ac:dyDescent="0.2">
      <c r="C7" s="41" t="s">
        <v>84</v>
      </c>
      <c r="D7" s="180" t="s">
        <v>230</v>
      </c>
      <c r="E7" s="41" t="s">
        <v>200</v>
      </c>
      <c r="F7" s="41" t="s">
        <v>85</v>
      </c>
      <c r="G7" s="41" t="s">
        <v>94</v>
      </c>
      <c r="H7" s="41" t="s">
        <v>86</v>
      </c>
      <c r="I7" s="41" t="s">
        <v>87</v>
      </c>
    </row>
    <row r="8" spans="3:12" ht="22.5" customHeight="1" x14ac:dyDescent="0.2">
      <c r="C8" s="178" t="s">
        <v>232</v>
      </c>
      <c r="D8" s="57">
        <v>1</v>
      </c>
      <c r="E8" s="57" t="s">
        <v>202</v>
      </c>
      <c r="F8" s="3">
        <v>30</v>
      </c>
      <c r="G8" s="4">
        <f>'Coordenador - Seg-Sex'!H134</f>
        <v>12980.630000000001</v>
      </c>
      <c r="H8" s="5">
        <f>G8*D8</f>
        <v>12980.630000000001</v>
      </c>
      <c r="I8" s="5">
        <f>H8*F8</f>
        <v>389418.9</v>
      </c>
    </row>
    <row r="9" spans="3:12" ht="22.5" customHeight="1" x14ac:dyDescent="0.2">
      <c r="C9" s="178" t="s">
        <v>201</v>
      </c>
      <c r="D9" s="57">
        <v>4</v>
      </c>
      <c r="E9" s="57" t="s">
        <v>203</v>
      </c>
      <c r="F9" s="3">
        <v>30</v>
      </c>
      <c r="G9" s="4">
        <f>'Diurno - Seg-Sex'!H134</f>
        <v>20137.900000000001</v>
      </c>
      <c r="H9" s="5">
        <f t="shared" ref="H9:H10" si="0">G9*D9</f>
        <v>80551.600000000006</v>
      </c>
      <c r="I9" s="5">
        <f t="shared" ref="I9:I10" si="1">H9*F9</f>
        <v>2416548</v>
      </c>
      <c r="K9" s="59"/>
    </row>
    <row r="10" spans="3:12" ht="22.5" customHeight="1" x14ac:dyDescent="0.2">
      <c r="C10" s="178" t="s">
        <v>238</v>
      </c>
      <c r="D10" s="57">
        <v>2</v>
      </c>
      <c r="E10" s="57" t="s">
        <v>203</v>
      </c>
      <c r="F10" s="3">
        <v>30</v>
      </c>
      <c r="G10" s="4">
        <f>'Noturno - Seg-Dom'!H135</f>
        <v>22548.84</v>
      </c>
      <c r="H10" s="5">
        <f t="shared" si="0"/>
        <v>45097.68</v>
      </c>
      <c r="I10" s="5">
        <f t="shared" si="1"/>
        <v>1352930.4</v>
      </c>
      <c r="K10" s="59"/>
    </row>
    <row r="11" spans="3:12" ht="22.5" customHeight="1" x14ac:dyDescent="0.2">
      <c r="C11" s="178" t="s">
        <v>237</v>
      </c>
      <c r="D11" s="57">
        <v>2</v>
      </c>
      <c r="E11" s="57" t="s">
        <v>203</v>
      </c>
      <c r="F11" s="3">
        <v>30</v>
      </c>
      <c r="G11" s="4">
        <f>'Diurno - Seg-Dom'!H134</f>
        <v>20732.32</v>
      </c>
      <c r="H11" s="5">
        <f>G11*D11</f>
        <v>41464.639999999999</v>
      </c>
      <c r="I11" s="5">
        <f>H11*F11</f>
        <v>1243939.2</v>
      </c>
    </row>
    <row r="12" spans="3:12" ht="22.5" customHeight="1" x14ac:dyDescent="0.2">
      <c r="C12" s="13" t="s">
        <v>58</v>
      </c>
      <c r="D12" s="57">
        <f>SUM(D8:D11)</f>
        <v>9</v>
      </c>
      <c r="E12" s="192"/>
      <c r="F12" s="193"/>
      <c r="G12" s="194"/>
      <c r="H12" s="7">
        <f>SUM(H8:H11)</f>
        <v>180094.55</v>
      </c>
      <c r="I12" s="6">
        <f>SUM(I8:I11)</f>
        <v>5402836.5</v>
      </c>
    </row>
    <row r="13" spans="3:12" ht="22.5" customHeight="1" x14ac:dyDescent="0.2">
      <c r="C13" s="188" t="s">
        <v>122</v>
      </c>
      <c r="D13" s="188"/>
      <c r="E13" s="188"/>
      <c r="F13" s="188"/>
      <c r="G13" s="188"/>
      <c r="H13" s="188"/>
      <c r="I13" s="60">
        <f>I12</f>
        <v>5402836.5</v>
      </c>
      <c r="L13" s="59"/>
    </row>
    <row r="14" spans="3:12" ht="14.1" customHeight="1" x14ac:dyDescent="0.2">
      <c r="H14" s="1"/>
    </row>
    <row r="15" spans="3:12" ht="101.1" customHeight="1" x14ac:dyDescent="0.2">
      <c r="C15" s="184" t="s">
        <v>198</v>
      </c>
      <c r="D15" s="184"/>
      <c r="E15" s="184"/>
      <c r="F15" s="184"/>
      <c r="G15" s="184"/>
      <c r="H15" s="184"/>
      <c r="I15" s="184"/>
    </row>
    <row r="16" spans="3:12" ht="57.75" customHeight="1" x14ac:dyDescent="0.2">
      <c r="C16" s="184" t="s">
        <v>236</v>
      </c>
      <c r="D16" s="184"/>
      <c r="E16" s="184"/>
      <c r="F16" s="184"/>
      <c r="G16" s="184"/>
      <c r="H16" s="184"/>
      <c r="I16" s="184"/>
    </row>
    <row r="17" spans="3:9" ht="16.5" customHeight="1" x14ac:dyDescent="0.2">
      <c r="C17" s="181"/>
      <c r="D17" s="181"/>
      <c r="E17" s="181"/>
      <c r="F17" s="181"/>
      <c r="G17" s="181"/>
      <c r="H17" s="181"/>
      <c r="I17" s="181"/>
    </row>
    <row r="18" spans="3:9" ht="14.1" customHeight="1" x14ac:dyDescent="0.2">
      <c r="H18" s="1"/>
    </row>
    <row r="19" spans="3:9" ht="29.45" customHeight="1" x14ac:dyDescent="0.2">
      <c r="C19" s="184" t="s">
        <v>204</v>
      </c>
      <c r="D19" s="184"/>
      <c r="E19" s="184"/>
      <c r="F19" s="184"/>
      <c r="G19" s="184"/>
      <c r="H19" s="184"/>
      <c r="I19" s="184"/>
    </row>
    <row r="20" spans="3:9" ht="14.1" customHeight="1" x14ac:dyDescent="0.2">
      <c r="H20" s="1"/>
    </row>
    <row r="21" spans="3:9" ht="22.5" customHeight="1" x14ac:dyDescent="0.2">
      <c r="C21" s="184" t="s">
        <v>231</v>
      </c>
      <c r="D21" s="184"/>
      <c r="E21" s="184"/>
      <c r="F21" s="184"/>
      <c r="G21" s="184"/>
      <c r="H21" s="184"/>
      <c r="I21" s="184"/>
    </row>
    <row r="22" spans="3:9" ht="22.5" customHeight="1" x14ac:dyDescent="0.2">
      <c r="H22" s="1"/>
    </row>
    <row r="23" spans="3:9" ht="22.5" customHeight="1" x14ac:dyDescent="0.2">
      <c r="F23" s="123" t="s">
        <v>182</v>
      </c>
      <c r="H23" s="1"/>
    </row>
    <row r="24" spans="3:9" ht="22.5" customHeight="1" x14ac:dyDescent="0.2">
      <c r="G24" s="124"/>
    </row>
    <row r="25" spans="3:9" ht="22.5" customHeight="1" x14ac:dyDescent="0.2">
      <c r="F25" s="124" t="s">
        <v>183</v>
      </c>
    </row>
    <row r="26" spans="3:9" ht="22.5" customHeight="1" x14ac:dyDescent="0.2">
      <c r="F26" s="124" t="s">
        <v>184</v>
      </c>
    </row>
    <row r="27" spans="3:9" ht="22.5" customHeight="1" x14ac:dyDescent="0.2">
      <c r="F27" s="124" t="s">
        <v>185</v>
      </c>
    </row>
    <row r="28" spans="3:9" ht="22.5" customHeight="1" x14ac:dyDescent="0.2">
      <c r="F28" s="124" t="s">
        <v>186</v>
      </c>
    </row>
    <row r="29" spans="3:9" ht="22.5" customHeight="1" x14ac:dyDescent="0.2">
      <c r="F29" s="124" t="s">
        <v>187</v>
      </c>
    </row>
    <row r="30" spans="3:9" ht="22.5" customHeight="1" x14ac:dyDescent="0.2">
      <c r="F30" s="124" t="s">
        <v>188</v>
      </c>
    </row>
  </sheetData>
  <mergeCells count="9">
    <mergeCell ref="C19:I19"/>
    <mergeCell ref="C21:I21"/>
    <mergeCell ref="C6:I6"/>
    <mergeCell ref="C13:H13"/>
    <mergeCell ref="C1:I1"/>
    <mergeCell ref="C4:I4"/>
    <mergeCell ref="E12:G12"/>
    <mergeCell ref="C15:I15"/>
    <mergeCell ref="C16:I16"/>
  </mergeCells>
  <printOptions horizontalCentered="1"/>
  <pageMargins left="0.51181102362204722" right="0.51181102362204722" top="0.98425196850393704" bottom="0.78740157480314965" header="0.31496062992125984" footer="0.31496062992125984"/>
  <pageSetup paperSize="9" scale="70" fitToHeight="0" orientation="portrait" horizontalDpi="4294967293" verticalDpi="4294967293"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F7B3A5-359E-4844-8298-097F66CA13EB}">
  <sheetPr>
    <tabColor theme="9"/>
    <pageSetUpPr fitToPage="1"/>
  </sheetPr>
  <dimension ref="B1:I147"/>
  <sheetViews>
    <sheetView showGridLines="0" zoomScale="115" zoomScaleNormal="115" workbookViewId="0">
      <selection activeCell="H25" sqref="H25"/>
    </sheetView>
  </sheetViews>
  <sheetFormatPr defaultColWidth="9.140625" defaultRowHeight="12.75" x14ac:dyDescent="0.2"/>
  <cols>
    <col min="1" max="1" width="3.5703125" style="63" customWidth="1"/>
    <col min="2" max="2" width="8.28515625" style="63" customWidth="1"/>
    <col min="3" max="3" width="39.140625" style="63" customWidth="1"/>
    <col min="4" max="4" width="29.140625" style="63" customWidth="1"/>
    <col min="5" max="6" width="8.140625" style="63" customWidth="1"/>
    <col min="7" max="7" width="9.140625" style="63" customWidth="1"/>
    <col min="8" max="9" width="15.28515625" style="63" customWidth="1"/>
    <col min="10" max="16384" width="9.140625" style="63"/>
  </cols>
  <sheetData>
    <row r="1" spans="2:9" x14ac:dyDescent="0.2">
      <c r="C1" s="113"/>
      <c r="D1" s="11"/>
      <c r="E1" s="11"/>
      <c r="F1" s="11"/>
      <c r="G1" s="11"/>
      <c r="H1" s="11"/>
      <c r="I1" s="11"/>
    </row>
    <row r="2" spans="2:9" x14ac:dyDescent="0.2">
      <c r="B2" s="256" t="s">
        <v>49</v>
      </c>
      <c r="C2" s="256"/>
      <c r="D2" s="256"/>
      <c r="E2" s="256"/>
      <c r="F2" s="256"/>
      <c r="G2" s="256"/>
      <c r="H2" s="256"/>
      <c r="I2" s="99"/>
    </row>
    <row r="3" spans="2:9" x14ac:dyDescent="0.2">
      <c r="B3" s="257" t="s">
        <v>189</v>
      </c>
      <c r="C3" s="257"/>
      <c r="D3" s="257"/>
      <c r="E3" s="257"/>
      <c r="F3" s="257"/>
      <c r="G3" s="257"/>
      <c r="H3" s="257"/>
      <c r="I3" s="101"/>
    </row>
    <row r="4" spans="2:9" x14ac:dyDescent="0.2">
      <c r="B4" s="65"/>
      <c r="C4" s="65"/>
      <c r="D4" s="65"/>
      <c r="E4" s="65"/>
      <c r="F4" s="65"/>
      <c r="G4" s="65"/>
      <c r="H4" s="65"/>
      <c r="I4" s="65"/>
    </row>
    <row r="5" spans="2:9" x14ac:dyDescent="0.2">
      <c r="B5" s="65"/>
      <c r="C5" s="65"/>
      <c r="D5" s="65"/>
      <c r="E5" s="65"/>
      <c r="F5" s="65"/>
      <c r="G5" s="65"/>
      <c r="H5" s="65"/>
      <c r="I5" s="65"/>
    </row>
    <row r="6" spans="2:9" x14ac:dyDescent="0.2">
      <c r="B6" s="136" t="s">
        <v>127</v>
      </c>
      <c r="C6" s="136"/>
      <c r="D6" s="258" t="s">
        <v>205</v>
      </c>
      <c r="E6" s="259"/>
      <c r="F6" s="260"/>
      <c r="I6" s="12"/>
    </row>
    <row r="7" spans="2:9" x14ac:dyDescent="0.2">
      <c r="B7" s="65"/>
      <c r="C7" s="65"/>
      <c r="D7" s="65"/>
      <c r="E7" s="65"/>
      <c r="F7" s="65"/>
      <c r="G7" s="65"/>
      <c r="H7" s="65"/>
      <c r="I7" s="11"/>
    </row>
    <row r="8" spans="2:9" x14ac:dyDescent="0.2">
      <c r="B8" s="261" t="s">
        <v>50</v>
      </c>
      <c r="C8" s="261"/>
      <c r="D8" s="261"/>
      <c r="E8" s="261"/>
      <c r="F8" s="261"/>
      <c r="G8" s="137"/>
      <c r="H8" s="137"/>
      <c r="I8" s="64"/>
    </row>
    <row r="9" spans="2:9" x14ac:dyDescent="0.2">
      <c r="B9" s="252">
        <v>1</v>
      </c>
      <c r="C9" s="253" t="s">
        <v>51</v>
      </c>
      <c r="D9" s="253"/>
      <c r="E9" s="253"/>
      <c r="F9" s="253"/>
      <c r="G9" s="137"/>
      <c r="H9" s="137"/>
      <c r="I9" s="64"/>
    </row>
    <row r="10" spans="2:9" x14ac:dyDescent="0.2">
      <c r="B10" s="252"/>
      <c r="C10" s="254" t="s">
        <v>213</v>
      </c>
      <c r="D10" s="254"/>
      <c r="E10" s="254"/>
      <c r="F10" s="254"/>
      <c r="G10" s="137"/>
      <c r="H10" s="137"/>
      <c r="I10" s="64"/>
    </row>
    <row r="11" spans="2:9" x14ac:dyDescent="0.2">
      <c r="B11" s="252">
        <v>2</v>
      </c>
      <c r="C11" s="253" t="s">
        <v>52</v>
      </c>
      <c r="D11" s="253"/>
      <c r="E11" s="253"/>
      <c r="F11" s="253"/>
      <c r="G11" s="137"/>
      <c r="H11" s="137"/>
      <c r="I11" s="64"/>
    </row>
    <row r="12" spans="2:9" x14ac:dyDescent="0.2">
      <c r="B12" s="252"/>
      <c r="C12" s="254" t="s">
        <v>206</v>
      </c>
      <c r="D12" s="254"/>
      <c r="E12" s="254"/>
      <c r="F12" s="254"/>
      <c r="G12" s="137"/>
      <c r="H12" s="137"/>
      <c r="I12" s="64"/>
    </row>
    <row r="13" spans="2:9" x14ac:dyDescent="0.2">
      <c r="B13" s="252">
        <v>3</v>
      </c>
      <c r="C13" s="253" t="s">
        <v>53</v>
      </c>
      <c r="D13" s="253"/>
      <c r="E13" s="253"/>
      <c r="F13" s="253"/>
      <c r="G13" s="137"/>
      <c r="H13" s="137"/>
      <c r="I13" s="64"/>
    </row>
    <row r="14" spans="2:9" x14ac:dyDescent="0.2">
      <c r="B14" s="252"/>
      <c r="C14" s="255">
        <v>3060.01</v>
      </c>
      <c r="D14" s="255"/>
      <c r="E14" s="255"/>
      <c r="F14" s="255"/>
      <c r="G14" s="137"/>
      <c r="H14" s="137"/>
      <c r="I14" s="64"/>
    </row>
    <row r="15" spans="2:9" x14ac:dyDescent="0.2">
      <c r="B15" s="252">
        <v>4</v>
      </c>
      <c r="C15" s="253" t="s">
        <v>54</v>
      </c>
      <c r="D15" s="253"/>
      <c r="E15" s="253"/>
      <c r="F15" s="253"/>
      <c r="G15" s="137"/>
      <c r="H15" s="137"/>
      <c r="I15" s="64"/>
    </row>
    <row r="16" spans="2:9" x14ac:dyDescent="0.2">
      <c r="B16" s="252"/>
      <c r="C16" s="262">
        <v>45658</v>
      </c>
      <c r="D16" s="254"/>
      <c r="E16" s="254"/>
      <c r="F16" s="254"/>
      <c r="G16" s="137"/>
      <c r="H16" s="137"/>
      <c r="I16" s="64"/>
    </row>
    <row r="17" spans="2:9" x14ac:dyDescent="0.2">
      <c r="B17" s="252">
        <v>5</v>
      </c>
      <c r="C17" s="253" t="s">
        <v>55</v>
      </c>
      <c r="D17" s="253"/>
      <c r="E17" s="253"/>
      <c r="F17" s="253"/>
      <c r="G17" s="137"/>
      <c r="H17" s="137"/>
      <c r="I17" s="179"/>
    </row>
    <row r="18" spans="2:9" x14ac:dyDescent="0.2">
      <c r="B18" s="252"/>
      <c r="C18" s="254" t="s">
        <v>207</v>
      </c>
      <c r="D18" s="254"/>
      <c r="E18" s="254"/>
      <c r="F18" s="254"/>
      <c r="G18" s="137"/>
      <c r="H18" s="137"/>
      <c r="I18" s="64"/>
    </row>
    <row r="19" spans="2:9" x14ac:dyDescent="0.2">
      <c r="B19" s="252">
        <v>6</v>
      </c>
      <c r="C19" s="253" t="s">
        <v>56</v>
      </c>
      <c r="D19" s="253"/>
      <c r="E19" s="253"/>
      <c r="F19" s="253"/>
      <c r="G19" s="137"/>
      <c r="H19" s="137"/>
      <c r="I19" s="64"/>
    </row>
    <row r="20" spans="2:9" x14ac:dyDescent="0.2">
      <c r="B20" s="252"/>
      <c r="C20" s="254" t="s">
        <v>208</v>
      </c>
      <c r="D20" s="254"/>
      <c r="E20" s="254"/>
      <c r="F20" s="254"/>
      <c r="G20" s="137"/>
      <c r="H20" s="137"/>
      <c r="I20" s="64"/>
    </row>
    <row r="21" spans="2:9" x14ac:dyDescent="0.2">
      <c r="B21" s="66"/>
      <c r="C21" s="66"/>
      <c r="D21" s="66"/>
      <c r="E21" s="66"/>
      <c r="F21" s="66"/>
      <c r="G21" s="67"/>
      <c r="H21" s="67"/>
      <c r="I21" s="64"/>
    </row>
    <row r="22" spans="2:9" x14ac:dyDescent="0.2">
      <c r="B22" s="68"/>
      <c r="C22" s="68"/>
      <c r="D22" s="68"/>
      <c r="E22" s="68"/>
      <c r="F22" s="68"/>
      <c r="G22" s="68"/>
      <c r="H22" s="142" t="s">
        <v>195</v>
      </c>
    </row>
    <row r="23" spans="2:9" x14ac:dyDescent="0.2">
      <c r="B23" s="209" t="s">
        <v>63</v>
      </c>
      <c r="C23" s="210"/>
      <c r="D23" s="210"/>
      <c r="E23" s="210"/>
      <c r="F23" s="210"/>
      <c r="G23" s="140"/>
      <c r="H23" s="141"/>
      <c r="I23" s="100"/>
    </row>
    <row r="24" spans="2:9" x14ac:dyDescent="0.2">
      <c r="B24" s="95">
        <v>1</v>
      </c>
      <c r="C24" s="192" t="s">
        <v>57</v>
      </c>
      <c r="D24" s="193"/>
      <c r="E24" s="193"/>
      <c r="F24" s="194"/>
      <c r="G24" s="139" t="s">
        <v>1</v>
      </c>
      <c r="H24" s="139" t="s">
        <v>48</v>
      </c>
      <c r="I24" s="100"/>
    </row>
    <row r="25" spans="2:9" ht="12.75" customHeight="1" x14ac:dyDescent="0.2">
      <c r="B25" s="13" t="s">
        <v>4</v>
      </c>
      <c r="C25" s="93" t="s">
        <v>17</v>
      </c>
      <c r="D25" s="215"/>
      <c r="E25" s="216"/>
      <c r="F25" s="217"/>
      <c r="G25" s="14"/>
      <c r="H25" s="31">
        <v>3060.01</v>
      </c>
      <c r="I25" s="106"/>
    </row>
    <row r="26" spans="2:9" x14ac:dyDescent="0.2">
      <c r="B26" s="13" t="s">
        <v>5</v>
      </c>
      <c r="C26" s="93" t="s">
        <v>24</v>
      </c>
      <c r="D26" s="215" t="s">
        <v>128</v>
      </c>
      <c r="E26" s="216"/>
      <c r="F26" s="217"/>
      <c r="G26" s="32">
        <v>0.3</v>
      </c>
      <c r="H26" s="15">
        <f>TRUNC(H$25*$G26,2)</f>
        <v>918</v>
      </c>
      <c r="I26" s="102"/>
    </row>
    <row r="27" spans="2:9" x14ac:dyDescent="0.2">
      <c r="B27" s="13" t="s">
        <v>6</v>
      </c>
      <c r="C27" s="94" t="s">
        <v>25</v>
      </c>
      <c r="D27" s="166" t="s">
        <v>171</v>
      </c>
      <c r="E27" s="177" t="s">
        <v>197</v>
      </c>
      <c r="F27" s="176">
        <v>1518</v>
      </c>
      <c r="G27" s="32"/>
      <c r="H27" s="15">
        <f>TRUNC(F$27*$G27,2)</f>
        <v>0</v>
      </c>
      <c r="I27" s="102"/>
    </row>
    <row r="28" spans="2:9" x14ac:dyDescent="0.2">
      <c r="B28" s="13" t="s">
        <v>7</v>
      </c>
      <c r="C28" s="94" t="s">
        <v>0</v>
      </c>
      <c r="D28" s="215" t="s">
        <v>178</v>
      </c>
      <c r="E28" s="216"/>
      <c r="F28" s="217"/>
      <c r="G28" s="33"/>
      <c r="H28" s="72">
        <f>TRUNC(((H$25+H26)*$G28)/220*8*15,2)</f>
        <v>0</v>
      </c>
      <c r="I28" s="103"/>
    </row>
    <row r="29" spans="2:9" x14ac:dyDescent="0.2">
      <c r="B29" s="13" t="s">
        <v>8</v>
      </c>
      <c r="C29" s="94" t="s">
        <v>2</v>
      </c>
      <c r="D29" s="215"/>
      <c r="E29" s="216"/>
      <c r="F29" s="217"/>
      <c r="G29" s="33"/>
      <c r="H29" s="53"/>
      <c r="I29" s="104"/>
    </row>
    <row r="30" spans="2:9" x14ac:dyDescent="0.2">
      <c r="B30" s="13" t="s">
        <v>129</v>
      </c>
      <c r="C30" s="192" t="s">
        <v>58</v>
      </c>
      <c r="D30" s="193"/>
      <c r="E30" s="193"/>
      <c r="F30" s="194"/>
      <c r="G30" s="27"/>
      <c r="H30" s="16">
        <f>SUM(H25:H29)</f>
        <v>3978.01</v>
      </c>
      <c r="I30" s="17"/>
    </row>
    <row r="31" spans="2:9" ht="22.5" x14ac:dyDescent="0.2">
      <c r="B31" s="99"/>
      <c r="C31" s="245" t="s">
        <v>119</v>
      </c>
      <c r="D31" s="245"/>
      <c r="E31" s="245"/>
      <c r="F31" s="245"/>
      <c r="G31" s="56" t="s">
        <v>107</v>
      </c>
      <c r="H31" s="55" t="s">
        <v>123</v>
      </c>
      <c r="I31" s="2"/>
    </row>
    <row r="32" spans="2:9" x14ac:dyDescent="0.2">
      <c r="B32" s="99"/>
      <c r="C32" s="245"/>
      <c r="D32" s="245"/>
      <c r="E32" s="245"/>
      <c r="F32" s="245"/>
      <c r="G32" s="54"/>
      <c r="H32" s="34">
        <f>IF($G$32="",0,TRUNC((H25+H26+H27)/220,2))</f>
        <v>0</v>
      </c>
      <c r="I32" s="105"/>
    </row>
    <row r="33" spans="2:9" x14ac:dyDescent="0.2">
      <c r="B33" s="99"/>
      <c r="C33" s="99"/>
      <c r="D33" s="99"/>
      <c r="E33" s="99"/>
      <c r="F33" s="99"/>
      <c r="G33" s="99"/>
      <c r="H33" s="73"/>
      <c r="I33" s="17"/>
    </row>
    <row r="34" spans="2:9" ht="12.75" customHeight="1" x14ac:dyDescent="0.2">
      <c r="B34" s="209" t="s">
        <v>64</v>
      </c>
      <c r="C34" s="210"/>
      <c r="D34" s="210"/>
      <c r="E34" s="210"/>
      <c r="F34" s="210"/>
      <c r="G34" s="140"/>
      <c r="H34" s="141"/>
      <c r="I34" s="100"/>
    </row>
    <row r="35" spans="2:9" x14ac:dyDescent="0.2">
      <c r="B35" s="246"/>
      <c r="C35" s="247"/>
      <c r="D35" s="247"/>
      <c r="E35" s="247"/>
      <c r="F35" s="247"/>
      <c r="G35" s="62"/>
      <c r="H35" s="62"/>
      <c r="I35" s="100"/>
    </row>
    <row r="36" spans="2:9" x14ac:dyDescent="0.2">
      <c r="B36" s="248" t="s">
        <v>35</v>
      </c>
      <c r="C36" s="248"/>
      <c r="D36" s="248"/>
      <c r="E36" s="248"/>
      <c r="F36" s="248"/>
      <c r="G36" s="62"/>
      <c r="H36" s="62"/>
      <c r="I36" s="100"/>
    </row>
    <row r="37" spans="2:9" x14ac:dyDescent="0.2">
      <c r="B37" s="139" t="s">
        <v>37</v>
      </c>
      <c r="C37" s="249" t="s">
        <v>26</v>
      </c>
      <c r="D37" s="250"/>
      <c r="E37" s="250"/>
      <c r="F37" s="251"/>
      <c r="G37" s="95" t="s">
        <v>1</v>
      </c>
      <c r="H37" s="95" t="s">
        <v>48</v>
      </c>
      <c r="I37" s="100"/>
    </row>
    <row r="38" spans="2:9" x14ac:dyDescent="0.2">
      <c r="B38" s="13" t="s">
        <v>4</v>
      </c>
      <c r="C38" s="93" t="s">
        <v>109</v>
      </c>
      <c r="D38" s="215" t="s">
        <v>130</v>
      </c>
      <c r="E38" s="216"/>
      <c r="F38" s="217"/>
      <c r="G38" s="145">
        <f>1/12</f>
        <v>8.3333333333333329E-2</v>
      </c>
      <c r="H38" s="146">
        <f>TRUNC((H$30*$G38),2)</f>
        <v>331.5</v>
      </c>
      <c r="I38" s="106"/>
    </row>
    <row r="39" spans="2:9" x14ac:dyDescent="0.2">
      <c r="B39" s="13" t="s">
        <v>5</v>
      </c>
      <c r="C39" s="93" t="s">
        <v>62</v>
      </c>
      <c r="D39" s="215" t="s">
        <v>132</v>
      </c>
      <c r="E39" s="216"/>
      <c r="F39" s="217"/>
      <c r="G39" s="18">
        <f>(1/12)+(1/3/12)</f>
        <v>0.1111111111111111</v>
      </c>
      <c r="H39" s="19">
        <f>TRUNC((H$30*$G39),2)</f>
        <v>442</v>
      </c>
      <c r="I39" s="106"/>
    </row>
    <row r="40" spans="2:9" x14ac:dyDescent="0.2">
      <c r="B40" s="13" t="s">
        <v>131</v>
      </c>
      <c r="C40" s="192" t="s">
        <v>58</v>
      </c>
      <c r="D40" s="193"/>
      <c r="E40" s="193"/>
      <c r="F40" s="194"/>
      <c r="G40" s="20">
        <f>TRUNC(SUM(G38:G39),4)</f>
        <v>0.19439999999999999</v>
      </c>
      <c r="H40" s="16">
        <f>SUM(H38:H39)</f>
        <v>773.5</v>
      </c>
      <c r="I40" s="17"/>
    </row>
    <row r="41" spans="2:9" x14ac:dyDescent="0.2">
      <c r="B41" s="235"/>
      <c r="C41" s="228"/>
      <c r="D41" s="228"/>
      <c r="E41" s="228"/>
      <c r="F41" s="228"/>
      <c r="G41" s="228"/>
      <c r="H41" s="236"/>
      <c r="I41" s="99"/>
    </row>
    <row r="42" spans="2:9" ht="30" customHeight="1" x14ac:dyDescent="0.2">
      <c r="B42" s="232" t="s">
        <v>65</v>
      </c>
      <c r="C42" s="233"/>
      <c r="D42" s="233"/>
      <c r="E42" s="233"/>
      <c r="F42" s="234"/>
      <c r="G42" s="143"/>
      <c r="H42" s="144"/>
      <c r="I42" s="107"/>
    </row>
    <row r="43" spans="2:9" x14ac:dyDescent="0.2">
      <c r="B43" s="95" t="s">
        <v>38</v>
      </c>
      <c r="C43" s="192" t="s">
        <v>66</v>
      </c>
      <c r="D43" s="193"/>
      <c r="E43" s="193"/>
      <c r="F43" s="194"/>
      <c r="G43" s="95" t="s">
        <v>1</v>
      </c>
      <c r="H43" s="95" t="s">
        <v>48</v>
      </c>
      <c r="I43" s="100"/>
    </row>
    <row r="44" spans="2:9" x14ac:dyDescent="0.2">
      <c r="B44" s="13" t="s">
        <v>4</v>
      </c>
      <c r="C44" s="93" t="s">
        <v>29</v>
      </c>
      <c r="D44" s="215" t="s">
        <v>133</v>
      </c>
      <c r="E44" s="216"/>
      <c r="F44" s="217"/>
      <c r="G44" s="18">
        <v>0.2</v>
      </c>
      <c r="H44" s="19">
        <f>TRUNC((H$30+H$40)*$G44,2)</f>
        <v>950.3</v>
      </c>
      <c r="I44" s="106"/>
    </row>
    <row r="45" spans="2:9" x14ac:dyDescent="0.2">
      <c r="B45" s="13" t="s">
        <v>5</v>
      </c>
      <c r="C45" s="81" t="s">
        <v>30</v>
      </c>
      <c r="D45" s="215" t="s">
        <v>134</v>
      </c>
      <c r="E45" s="216"/>
      <c r="F45" s="217"/>
      <c r="G45" s="18">
        <v>2.5000000000000001E-2</v>
      </c>
      <c r="H45" s="19">
        <f>TRUNC((H$30+H$40)*$G45,2)</f>
        <v>118.78</v>
      </c>
      <c r="I45" s="106"/>
    </row>
    <row r="46" spans="2:9" x14ac:dyDescent="0.2">
      <c r="B46" s="237" t="s">
        <v>6</v>
      </c>
      <c r="C46" s="239" t="s">
        <v>101</v>
      </c>
      <c r="D46" s="241" t="s">
        <v>140</v>
      </c>
      <c r="E46" s="8" t="s">
        <v>102</v>
      </c>
      <c r="F46" s="8" t="s">
        <v>100</v>
      </c>
      <c r="G46" s="242">
        <f>E47*F47</f>
        <v>0.06</v>
      </c>
      <c r="H46" s="244">
        <f>TRUNC((H$30+H$40)*$G46,2)</f>
        <v>285.08999999999997</v>
      </c>
      <c r="I46" s="109"/>
    </row>
    <row r="47" spans="2:9" x14ac:dyDescent="0.2">
      <c r="B47" s="238"/>
      <c r="C47" s="240"/>
      <c r="D47" s="241"/>
      <c r="E47" s="35">
        <v>0.03</v>
      </c>
      <c r="F47" s="36">
        <v>2</v>
      </c>
      <c r="G47" s="243"/>
      <c r="H47" s="244"/>
      <c r="I47" s="109"/>
    </row>
    <row r="48" spans="2:9" x14ac:dyDescent="0.2">
      <c r="B48" s="13" t="s">
        <v>7</v>
      </c>
      <c r="C48" s="93" t="s">
        <v>28</v>
      </c>
      <c r="D48" s="215" t="s">
        <v>135</v>
      </c>
      <c r="E48" s="216"/>
      <c r="F48" s="217"/>
      <c r="G48" s="18">
        <v>1.4999999999999999E-2</v>
      </c>
      <c r="H48" s="19">
        <f>TRUNC((H$30+H$40)*$G48,2)</f>
        <v>71.27</v>
      </c>
      <c r="I48" s="106"/>
    </row>
    <row r="49" spans="2:9" x14ac:dyDescent="0.2">
      <c r="B49" s="13" t="s">
        <v>8</v>
      </c>
      <c r="C49" s="93" t="s">
        <v>31</v>
      </c>
      <c r="D49" s="215" t="s">
        <v>136</v>
      </c>
      <c r="E49" s="216"/>
      <c r="F49" s="217"/>
      <c r="G49" s="18">
        <v>0.01</v>
      </c>
      <c r="H49" s="19">
        <f>TRUNC((H$30+H$40)*$G49,2)</f>
        <v>47.51</v>
      </c>
      <c r="I49" s="106"/>
    </row>
    <row r="50" spans="2:9" x14ac:dyDescent="0.2">
      <c r="B50" s="13" t="s">
        <v>9</v>
      </c>
      <c r="C50" s="93" t="s">
        <v>32</v>
      </c>
      <c r="D50" s="215" t="s">
        <v>137</v>
      </c>
      <c r="E50" s="216"/>
      <c r="F50" s="217"/>
      <c r="G50" s="18">
        <v>6.0000000000000001E-3</v>
      </c>
      <c r="H50" s="19">
        <f>TRUNC((H$30+H$40)*$G50,2)</f>
        <v>28.5</v>
      </c>
      <c r="I50" s="106"/>
    </row>
    <row r="51" spans="2:9" x14ac:dyDescent="0.2">
      <c r="B51" s="13" t="s">
        <v>10</v>
      </c>
      <c r="C51" s="93" t="s">
        <v>33</v>
      </c>
      <c r="D51" s="215" t="s">
        <v>138</v>
      </c>
      <c r="E51" s="216"/>
      <c r="F51" s="217"/>
      <c r="G51" s="18">
        <v>2E-3</v>
      </c>
      <c r="H51" s="19">
        <f>TRUNC((H$30+H$40)*$G51,2)</f>
        <v>9.5</v>
      </c>
      <c r="I51" s="106"/>
    </row>
    <row r="52" spans="2:9" x14ac:dyDescent="0.2">
      <c r="B52" s="13" t="s">
        <v>11</v>
      </c>
      <c r="C52" s="93" t="s">
        <v>34</v>
      </c>
      <c r="D52" s="215" t="s">
        <v>139</v>
      </c>
      <c r="E52" s="216"/>
      <c r="F52" s="217"/>
      <c r="G52" s="18">
        <v>0.08</v>
      </c>
      <c r="H52" s="19">
        <f>TRUNC((H$30+H$40)*$G52,2)</f>
        <v>380.12</v>
      </c>
      <c r="I52" s="106"/>
    </row>
    <row r="53" spans="2:9" x14ac:dyDescent="0.2">
      <c r="B53" s="13" t="s">
        <v>141</v>
      </c>
      <c r="C53" s="192" t="s">
        <v>58</v>
      </c>
      <c r="D53" s="193"/>
      <c r="E53" s="193"/>
      <c r="F53" s="194"/>
      <c r="G53" s="21">
        <f>SUM(G44:G52)</f>
        <v>0.39800000000000008</v>
      </c>
      <c r="H53" s="16">
        <f>SUM(H44:H52)</f>
        <v>1891.0699999999997</v>
      </c>
      <c r="I53" s="17"/>
    </row>
    <row r="54" spans="2:9" x14ac:dyDescent="0.2">
      <c r="B54" s="229"/>
      <c r="C54" s="230"/>
      <c r="D54" s="230"/>
      <c r="E54" s="230"/>
      <c r="F54" s="230"/>
      <c r="G54" s="230"/>
      <c r="H54" s="231"/>
      <c r="I54" s="118"/>
    </row>
    <row r="55" spans="2:9" ht="12.75" customHeight="1" x14ac:dyDescent="0.2">
      <c r="B55" s="232" t="s">
        <v>36</v>
      </c>
      <c r="C55" s="233"/>
      <c r="D55" s="233"/>
      <c r="E55" s="233"/>
      <c r="F55" s="234"/>
      <c r="G55" s="143"/>
      <c r="H55" s="144"/>
      <c r="I55" s="118"/>
    </row>
    <row r="56" spans="2:9" x14ac:dyDescent="0.2">
      <c r="B56" s="95" t="s">
        <v>39</v>
      </c>
      <c r="C56" s="192" t="s">
        <v>40</v>
      </c>
      <c r="D56" s="193"/>
      <c r="E56" s="193"/>
      <c r="F56" s="193"/>
      <c r="G56" s="82"/>
      <c r="H56" s="95" t="s">
        <v>48</v>
      </c>
      <c r="I56" s="100"/>
    </row>
    <row r="57" spans="2:9" ht="12.75" customHeight="1" x14ac:dyDescent="0.2">
      <c r="B57" s="13" t="s">
        <v>4</v>
      </c>
      <c r="C57" s="93" t="s">
        <v>46</v>
      </c>
      <c r="D57" s="166" t="s">
        <v>144</v>
      </c>
      <c r="E57" s="167"/>
      <c r="F57" s="167"/>
      <c r="G57" s="168"/>
      <c r="H57" s="37">
        <f>IF((TRUNC((8.55*2*22)-(H$25*6%),2))&lt;0,"0,00",(TRUNC((8.55*2*22)-(H$25*6%),2)))</f>
        <v>192.59</v>
      </c>
      <c r="I57" s="119"/>
    </row>
    <row r="58" spans="2:9" ht="12.75" customHeight="1" x14ac:dyDescent="0.2">
      <c r="B58" s="13" t="s">
        <v>5</v>
      </c>
      <c r="C58" s="93" t="s">
        <v>47</v>
      </c>
      <c r="D58" s="166" t="s">
        <v>145</v>
      </c>
      <c r="E58" s="167"/>
      <c r="F58" s="167"/>
      <c r="G58" s="168"/>
      <c r="H58" s="37">
        <f>(37.85*22)*80%</f>
        <v>666.16000000000008</v>
      </c>
      <c r="I58" s="119"/>
    </row>
    <row r="59" spans="2:9" x14ac:dyDescent="0.2">
      <c r="B59" s="13" t="s">
        <v>6</v>
      </c>
      <c r="C59" s="93" t="s">
        <v>234</v>
      </c>
      <c r="D59" s="166"/>
      <c r="E59" s="167"/>
      <c r="F59" s="167"/>
      <c r="G59" s="168"/>
      <c r="H59" s="37">
        <v>14.02</v>
      </c>
      <c r="I59" s="119"/>
    </row>
    <row r="60" spans="2:9" x14ac:dyDescent="0.2">
      <c r="B60" s="13" t="s">
        <v>7</v>
      </c>
      <c r="C60" s="93" t="s">
        <v>209</v>
      </c>
      <c r="D60" s="166"/>
      <c r="E60" s="167"/>
      <c r="F60" s="167"/>
      <c r="G60" s="168"/>
      <c r="H60" s="37">
        <v>274.86</v>
      </c>
      <c r="I60" s="119"/>
    </row>
    <row r="61" spans="2:9" s="74" customFormat="1" x14ac:dyDescent="0.2">
      <c r="B61" s="13" t="s">
        <v>8</v>
      </c>
      <c r="C61" s="93" t="s">
        <v>233</v>
      </c>
      <c r="D61" s="166"/>
      <c r="E61" s="167"/>
      <c r="F61" s="167"/>
      <c r="G61" s="168"/>
      <c r="H61" s="37">
        <v>31.07</v>
      </c>
      <c r="I61" s="119"/>
    </row>
    <row r="62" spans="2:9" x14ac:dyDescent="0.2">
      <c r="B62" s="13" t="s">
        <v>142</v>
      </c>
      <c r="C62" s="192" t="s">
        <v>58</v>
      </c>
      <c r="D62" s="193"/>
      <c r="E62" s="193"/>
      <c r="F62" s="193"/>
      <c r="G62" s="82"/>
      <c r="H62" s="16">
        <f>SUM(H57:H61)</f>
        <v>1178.7</v>
      </c>
      <c r="I62" s="17"/>
    </row>
    <row r="63" spans="2:9" x14ac:dyDescent="0.2">
      <c r="B63" s="235"/>
      <c r="C63" s="228"/>
      <c r="D63" s="228"/>
      <c r="E63" s="228"/>
      <c r="F63" s="228"/>
      <c r="G63" s="228"/>
      <c r="H63" s="236"/>
      <c r="I63" s="99"/>
    </row>
    <row r="64" spans="2:9" x14ac:dyDescent="0.2">
      <c r="B64" s="222" t="s">
        <v>68</v>
      </c>
      <c r="C64" s="223"/>
      <c r="D64" s="223"/>
      <c r="E64" s="223"/>
      <c r="F64" s="223"/>
      <c r="G64" s="147"/>
      <c r="H64" s="147"/>
      <c r="I64" s="99"/>
    </row>
    <row r="65" spans="2:9" x14ac:dyDescent="0.2">
      <c r="B65" s="95">
        <v>2</v>
      </c>
      <c r="C65" s="192" t="s">
        <v>67</v>
      </c>
      <c r="D65" s="193"/>
      <c r="E65" s="193"/>
      <c r="F65" s="193"/>
      <c r="G65" s="82"/>
      <c r="H65" s="95" t="s">
        <v>48</v>
      </c>
      <c r="I65" s="100"/>
    </row>
    <row r="66" spans="2:9" x14ac:dyDescent="0.2">
      <c r="B66" s="13" t="s">
        <v>37</v>
      </c>
      <c r="C66" s="83" t="s">
        <v>26</v>
      </c>
      <c r="D66" s="166" t="s">
        <v>131</v>
      </c>
      <c r="E66" s="167"/>
      <c r="F66" s="167"/>
      <c r="G66" s="168"/>
      <c r="H66" s="19">
        <f>H40</f>
        <v>773.5</v>
      </c>
      <c r="I66" s="106"/>
    </row>
    <row r="67" spans="2:9" x14ac:dyDescent="0.2">
      <c r="B67" s="13" t="s">
        <v>38</v>
      </c>
      <c r="C67" s="83" t="s">
        <v>27</v>
      </c>
      <c r="D67" s="166" t="s">
        <v>141</v>
      </c>
      <c r="E67" s="167"/>
      <c r="F67" s="167"/>
      <c r="G67" s="168"/>
      <c r="H67" s="19">
        <f>H53</f>
        <v>1891.0699999999997</v>
      </c>
      <c r="I67" s="106"/>
    </row>
    <row r="68" spans="2:9" x14ac:dyDescent="0.2">
      <c r="B68" s="13" t="s">
        <v>39</v>
      </c>
      <c r="C68" s="83" t="s">
        <v>40</v>
      </c>
      <c r="D68" s="166" t="s">
        <v>142</v>
      </c>
      <c r="E68" s="167"/>
      <c r="F68" s="167"/>
      <c r="G68" s="168"/>
      <c r="H68" s="19">
        <f>H62</f>
        <v>1178.7</v>
      </c>
      <c r="I68" s="106"/>
    </row>
    <row r="69" spans="2:9" x14ac:dyDescent="0.2">
      <c r="B69" s="13" t="s">
        <v>143</v>
      </c>
      <c r="C69" s="192" t="s">
        <v>58</v>
      </c>
      <c r="D69" s="193"/>
      <c r="E69" s="193"/>
      <c r="F69" s="193"/>
      <c r="G69" s="82"/>
      <c r="H69" s="16">
        <f>SUM(H66:H68)</f>
        <v>3843.2699999999995</v>
      </c>
      <c r="I69" s="17"/>
    </row>
    <row r="70" spans="2:9" x14ac:dyDescent="0.2">
      <c r="B70" s="228"/>
      <c r="C70" s="228"/>
      <c r="D70" s="228"/>
      <c r="E70" s="228"/>
      <c r="F70" s="228"/>
      <c r="G70" s="228"/>
      <c r="H70" s="228"/>
      <c r="I70" s="100"/>
    </row>
    <row r="71" spans="2:9" x14ac:dyDescent="0.2">
      <c r="B71" s="99"/>
      <c r="C71" s="99"/>
      <c r="D71" s="99"/>
      <c r="E71" s="99"/>
      <c r="F71" s="99"/>
      <c r="G71" s="99"/>
      <c r="H71" s="99"/>
      <c r="I71" s="100"/>
    </row>
    <row r="72" spans="2:9" x14ac:dyDescent="0.2">
      <c r="B72" s="209" t="s">
        <v>69</v>
      </c>
      <c r="C72" s="210"/>
      <c r="D72" s="210"/>
      <c r="E72" s="210"/>
      <c r="F72" s="218"/>
      <c r="G72" s="140"/>
      <c r="H72" s="141"/>
      <c r="I72" s="100"/>
    </row>
    <row r="73" spans="2:9" x14ac:dyDescent="0.2">
      <c r="B73" s="95">
        <v>3</v>
      </c>
      <c r="C73" s="192" t="s">
        <v>59</v>
      </c>
      <c r="D73" s="193"/>
      <c r="E73" s="193"/>
      <c r="F73" s="194"/>
      <c r="G73" s="95" t="s">
        <v>1</v>
      </c>
      <c r="H73" s="95" t="s">
        <v>48</v>
      </c>
      <c r="I73" s="100"/>
    </row>
    <row r="74" spans="2:9" x14ac:dyDescent="0.2">
      <c r="B74" s="13" t="s">
        <v>4</v>
      </c>
      <c r="C74" s="84" t="s">
        <v>95</v>
      </c>
      <c r="D74" s="166" t="s">
        <v>160</v>
      </c>
      <c r="E74" s="167"/>
      <c r="F74" s="168"/>
      <c r="G74" s="38">
        <v>1</v>
      </c>
      <c r="H74" s="22">
        <f>TRUNC((H$75+H$76)*$G74,2)</f>
        <v>661.85</v>
      </c>
      <c r="I74" s="17"/>
    </row>
    <row r="75" spans="2:9" x14ac:dyDescent="0.2">
      <c r="B75" s="13" t="s">
        <v>5</v>
      </c>
      <c r="C75" s="93" t="s">
        <v>96</v>
      </c>
      <c r="D75" s="166" t="s">
        <v>179</v>
      </c>
      <c r="E75" s="167"/>
      <c r="F75" s="168"/>
      <c r="G75" s="23"/>
      <c r="H75" s="19">
        <f>TRUNC((H$30+H$40+H$52+H$62-H57)/12,2)</f>
        <v>509.81</v>
      </c>
      <c r="I75" s="106"/>
    </row>
    <row r="76" spans="2:9" x14ac:dyDescent="0.2">
      <c r="B76" s="13" t="s">
        <v>6</v>
      </c>
      <c r="C76" s="93" t="s">
        <v>97</v>
      </c>
      <c r="D76" s="215" t="s">
        <v>172</v>
      </c>
      <c r="E76" s="217"/>
      <c r="F76" s="40">
        <v>0.4</v>
      </c>
      <c r="G76" s="23"/>
      <c r="H76" s="19">
        <f>TRUNC(H$52*$F76,2)</f>
        <v>152.04</v>
      </c>
      <c r="I76" s="106"/>
    </row>
    <row r="77" spans="2:9" x14ac:dyDescent="0.2">
      <c r="B77" s="13" t="s">
        <v>7</v>
      </c>
      <c r="C77" s="84" t="s">
        <v>98</v>
      </c>
      <c r="D77" s="166" t="s">
        <v>161</v>
      </c>
      <c r="E77" s="167"/>
      <c r="F77" s="168"/>
      <c r="G77" s="38">
        <v>1</v>
      </c>
      <c r="H77" s="87">
        <f>IF($G77&gt;=1,(TRUNC(H$78*$G77,2)),"ERRO")</f>
        <v>152.04</v>
      </c>
      <c r="I77" s="108"/>
    </row>
    <row r="78" spans="2:9" x14ac:dyDescent="0.2">
      <c r="B78" s="13" t="s">
        <v>8</v>
      </c>
      <c r="C78" s="93" t="s">
        <v>99</v>
      </c>
      <c r="D78" s="215" t="s">
        <v>172</v>
      </c>
      <c r="E78" s="217"/>
      <c r="F78" s="40">
        <v>0.4</v>
      </c>
      <c r="G78" s="23"/>
      <c r="H78" s="19">
        <f>TRUNC(H$52*$F78,2)</f>
        <v>152.04</v>
      </c>
      <c r="I78" s="106"/>
    </row>
    <row r="79" spans="2:9" x14ac:dyDescent="0.2">
      <c r="B79" s="13" t="s">
        <v>9</v>
      </c>
      <c r="C79" s="84" t="s">
        <v>177</v>
      </c>
      <c r="D79" s="224" t="s">
        <v>196</v>
      </c>
      <c r="E79" s="225"/>
      <c r="F79" s="39">
        <v>12</v>
      </c>
      <c r="G79" s="39">
        <v>3</v>
      </c>
      <c r="H79" s="19">
        <f>TRUNC(((H$30+H$40+H$53)/30)*$G79/$F79,2)</f>
        <v>55.35</v>
      </c>
      <c r="I79" s="106"/>
    </row>
    <row r="80" spans="2:9" x14ac:dyDescent="0.2">
      <c r="B80" s="13" t="s">
        <v>147</v>
      </c>
      <c r="C80" s="192" t="s">
        <v>58</v>
      </c>
      <c r="D80" s="193"/>
      <c r="E80" s="193"/>
      <c r="F80" s="193"/>
      <c r="G80" s="82"/>
      <c r="H80" s="16">
        <f>H$74+H$77+H$79</f>
        <v>869.24</v>
      </c>
      <c r="I80" s="17"/>
    </row>
    <row r="81" spans="2:9" x14ac:dyDescent="0.2">
      <c r="B81" s="96"/>
      <c r="C81" s="96"/>
      <c r="D81" s="96"/>
      <c r="E81" s="96"/>
      <c r="F81" s="96"/>
      <c r="G81" s="96"/>
      <c r="H81" s="96"/>
      <c r="I81" s="96"/>
    </row>
    <row r="82" spans="2:9" x14ac:dyDescent="0.2">
      <c r="B82" s="99"/>
      <c r="C82" s="99"/>
      <c r="D82" s="99"/>
      <c r="E82" s="99"/>
      <c r="F82" s="99"/>
      <c r="G82" s="99"/>
      <c r="H82" s="99"/>
      <c r="I82" s="100"/>
    </row>
    <row r="83" spans="2:9" x14ac:dyDescent="0.2">
      <c r="B83" s="209" t="s">
        <v>70</v>
      </c>
      <c r="C83" s="210"/>
      <c r="D83" s="210"/>
      <c r="E83" s="210"/>
      <c r="F83" s="218"/>
      <c r="G83" s="140"/>
      <c r="H83" s="141"/>
      <c r="I83" s="100"/>
    </row>
    <row r="84" spans="2:9" x14ac:dyDescent="0.2">
      <c r="B84" s="226" t="s">
        <v>88</v>
      </c>
      <c r="C84" s="227"/>
      <c r="D84" s="227"/>
      <c r="E84" s="227"/>
      <c r="F84" s="227"/>
      <c r="G84" s="148"/>
      <c r="H84" s="149"/>
      <c r="I84" s="100"/>
    </row>
    <row r="85" spans="2:9" x14ac:dyDescent="0.2">
      <c r="B85" s="95" t="s">
        <v>14</v>
      </c>
      <c r="C85" s="192" t="s">
        <v>89</v>
      </c>
      <c r="D85" s="193"/>
      <c r="E85" s="193"/>
      <c r="F85" s="194"/>
      <c r="G85" s="95" t="s">
        <v>103</v>
      </c>
      <c r="H85" s="95" t="s">
        <v>48</v>
      </c>
      <c r="I85" s="100"/>
    </row>
    <row r="86" spans="2:9" x14ac:dyDescent="0.2">
      <c r="B86" s="13" t="s">
        <v>4</v>
      </c>
      <c r="C86" s="93" t="s">
        <v>108</v>
      </c>
      <c r="D86" s="166" t="s">
        <v>153</v>
      </c>
      <c r="E86" s="167"/>
      <c r="F86" s="168"/>
      <c r="G86" s="39">
        <v>30</v>
      </c>
      <c r="H86" s="19">
        <f>TRUNC((H$88*$G86)/12,2)</f>
        <v>724.2</v>
      </c>
      <c r="I86" s="106"/>
    </row>
    <row r="87" spans="2:9" ht="22.5" x14ac:dyDescent="0.2">
      <c r="B87" s="13" t="s">
        <v>5</v>
      </c>
      <c r="C87" s="85" t="s">
        <v>159</v>
      </c>
      <c r="D87" s="169" t="s">
        <v>162</v>
      </c>
      <c r="E87" s="170"/>
      <c r="F87" s="171"/>
      <c r="G87" s="61">
        <v>8</v>
      </c>
      <c r="H87" s="19">
        <f>TRUNC((H$88*$G87)/12,2)</f>
        <v>193.12</v>
      </c>
      <c r="I87" s="106"/>
    </row>
    <row r="88" spans="2:9" x14ac:dyDescent="0.2">
      <c r="B88" s="13" t="s">
        <v>6</v>
      </c>
      <c r="C88" s="93" t="s">
        <v>110</v>
      </c>
      <c r="D88" s="166" t="s">
        <v>146</v>
      </c>
      <c r="E88" s="167"/>
      <c r="F88" s="167"/>
      <c r="G88" s="168"/>
      <c r="H88" s="19">
        <f>TRUNC((H$30+H$69+H$80)/30,2)</f>
        <v>289.68</v>
      </c>
      <c r="I88" s="106"/>
    </row>
    <row r="89" spans="2:9" x14ac:dyDescent="0.2">
      <c r="B89" s="13" t="s">
        <v>148</v>
      </c>
      <c r="C89" s="192" t="s">
        <v>58</v>
      </c>
      <c r="D89" s="193"/>
      <c r="E89" s="193"/>
      <c r="F89" s="193"/>
      <c r="G89" s="82"/>
      <c r="H89" s="16">
        <f>TRUNC(H$86+H$87,2)</f>
        <v>917.32</v>
      </c>
      <c r="I89" s="17"/>
    </row>
    <row r="90" spans="2:9" x14ac:dyDescent="0.2">
      <c r="B90" s="75"/>
      <c r="C90" s="76"/>
      <c r="D90" s="76"/>
      <c r="E90" s="76"/>
      <c r="F90" s="76"/>
      <c r="G90" s="76"/>
      <c r="H90" s="77"/>
      <c r="I90" s="24"/>
    </row>
    <row r="91" spans="2:9" x14ac:dyDescent="0.2">
      <c r="B91" s="222" t="s">
        <v>90</v>
      </c>
      <c r="C91" s="223"/>
      <c r="D91" s="223"/>
      <c r="E91" s="223"/>
      <c r="F91" s="223"/>
      <c r="G91" s="150"/>
      <c r="H91" s="151"/>
      <c r="I91" s="100"/>
    </row>
    <row r="92" spans="2:9" x14ac:dyDescent="0.2">
      <c r="B92" s="95" t="s">
        <v>15</v>
      </c>
      <c r="C92" s="192" t="s">
        <v>91</v>
      </c>
      <c r="D92" s="193"/>
      <c r="E92" s="193"/>
      <c r="F92" s="194"/>
      <c r="G92" s="95" t="s">
        <v>103</v>
      </c>
      <c r="H92" s="95" t="s">
        <v>48</v>
      </c>
      <c r="I92" s="100"/>
    </row>
    <row r="93" spans="2:9" ht="22.5" x14ac:dyDescent="0.2">
      <c r="B93" s="13" t="s">
        <v>4</v>
      </c>
      <c r="C93" s="85" t="s">
        <v>92</v>
      </c>
      <c r="D93" s="166" t="s">
        <v>181</v>
      </c>
      <c r="E93" s="167"/>
      <c r="F93" s="167"/>
      <c r="G93" s="39"/>
      <c r="H93" s="19">
        <f>TRUNC(((H$30+H69+H80)/220)*(1+50%)*G93,2)</f>
        <v>0</v>
      </c>
      <c r="I93" s="106"/>
    </row>
    <row r="94" spans="2:9" x14ac:dyDescent="0.2">
      <c r="B94" s="13" t="s">
        <v>149</v>
      </c>
      <c r="C94" s="192" t="s">
        <v>58</v>
      </c>
      <c r="D94" s="193"/>
      <c r="E94" s="193"/>
      <c r="F94" s="193"/>
      <c r="G94" s="125"/>
      <c r="H94" s="16">
        <f>H93</f>
        <v>0</v>
      </c>
      <c r="I94" s="106"/>
    </row>
    <row r="95" spans="2:9" x14ac:dyDescent="0.2">
      <c r="B95" s="98"/>
      <c r="C95" s="97"/>
      <c r="D95" s="97"/>
      <c r="E95" s="97"/>
      <c r="F95" s="97"/>
      <c r="G95" s="99"/>
      <c r="H95" s="165"/>
      <c r="I95" s="122"/>
    </row>
    <row r="96" spans="2:9" x14ac:dyDescent="0.2">
      <c r="B96" s="222" t="s">
        <v>71</v>
      </c>
      <c r="C96" s="223"/>
      <c r="D96" s="223"/>
      <c r="E96" s="223"/>
      <c r="F96" s="223"/>
      <c r="G96" s="150"/>
      <c r="H96" s="151"/>
      <c r="I96" s="100"/>
    </row>
    <row r="97" spans="2:9" x14ac:dyDescent="0.2">
      <c r="B97" s="95">
        <v>4</v>
      </c>
      <c r="C97" s="192" t="s">
        <v>72</v>
      </c>
      <c r="D97" s="193"/>
      <c r="E97" s="193"/>
      <c r="F97" s="193"/>
      <c r="G97" s="194"/>
      <c r="H97" s="95" t="s">
        <v>48</v>
      </c>
      <c r="I97" s="100"/>
    </row>
    <row r="98" spans="2:9" x14ac:dyDescent="0.2">
      <c r="B98" s="13" t="s">
        <v>14</v>
      </c>
      <c r="C98" s="93" t="s">
        <v>41</v>
      </c>
      <c r="D98" s="166" t="s">
        <v>148</v>
      </c>
      <c r="E98" s="167"/>
      <c r="F98" s="167"/>
      <c r="G98" s="168"/>
      <c r="H98" s="19">
        <f>H89</f>
        <v>917.32</v>
      </c>
      <c r="I98" s="106"/>
    </row>
    <row r="99" spans="2:9" x14ac:dyDescent="0.2">
      <c r="B99" s="13" t="s">
        <v>15</v>
      </c>
      <c r="C99" s="93" t="s">
        <v>43</v>
      </c>
      <c r="D99" s="166" t="s">
        <v>149</v>
      </c>
      <c r="E99" s="167"/>
      <c r="F99" s="167"/>
      <c r="G99" s="168"/>
      <c r="H99" s="19">
        <f>H94</f>
        <v>0</v>
      </c>
      <c r="I99" s="106"/>
    </row>
    <row r="100" spans="2:9" x14ac:dyDescent="0.2">
      <c r="B100" s="13" t="s">
        <v>150</v>
      </c>
      <c r="C100" s="192" t="s">
        <v>58</v>
      </c>
      <c r="D100" s="193"/>
      <c r="E100" s="193"/>
      <c r="F100" s="193"/>
      <c r="G100" s="82"/>
      <c r="H100" s="16">
        <f>SUM(H98:H99)</f>
        <v>917.32</v>
      </c>
      <c r="I100" s="17"/>
    </row>
    <row r="101" spans="2:9" x14ac:dyDescent="0.2">
      <c r="B101" s="99"/>
      <c r="C101" s="99"/>
      <c r="D101" s="99"/>
      <c r="E101" s="99"/>
      <c r="F101" s="99"/>
      <c r="G101" s="99"/>
      <c r="H101" s="99"/>
      <c r="I101" s="100"/>
    </row>
    <row r="102" spans="2:9" x14ac:dyDescent="0.2">
      <c r="B102" s="99"/>
      <c r="C102" s="99"/>
      <c r="D102" s="99"/>
      <c r="E102" s="99"/>
      <c r="F102" s="99"/>
      <c r="G102" s="99"/>
      <c r="H102" s="99"/>
      <c r="I102" s="100"/>
    </row>
    <row r="103" spans="2:9" x14ac:dyDescent="0.2">
      <c r="B103" s="209" t="s">
        <v>73</v>
      </c>
      <c r="C103" s="210"/>
      <c r="D103" s="210"/>
      <c r="E103" s="210"/>
      <c r="F103" s="218"/>
      <c r="G103" s="140"/>
      <c r="H103" s="141"/>
      <c r="I103" s="100"/>
    </row>
    <row r="104" spans="2:9" x14ac:dyDescent="0.2">
      <c r="B104" s="95">
        <v>5</v>
      </c>
      <c r="C104" s="219" t="s">
        <v>60</v>
      </c>
      <c r="D104" s="220"/>
      <c r="E104" s="220"/>
      <c r="F104" s="220"/>
      <c r="G104" s="221"/>
      <c r="H104" s="95" t="s">
        <v>48</v>
      </c>
      <c r="I104" s="100"/>
    </row>
    <row r="105" spans="2:9" x14ac:dyDescent="0.2">
      <c r="B105" s="13" t="s">
        <v>4</v>
      </c>
      <c r="C105" s="69" t="s">
        <v>44</v>
      </c>
      <c r="D105" s="70"/>
      <c r="E105" s="70"/>
      <c r="F105" s="70"/>
      <c r="G105" s="71"/>
      <c r="H105" s="72"/>
      <c r="I105" s="106"/>
    </row>
    <row r="106" spans="2:9" x14ac:dyDescent="0.2">
      <c r="B106" s="13" t="s">
        <v>5</v>
      </c>
      <c r="C106" s="69" t="s">
        <v>12</v>
      </c>
      <c r="D106" s="70"/>
      <c r="E106" s="70"/>
      <c r="F106" s="70"/>
      <c r="G106" s="71"/>
      <c r="H106" s="72"/>
      <c r="I106" s="106"/>
    </row>
    <row r="107" spans="2:9" x14ac:dyDescent="0.2">
      <c r="B107" s="13" t="s">
        <v>6</v>
      </c>
      <c r="C107" s="69" t="s">
        <v>13</v>
      </c>
      <c r="D107" s="70"/>
      <c r="E107" s="70"/>
      <c r="F107" s="70"/>
      <c r="G107" s="71"/>
      <c r="H107" s="72">
        <f>Insumos!H26</f>
        <v>29.31</v>
      </c>
      <c r="I107" s="106"/>
    </row>
    <row r="108" spans="2:9" x14ac:dyDescent="0.2">
      <c r="B108" s="13" t="s">
        <v>7</v>
      </c>
      <c r="C108" s="69" t="s">
        <v>2</v>
      </c>
      <c r="D108" s="70"/>
      <c r="E108" s="70"/>
      <c r="F108" s="70"/>
      <c r="G108" s="71"/>
      <c r="H108" s="72"/>
      <c r="I108" s="106"/>
    </row>
    <row r="109" spans="2:9" x14ac:dyDescent="0.2">
      <c r="B109" s="13" t="s">
        <v>151</v>
      </c>
      <c r="C109" s="192" t="s">
        <v>58</v>
      </c>
      <c r="D109" s="193"/>
      <c r="E109" s="193"/>
      <c r="F109" s="193"/>
      <c r="G109" s="82"/>
      <c r="H109" s="16">
        <f>SUM(H105:H108)</f>
        <v>29.31</v>
      </c>
      <c r="I109" s="17"/>
    </row>
    <row r="110" spans="2:9" x14ac:dyDescent="0.2">
      <c r="B110" s="99"/>
      <c r="C110" s="99"/>
      <c r="D110" s="99"/>
      <c r="E110" s="99"/>
      <c r="F110" s="99"/>
      <c r="G110" s="78"/>
      <c r="H110" s="73"/>
      <c r="I110" s="17"/>
    </row>
    <row r="111" spans="2:9" x14ac:dyDescent="0.2">
      <c r="B111" s="99"/>
      <c r="C111" s="99"/>
      <c r="D111" s="99"/>
      <c r="E111" s="99"/>
      <c r="F111" s="99"/>
      <c r="G111" s="99"/>
      <c r="H111" s="99"/>
      <c r="I111" s="100"/>
    </row>
    <row r="112" spans="2:9" x14ac:dyDescent="0.2">
      <c r="B112" s="209" t="s">
        <v>74</v>
      </c>
      <c r="C112" s="210"/>
      <c r="D112" s="210"/>
      <c r="E112" s="210"/>
      <c r="F112" s="218"/>
      <c r="G112" s="140"/>
      <c r="H112" s="141"/>
      <c r="I112" s="100"/>
    </row>
    <row r="113" spans="2:9" x14ac:dyDescent="0.2">
      <c r="B113" s="95">
        <v>6</v>
      </c>
      <c r="C113" s="192" t="s">
        <v>61</v>
      </c>
      <c r="D113" s="193"/>
      <c r="E113" s="193"/>
      <c r="F113" s="194"/>
      <c r="G113" s="95" t="s">
        <v>1</v>
      </c>
      <c r="H113" s="95" t="s">
        <v>48</v>
      </c>
      <c r="I113" s="100"/>
    </row>
    <row r="114" spans="2:9" x14ac:dyDescent="0.2">
      <c r="B114" s="13" t="s">
        <v>4</v>
      </c>
      <c r="C114" s="93" t="s">
        <v>16</v>
      </c>
      <c r="D114" s="215" t="s">
        <v>163</v>
      </c>
      <c r="E114" s="216"/>
      <c r="F114" s="217"/>
      <c r="G114" s="50">
        <v>0.05</v>
      </c>
      <c r="H114" s="19">
        <f>TRUNC(H$131*$G114,2)</f>
        <v>481.85</v>
      </c>
      <c r="I114" s="106"/>
    </row>
    <row r="115" spans="2:9" x14ac:dyDescent="0.2">
      <c r="B115" s="13" t="s">
        <v>5</v>
      </c>
      <c r="C115" s="93" t="s">
        <v>3</v>
      </c>
      <c r="D115" s="215" t="s">
        <v>164</v>
      </c>
      <c r="E115" s="216"/>
      <c r="F115" s="217"/>
      <c r="G115" s="50">
        <v>0.1</v>
      </c>
      <c r="H115" s="19">
        <f>TRUNC((H$131+H$114)*$G115,2)</f>
        <v>1011.9</v>
      </c>
      <c r="I115" s="106"/>
    </row>
    <row r="116" spans="2:9" x14ac:dyDescent="0.2">
      <c r="B116" s="13" t="s">
        <v>6</v>
      </c>
      <c r="C116" s="93" t="s">
        <v>117</v>
      </c>
      <c r="D116" s="215" t="s">
        <v>165</v>
      </c>
      <c r="E116" s="216"/>
      <c r="F116" s="217"/>
      <c r="G116" s="52">
        <f>1-(G117+G118+G119)</f>
        <v>0.85749999999999993</v>
      </c>
      <c r="H116" s="25">
        <f>TRUNC(((H$131+H$114+H$115)/$G116),2)</f>
        <v>12980.64</v>
      </c>
      <c r="I116" s="109"/>
    </row>
    <row r="117" spans="2:9" x14ac:dyDescent="0.2">
      <c r="B117" s="13" t="s">
        <v>21</v>
      </c>
      <c r="C117" s="93" t="s">
        <v>18</v>
      </c>
      <c r="D117" s="215" t="s">
        <v>166</v>
      </c>
      <c r="E117" s="216"/>
      <c r="F117" s="217"/>
      <c r="G117" s="51">
        <v>1.6500000000000001E-2</v>
      </c>
      <c r="H117" s="19">
        <f>TRUNC(H$116*$G117,2)</f>
        <v>214.18</v>
      </c>
      <c r="I117" s="106"/>
    </row>
    <row r="118" spans="2:9" x14ac:dyDescent="0.2">
      <c r="B118" s="13" t="s">
        <v>22</v>
      </c>
      <c r="C118" s="93" t="s">
        <v>19</v>
      </c>
      <c r="D118" s="215" t="s">
        <v>166</v>
      </c>
      <c r="E118" s="216"/>
      <c r="F118" s="217"/>
      <c r="G118" s="51">
        <v>7.5999999999999998E-2</v>
      </c>
      <c r="H118" s="19">
        <f>TRUNC(H$116*$G118,2)</f>
        <v>986.52</v>
      </c>
      <c r="I118" s="106"/>
    </row>
    <row r="119" spans="2:9" x14ac:dyDescent="0.2">
      <c r="B119" s="13" t="s">
        <v>23</v>
      </c>
      <c r="C119" s="93" t="s">
        <v>20</v>
      </c>
      <c r="D119" s="215" t="s">
        <v>166</v>
      </c>
      <c r="E119" s="216"/>
      <c r="F119" s="217"/>
      <c r="G119" s="51">
        <v>0.05</v>
      </c>
      <c r="H119" s="19">
        <f>TRUNC(H$116*$G119,2)</f>
        <v>649.03</v>
      </c>
      <c r="I119" s="106"/>
    </row>
    <row r="120" spans="2:9" x14ac:dyDescent="0.2">
      <c r="B120" s="13" t="s">
        <v>152</v>
      </c>
      <c r="C120" s="89" t="s">
        <v>58</v>
      </c>
      <c r="D120" s="207" t="s">
        <v>154</v>
      </c>
      <c r="E120" s="207"/>
      <c r="F120" s="207"/>
      <c r="G120" s="164"/>
      <c r="H120" s="16">
        <f>SUM(H114:H119)-H116</f>
        <v>3343.4800000000014</v>
      </c>
      <c r="I120" s="17"/>
    </row>
    <row r="121" spans="2:9" x14ac:dyDescent="0.2">
      <c r="B121" s="67"/>
      <c r="C121" s="67"/>
      <c r="D121" s="67"/>
      <c r="E121" s="67"/>
      <c r="F121" s="67"/>
      <c r="G121" s="67"/>
      <c r="H121" s="79"/>
      <c r="I121" s="26"/>
    </row>
    <row r="122" spans="2:9" x14ac:dyDescent="0.2">
      <c r="B122" s="208" t="s">
        <v>190</v>
      </c>
      <c r="C122" s="208"/>
      <c r="D122" s="208"/>
      <c r="E122" s="208"/>
      <c r="F122" s="208"/>
      <c r="G122" s="208"/>
      <c r="H122" s="208"/>
      <c r="I122" s="116"/>
    </row>
    <row r="123" spans="2:9" x14ac:dyDescent="0.2">
      <c r="B123" s="92"/>
      <c r="C123" s="92"/>
      <c r="D123" s="92"/>
      <c r="E123" s="92"/>
      <c r="F123" s="92"/>
      <c r="G123" s="92"/>
      <c r="H123" s="92"/>
      <c r="I123" s="116"/>
    </row>
    <row r="124" spans="2:9" x14ac:dyDescent="0.2">
      <c r="B124" s="209" t="s">
        <v>191</v>
      </c>
      <c r="C124" s="210"/>
      <c r="D124" s="210"/>
      <c r="E124" s="210"/>
      <c r="F124" s="210"/>
      <c r="G124" s="158"/>
      <c r="H124" s="141"/>
      <c r="I124" s="100"/>
    </row>
    <row r="125" spans="2:9" ht="12.75" customHeight="1" x14ac:dyDescent="0.2">
      <c r="B125" s="156"/>
      <c r="C125" s="211" t="s">
        <v>118</v>
      </c>
      <c r="D125" s="212"/>
      <c r="E125" s="212"/>
      <c r="F125" s="212"/>
      <c r="G125" s="157"/>
      <c r="H125" s="139" t="s">
        <v>48</v>
      </c>
      <c r="I125" s="100"/>
    </row>
    <row r="126" spans="2:9" x14ac:dyDescent="0.2">
      <c r="B126" s="13" t="s">
        <v>4</v>
      </c>
      <c r="C126" s="85" t="s">
        <v>76</v>
      </c>
      <c r="D126" s="166" t="s">
        <v>129</v>
      </c>
      <c r="E126" s="167"/>
      <c r="F126" s="167"/>
      <c r="G126" s="168"/>
      <c r="H126" s="19">
        <f>H30</f>
        <v>3978.01</v>
      </c>
      <c r="I126" s="106"/>
    </row>
    <row r="127" spans="2:9" ht="22.5" x14ac:dyDescent="0.2">
      <c r="B127" s="13" t="s">
        <v>5</v>
      </c>
      <c r="C127" s="85" t="s">
        <v>77</v>
      </c>
      <c r="D127" s="166" t="s">
        <v>143</v>
      </c>
      <c r="E127" s="167"/>
      <c r="F127" s="167"/>
      <c r="G127" s="168"/>
      <c r="H127" s="19">
        <f>H69</f>
        <v>3843.2699999999995</v>
      </c>
      <c r="I127" s="106"/>
    </row>
    <row r="128" spans="2:9" x14ac:dyDescent="0.2">
      <c r="B128" s="13" t="s">
        <v>6</v>
      </c>
      <c r="C128" s="85" t="s">
        <v>78</v>
      </c>
      <c r="D128" s="166" t="s">
        <v>147</v>
      </c>
      <c r="E128" s="167"/>
      <c r="F128" s="167"/>
      <c r="G128" s="168"/>
      <c r="H128" s="19">
        <f>H80</f>
        <v>869.24</v>
      </c>
      <c r="I128" s="106"/>
    </row>
    <row r="129" spans="2:9" ht="22.5" x14ac:dyDescent="0.2">
      <c r="B129" s="13" t="s">
        <v>7</v>
      </c>
      <c r="C129" s="85" t="s">
        <v>42</v>
      </c>
      <c r="D129" s="166" t="s">
        <v>150</v>
      </c>
      <c r="E129" s="167"/>
      <c r="F129" s="167"/>
      <c r="G129" s="168"/>
      <c r="H129" s="19">
        <f>H100</f>
        <v>917.32</v>
      </c>
      <c r="I129" s="106"/>
    </row>
    <row r="130" spans="2:9" x14ac:dyDescent="0.2">
      <c r="B130" s="13" t="s">
        <v>8</v>
      </c>
      <c r="C130" s="85" t="s">
        <v>79</v>
      </c>
      <c r="D130" s="166" t="s">
        <v>151</v>
      </c>
      <c r="E130" s="167"/>
      <c r="F130" s="167"/>
      <c r="G130" s="168"/>
      <c r="H130" s="19">
        <f>H109</f>
        <v>29.31</v>
      </c>
      <c r="I130" s="106"/>
    </row>
    <row r="131" spans="2:9" x14ac:dyDescent="0.2">
      <c r="B131" s="91" t="s">
        <v>9</v>
      </c>
      <c r="C131" s="84" t="s">
        <v>45</v>
      </c>
      <c r="D131" s="172" t="s">
        <v>170</v>
      </c>
      <c r="E131" s="173"/>
      <c r="F131" s="173"/>
      <c r="G131" s="174"/>
      <c r="H131" s="22">
        <f>SUM(H126:H130)</f>
        <v>9637.15</v>
      </c>
      <c r="I131" s="17"/>
    </row>
    <row r="132" spans="2:9" x14ac:dyDescent="0.2">
      <c r="B132" s="13" t="s">
        <v>10</v>
      </c>
      <c r="C132" s="93" t="s">
        <v>80</v>
      </c>
      <c r="D132" s="166" t="s">
        <v>152</v>
      </c>
      <c r="E132" s="167"/>
      <c r="F132" s="167"/>
      <c r="G132" s="168"/>
      <c r="H132" s="19">
        <f>H120</f>
        <v>3343.4800000000014</v>
      </c>
      <c r="I132" s="106"/>
    </row>
    <row r="133" spans="2:9" x14ac:dyDescent="0.2">
      <c r="B133" s="13" t="s">
        <v>155</v>
      </c>
      <c r="C133" s="88" t="s">
        <v>75</v>
      </c>
      <c r="D133" s="175" t="s">
        <v>169</v>
      </c>
      <c r="E133" s="163"/>
      <c r="F133" s="163"/>
      <c r="G133" s="164"/>
      <c r="H133" s="28">
        <f>SUM(H131:H132)</f>
        <v>12980.630000000001</v>
      </c>
      <c r="I133" s="120"/>
    </row>
    <row r="134" spans="2:9" x14ac:dyDescent="0.2">
      <c r="B134" s="100"/>
      <c r="C134" s="88" t="s">
        <v>241</v>
      </c>
      <c r="D134" s="175" t="s">
        <v>240</v>
      </c>
      <c r="E134" s="163"/>
      <c r="F134" s="163"/>
      <c r="G134" s="164"/>
      <c r="H134" s="28">
        <f>H133*1</f>
        <v>12980.630000000001</v>
      </c>
      <c r="I134" s="120"/>
    </row>
    <row r="135" spans="2:9" ht="12.75" customHeight="1" x14ac:dyDescent="0.2">
      <c r="B135" s="11"/>
      <c r="C135" s="11"/>
      <c r="D135" s="11"/>
      <c r="E135" s="11"/>
      <c r="F135" s="11"/>
      <c r="G135" s="11"/>
      <c r="H135" s="29"/>
      <c r="I135" s="29"/>
    </row>
    <row r="136" spans="2:9" x14ac:dyDescent="0.2">
      <c r="B136" s="208" t="s">
        <v>192</v>
      </c>
      <c r="C136" s="208"/>
      <c r="D136" s="208"/>
      <c r="E136" s="208"/>
      <c r="F136" s="208"/>
      <c r="I136" s="11"/>
    </row>
    <row r="137" spans="2:9" x14ac:dyDescent="0.2">
      <c r="B137" s="80"/>
      <c r="C137" s="80"/>
      <c r="D137" s="80"/>
      <c r="E137" s="74"/>
      <c r="F137" s="74"/>
      <c r="I137" s="11"/>
    </row>
    <row r="138" spans="2:9" x14ac:dyDescent="0.2">
      <c r="B138" s="213" t="s">
        <v>193</v>
      </c>
      <c r="C138" s="214"/>
      <c r="D138" s="214"/>
      <c r="E138" s="214"/>
      <c r="F138" s="214"/>
      <c r="G138" s="158"/>
      <c r="H138" s="141"/>
      <c r="I138" s="117"/>
    </row>
    <row r="139" spans="2:9" x14ac:dyDescent="0.2">
      <c r="B139" s="126" t="s">
        <v>4</v>
      </c>
      <c r="C139" s="159" t="s">
        <v>104</v>
      </c>
      <c r="D139" s="200" t="s">
        <v>155</v>
      </c>
      <c r="E139" s="201"/>
      <c r="F139" s="201"/>
      <c r="G139" s="160"/>
      <c r="H139" s="161">
        <f>H133</f>
        <v>12980.630000000001</v>
      </c>
      <c r="I139" s="115"/>
    </row>
    <row r="140" spans="2:9" ht="22.5" x14ac:dyDescent="0.2">
      <c r="B140" s="13" t="s">
        <v>5</v>
      </c>
      <c r="C140" s="86" t="s">
        <v>157</v>
      </c>
      <c r="D140" s="202" t="s">
        <v>158</v>
      </c>
      <c r="E140" s="203"/>
      <c r="F140" s="203"/>
      <c r="G140" s="154"/>
      <c r="H140" s="9">
        <f>H40+H80+H98</f>
        <v>2560.06</v>
      </c>
      <c r="I140" s="110"/>
    </row>
    <row r="141" spans="2:9" ht="22.5" x14ac:dyDescent="0.2">
      <c r="B141" s="13" t="s">
        <v>6</v>
      </c>
      <c r="C141" s="86" t="s">
        <v>173</v>
      </c>
      <c r="D141" s="202" t="s">
        <v>180</v>
      </c>
      <c r="E141" s="203"/>
      <c r="F141" s="203"/>
      <c r="G141" s="155"/>
      <c r="H141" s="114">
        <f>TRUNC((H$40*$G53),2)</f>
        <v>307.85000000000002</v>
      </c>
      <c r="I141" s="115"/>
    </row>
    <row r="142" spans="2:9" ht="12.75" customHeight="1" x14ac:dyDescent="0.2">
      <c r="B142" s="13" t="s">
        <v>7</v>
      </c>
      <c r="C142" s="86" t="s">
        <v>16</v>
      </c>
      <c r="D142" s="204" t="s">
        <v>167</v>
      </c>
      <c r="E142" s="205"/>
      <c r="F142" s="206"/>
      <c r="G142" s="10">
        <f>G114</f>
        <v>0.05</v>
      </c>
      <c r="H142" s="9">
        <f>TRUNC((H$140+H$141)*$G142,2)</f>
        <v>143.38999999999999</v>
      </c>
      <c r="I142" s="110"/>
    </row>
    <row r="143" spans="2:9" ht="12.75" customHeight="1" x14ac:dyDescent="0.2">
      <c r="B143" s="13" t="s">
        <v>8</v>
      </c>
      <c r="C143" s="86" t="s">
        <v>3</v>
      </c>
      <c r="D143" s="204" t="s">
        <v>168</v>
      </c>
      <c r="E143" s="205"/>
      <c r="F143" s="206"/>
      <c r="G143" s="10">
        <f>G115</f>
        <v>0.1</v>
      </c>
      <c r="H143" s="9">
        <f>TRUNC((H$140+H$141+H$142)*$G143,2)</f>
        <v>301.13</v>
      </c>
      <c r="I143" s="110"/>
    </row>
    <row r="144" spans="2:9" ht="12.75" customHeight="1" x14ac:dyDescent="0.2">
      <c r="B144" s="13" t="s">
        <v>9</v>
      </c>
      <c r="C144" s="86" t="s">
        <v>105</v>
      </c>
      <c r="D144" s="204" t="s">
        <v>175</v>
      </c>
      <c r="E144" s="205"/>
      <c r="F144" s="206"/>
      <c r="G144" s="10">
        <f>G117+G118+G119</f>
        <v>0.14250000000000002</v>
      </c>
      <c r="H144" s="9">
        <f>TRUNC((H$140+H$141+H$142+H$143)/(1-$G144)-(H$140+H$141+H$142+H$143),2)</f>
        <v>550.46</v>
      </c>
      <c r="I144" s="110"/>
    </row>
    <row r="145" spans="2:9" ht="22.5" x14ac:dyDescent="0.2">
      <c r="B145" s="13" t="s">
        <v>10</v>
      </c>
      <c r="C145" s="127" t="s">
        <v>106</v>
      </c>
      <c r="D145" s="152" t="s">
        <v>176</v>
      </c>
      <c r="E145" s="153"/>
      <c r="F145" s="153"/>
      <c r="G145" s="154"/>
      <c r="H145" s="128">
        <f>SUM(H140:H144)</f>
        <v>3862.89</v>
      </c>
      <c r="I145" s="111"/>
    </row>
    <row r="146" spans="2:9" x14ac:dyDescent="0.2">
      <c r="B146" s="13" t="s">
        <v>156</v>
      </c>
      <c r="C146" s="90" t="s">
        <v>126</v>
      </c>
      <c r="D146" s="198" t="s">
        <v>174</v>
      </c>
      <c r="E146" s="199"/>
      <c r="F146" s="199"/>
      <c r="G146" s="162"/>
      <c r="H146" s="30">
        <f>H139-H145</f>
        <v>9117.7400000000016</v>
      </c>
      <c r="I146" s="121"/>
    </row>
    <row r="147" spans="2:9" ht="45" customHeight="1" x14ac:dyDescent="0.2">
      <c r="B147" s="195" t="s">
        <v>125</v>
      </c>
      <c r="C147" s="196"/>
      <c r="D147" s="196"/>
      <c r="E147" s="196"/>
      <c r="F147" s="196"/>
      <c r="G147" s="197"/>
      <c r="H147" s="138"/>
      <c r="I147" s="112"/>
    </row>
  </sheetData>
  <mergeCells count="103">
    <mergeCell ref="B2:H2"/>
    <mergeCell ref="B3:H3"/>
    <mergeCell ref="D6:F6"/>
    <mergeCell ref="B8:F8"/>
    <mergeCell ref="B9:B10"/>
    <mergeCell ref="C9:F9"/>
    <mergeCell ref="C10:F10"/>
    <mergeCell ref="B15:B16"/>
    <mergeCell ref="C15:F15"/>
    <mergeCell ref="C16:F16"/>
    <mergeCell ref="B17:B18"/>
    <mergeCell ref="C17:F17"/>
    <mergeCell ref="C18:F18"/>
    <mergeCell ref="B11:B12"/>
    <mergeCell ref="C11:F11"/>
    <mergeCell ref="C12:F12"/>
    <mergeCell ref="B13:B14"/>
    <mergeCell ref="C13:F13"/>
    <mergeCell ref="C14:F14"/>
    <mergeCell ref="D26:F26"/>
    <mergeCell ref="D28:F28"/>
    <mergeCell ref="D29:F29"/>
    <mergeCell ref="C30:F30"/>
    <mergeCell ref="B19:B20"/>
    <mergeCell ref="C19:F19"/>
    <mergeCell ref="C20:F20"/>
    <mergeCell ref="B23:F23"/>
    <mergeCell ref="C24:F24"/>
    <mergeCell ref="D25:F25"/>
    <mergeCell ref="G46:G47"/>
    <mergeCell ref="H46:H47"/>
    <mergeCell ref="D39:F39"/>
    <mergeCell ref="C40:F40"/>
    <mergeCell ref="B41:H41"/>
    <mergeCell ref="B42:F42"/>
    <mergeCell ref="C43:F43"/>
    <mergeCell ref="D44:F44"/>
    <mergeCell ref="C31:F32"/>
    <mergeCell ref="B34:F34"/>
    <mergeCell ref="B35:F35"/>
    <mergeCell ref="B36:F36"/>
    <mergeCell ref="C37:F37"/>
    <mergeCell ref="D38:F38"/>
    <mergeCell ref="D48:F48"/>
    <mergeCell ref="D49:F49"/>
    <mergeCell ref="D50:F50"/>
    <mergeCell ref="D51:F51"/>
    <mergeCell ref="D52:F52"/>
    <mergeCell ref="C53:F53"/>
    <mergeCell ref="D45:F45"/>
    <mergeCell ref="B46:B47"/>
    <mergeCell ref="C46:C47"/>
    <mergeCell ref="D46:D47"/>
    <mergeCell ref="C65:F65"/>
    <mergeCell ref="C69:F69"/>
    <mergeCell ref="B70:H70"/>
    <mergeCell ref="B72:F72"/>
    <mergeCell ref="C73:F73"/>
    <mergeCell ref="D76:E76"/>
    <mergeCell ref="B54:H54"/>
    <mergeCell ref="B55:F55"/>
    <mergeCell ref="C56:F56"/>
    <mergeCell ref="C62:F62"/>
    <mergeCell ref="B63:H63"/>
    <mergeCell ref="B64:F64"/>
    <mergeCell ref="C89:F89"/>
    <mergeCell ref="B91:F91"/>
    <mergeCell ref="C92:F92"/>
    <mergeCell ref="C94:F94"/>
    <mergeCell ref="B96:F96"/>
    <mergeCell ref="C97:G97"/>
    <mergeCell ref="D78:E78"/>
    <mergeCell ref="D79:E79"/>
    <mergeCell ref="C80:F80"/>
    <mergeCell ref="B83:F83"/>
    <mergeCell ref="B84:F84"/>
    <mergeCell ref="C85:F85"/>
    <mergeCell ref="D114:F114"/>
    <mergeCell ref="D115:F115"/>
    <mergeCell ref="D116:F116"/>
    <mergeCell ref="D117:F117"/>
    <mergeCell ref="D118:F118"/>
    <mergeCell ref="D119:F119"/>
    <mergeCell ref="C100:F100"/>
    <mergeCell ref="B103:F103"/>
    <mergeCell ref="C104:G104"/>
    <mergeCell ref="C109:F109"/>
    <mergeCell ref="B112:F112"/>
    <mergeCell ref="C113:F113"/>
    <mergeCell ref="B147:G147"/>
    <mergeCell ref="D146:F146"/>
    <mergeCell ref="D139:F139"/>
    <mergeCell ref="D140:F140"/>
    <mergeCell ref="D141:F141"/>
    <mergeCell ref="D142:F142"/>
    <mergeCell ref="D143:F143"/>
    <mergeCell ref="D144:F144"/>
    <mergeCell ref="D120:F120"/>
    <mergeCell ref="B122:H122"/>
    <mergeCell ref="B124:F124"/>
    <mergeCell ref="C125:F125"/>
    <mergeCell ref="B136:F136"/>
    <mergeCell ref="B138:F138"/>
  </mergeCells>
  <dataValidations disablePrompts="1" count="10">
    <dataValidation type="list" allowBlank="1" showInputMessage="1" showErrorMessage="1" sqref="G26" xr:uid="{8CF4C092-6BB5-455E-A55D-FCACD57DD802}">
      <formula1>"0%, 30%"</formula1>
    </dataValidation>
    <dataValidation type="list" allowBlank="1" showInputMessage="1" showErrorMessage="1" sqref="G27" xr:uid="{4B903A4A-96AC-4CC1-82CB-4C8B95DDFE9A}">
      <formula1>"0%, 10%, 20%, 40%"</formula1>
    </dataValidation>
    <dataValidation type="list" allowBlank="1" showInputMessage="1" showErrorMessage="1" sqref="E47" xr:uid="{00838294-EA3D-49B3-998E-65AFD7EBF669}">
      <formula1>"1%, 2%, 3%"</formula1>
    </dataValidation>
    <dataValidation type="list" allowBlank="1" showInputMessage="1" showErrorMessage="1" sqref="G28" xr:uid="{5AD5A6D2-0156-4EAB-B6DF-2905235F0ED1}">
      <formula1>"0, 20%"</formula1>
    </dataValidation>
    <dataValidation type="list" allowBlank="1" showInputMessage="1" showErrorMessage="1" sqref="G118" xr:uid="{6BC476E3-A5F3-4BEF-8425-AC7EF0F836B7}">
      <mc:AlternateContent xmlns:x12ac="http://schemas.microsoft.com/office/spreadsheetml/2011/1/ac" xmlns:mc="http://schemas.openxmlformats.org/markup-compatibility/2006">
        <mc:Choice Requires="x12ac">
          <x12ac:list>3%," 7,6%"</x12ac:list>
        </mc:Choice>
        <mc:Fallback>
          <formula1>"3%, 7,6%"</formula1>
        </mc:Fallback>
      </mc:AlternateContent>
    </dataValidation>
    <dataValidation type="list" allowBlank="1" showInputMessage="1" showErrorMessage="1" sqref="G117" xr:uid="{322ACE6E-0B55-4492-B3B7-45BF360D7C08}">
      <mc:AlternateContent xmlns:x12ac="http://schemas.microsoft.com/office/spreadsheetml/2011/1/ac" xmlns:mc="http://schemas.openxmlformats.org/markup-compatibility/2006">
        <mc:Choice Requires="x12ac">
          <x12ac:list>"0,65%","1,65%"</x12ac:list>
        </mc:Choice>
        <mc:Fallback>
          <formula1>"0,65%,1,65%"</formula1>
        </mc:Fallback>
      </mc:AlternateContent>
    </dataValidation>
    <dataValidation type="whole" allowBlank="1" showInputMessage="1" showErrorMessage="1" errorTitle="Valor errado" error="Quantidade fixa de dias. Prencher com 30" sqref="G86" xr:uid="{E552E362-8D8D-43D1-A793-BCA3E86FB911}">
      <formula1>30</formula1>
      <formula2>30</formula2>
    </dataValidation>
    <dataValidation type="list" operator="equal" allowBlank="1" showInputMessage="1" showErrorMessage="1" errorTitle="Valor errado" error="Percentual fixo. Preencher com 40%." sqref="F76 F78" xr:uid="{F76AE1E8-5BB6-4CA5-A1FF-205E129358CF}">
      <formula1>"40%"</formula1>
    </dataValidation>
    <dataValidation type="custom" allowBlank="1" showInputMessage="1" showErrorMessage="1" sqref="G116" xr:uid="{8DCE86C2-728F-466E-A6D8-05CB5B469523}">
      <formula1>1-(G117+G118+G119)</formula1>
    </dataValidation>
    <dataValidation type="list" allowBlank="1" showInputMessage="1" showErrorMessage="1" sqref="G79" xr:uid="{08B49240-F4BA-43F3-816C-E443C7881B93}">
      <formula1>"3,6,9,12,15"</formula1>
    </dataValidation>
  </dataValidations>
  <pageMargins left="0.511811024" right="0.511811024" top="0.78740157499999996" bottom="0.78740157499999996" header="0.31496062000000002" footer="0.31496062000000002"/>
  <pageSetup paperSize="9" scale="69" fitToHeight="0" orientation="portrait" verticalDpi="300" r:id="rId1"/>
  <rowBreaks count="1" manualBreakCount="1">
    <brk id="70" max="16383" man="1"/>
  </rowBreak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7FB4C4-EC8F-4257-9330-41E9CD3EFAFA}">
  <sheetPr>
    <tabColor theme="9"/>
    <pageSetUpPr fitToPage="1"/>
  </sheetPr>
  <dimension ref="B1:K147"/>
  <sheetViews>
    <sheetView showGridLines="0" zoomScale="115" zoomScaleNormal="115" workbookViewId="0">
      <selection activeCell="C10" sqref="C10:F10"/>
    </sheetView>
  </sheetViews>
  <sheetFormatPr defaultColWidth="9.140625" defaultRowHeight="12.75" x14ac:dyDescent="0.2"/>
  <cols>
    <col min="1" max="1" width="3.5703125" style="63" customWidth="1"/>
    <col min="2" max="2" width="8.28515625" style="63" customWidth="1"/>
    <col min="3" max="3" width="39.140625" style="63" customWidth="1"/>
    <col min="4" max="4" width="29.140625" style="63" customWidth="1"/>
    <col min="5" max="6" width="8.140625" style="63" customWidth="1"/>
    <col min="7" max="7" width="9.140625" style="63" customWidth="1"/>
    <col min="8" max="9" width="15.28515625" style="63" customWidth="1"/>
    <col min="10" max="16384" width="9.140625" style="63"/>
  </cols>
  <sheetData>
    <row r="1" spans="2:9" x14ac:dyDescent="0.2">
      <c r="C1" s="113"/>
      <c r="D1" s="11"/>
      <c r="E1" s="11"/>
      <c r="F1" s="11"/>
      <c r="G1" s="11"/>
      <c r="H1" s="11"/>
      <c r="I1" s="11"/>
    </row>
    <row r="2" spans="2:9" x14ac:dyDescent="0.2">
      <c r="B2" s="256" t="s">
        <v>49</v>
      </c>
      <c r="C2" s="256"/>
      <c r="D2" s="256"/>
      <c r="E2" s="256"/>
      <c r="F2" s="256"/>
      <c r="G2" s="256"/>
      <c r="H2" s="256"/>
      <c r="I2" s="99"/>
    </row>
    <row r="3" spans="2:9" x14ac:dyDescent="0.2">
      <c r="B3" s="257" t="s">
        <v>189</v>
      </c>
      <c r="C3" s="257"/>
      <c r="D3" s="257"/>
      <c r="E3" s="257"/>
      <c r="F3" s="257"/>
      <c r="G3" s="257"/>
      <c r="H3" s="257"/>
      <c r="I3" s="101"/>
    </row>
    <row r="4" spans="2:9" x14ac:dyDescent="0.2">
      <c r="B4" s="65"/>
      <c r="C4" s="65"/>
      <c r="D4" s="65"/>
      <c r="E4" s="65"/>
      <c r="F4" s="65"/>
      <c r="G4" s="65"/>
      <c r="H4" s="65"/>
      <c r="I4" s="65"/>
    </row>
    <row r="5" spans="2:9" x14ac:dyDescent="0.2">
      <c r="B5" s="65"/>
      <c r="C5" s="65"/>
      <c r="D5" s="65"/>
      <c r="E5" s="65"/>
      <c r="F5" s="65"/>
      <c r="G5" s="65"/>
      <c r="H5" s="65"/>
      <c r="I5" s="65"/>
    </row>
    <row r="6" spans="2:9" x14ac:dyDescent="0.2">
      <c r="B6" s="136" t="s">
        <v>127</v>
      </c>
      <c r="C6" s="136"/>
      <c r="D6" s="258" t="s">
        <v>216</v>
      </c>
      <c r="E6" s="259"/>
      <c r="F6" s="260"/>
      <c r="I6" s="12"/>
    </row>
    <row r="7" spans="2:9" x14ac:dyDescent="0.2">
      <c r="B7" s="65"/>
      <c r="C7" s="65"/>
      <c r="D7" s="65"/>
      <c r="E7" s="65"/>
      <c r="F7" s="65"/>
      <c r="G7" s="65"/>
      <c r="H7" s="65"/>
      <c r="I7" s="11"/>
    </row>
    <row r="8" spans="2:9" x14ac:dyDescent="0.2">
      <c r="B8" s="261" t="s">
        <v>50</v>
      </c>
      <c r="C8" s="261"/>
      <c r="D8" s="261"/>
      <c r="E8" s="261"/>
      <c r="F8" s="261"/>
      <c r="G8" s="137"/>
      <c r="H8" s="137"/>
      <c r="I8" s="64"/>
    </row>
    <row r="9" spans="2:9" x14ac:dyDescent="0.2">
      <c r="B9" s="252">
        <v>1</v>
      </c>
      <c r="C9" s="253" t="s">
        <v>51</v>
      </c>
      <c r="D9" s="253"/>
      <c r="E9" s="253"/>
      <c r="F9" s="253"/>
      <c r="G9" s="137"/>
      <c r="H9" s="137"/>
      <c r="I9" s="64"/>
    </row>
    <row r="10" spans="2:9" x14ac:dyDescent="0.2">
      <c r="B10" s="252"/>
      <c r="C10" s="254" t="s">
        <v>217</v>
      </c>
      <c r="D10" s="254"/>
      <c r="E10" s="254"/>
      <c r="F10" s="254"/>
      <c r="G10" s="137"/>
      <c r="H10" s="137"/>
      <c r="I10" s="64"/>
    </row>
    <row r="11" spans="2:9" x14ac:dyDescent="0.2">
      <c r="B11" s="252">
        <v>2</v>
      </c>
      <c r="C11" s="253" t="s">
        <v>52</v>
      </c>
      <c r="D11" s="253"/>
      <c r="E11" s="253"/>
      <c r="F11" s="253"/>
      <c r="G11" s="137"/>
      <c r="H11" s="137"/>
      <c r="I11" s="64"/>
    </row>
    <row r="12" spans="2:9" x14ac:dyDescent="0.2">
      <c r="B12" s="252"/>
      <c r="C12" s="254" t="s">
        <v>210</v>
      </c>
      <c r="D12" s="254"/>
      <c r="E12" s="254"/>
      <c r="F12" s="254"/>
      <c r="G12" s="137"/>
      <c r="H12" s="137"/>
      <c r="I12" s="64"/>
    </row>
    <row r="13" spans="2:9" x14ac:dyDescent="0.2">
      <c r="B13" s="252">
        <v>3</v>
      </c>
      <c r="C13" s="253" t="s">
        <v>53</v>
      </c>
      <c r="D13" s="253"/>
      <c r="E13" s="253"/>
      <c r="F13" s="253"/>
      <c r="G13" s="137"/>
      <c r="H13" s="137"/>
      <c r="I13" s="64"/>
    </row>
    <row r="14" spans="2:9" x14ac:dyDescent="0.2">
      <c r="B14" s="252"/>
      <c r="C14" s="255">
        <v>2302.8200000000002</v>
      </c>
      <c r="D14" s="255"/>
      <c r="E14" s="255"/>
      <c r="F14" s="255"/>
      <c r="G14" s="137"/>
      <c r="H14" s="137"/>
      <c r="I14" s="64"/>
    </row>
    <row r="15" spans="2:9" x14ac:dyDescent="0.2">
      <c r="B15" s="252">
        <v>4</v>
      </c>
      <c r="C15" s="253" t="s">
        <v>54</v>
      </c>
      <c r="D15" s="253"/>
      <c r="E15" s="253"/>
      <c r="F15" s="253"/>
      <c r="G15" s="137"/>
      <c r="H15" s="137"/>
      <c r="I15" s="64"/>
    </row>
    <row r="16" spans="2:9" x14ac:dyDescent="0.2">
      <c r="B16" s="252"/>
      <c r="C16" s="262">
        <v>45658</v>
      </c>
      <c r="D16" s="254"/>
      <c r="E16" s="254"/>
      <c r="F16" s="254"/>
      <c r="G16" s="137"/>
      <c r="H16" s="137"/>
      <c r="I16" s="64"/>
    </row>
    <row r="17" spans="2:11" x14ac:dyDescent="0.2">
      <c r="B17" s="252">
        <v>5</v>
      </c>
      <c r="C17" s="253" t="s">
        <v>55</v>
      </c>
      <c r="D17" s="253"/>
      <c r="E17" s="253"/>
      <c r="F17" s="253"/>
      <c r="G17" s="137"/>
      <c r="H17" s="137"/>
      <c r="I17" s="64"/>
    </row>
    <row r="18" spans="2:11" x14ac:dyDescent="0.2">
      <c r="B18" s="252"/>
      <c r="C18" s="254" t="s">
        <v>207</v>
      </c>
      <c r="D18" s="254"/>
      <c r="E18" s="254"/>
      <c r="F18" s="254"/>
      <c r="G18" s="137"/>
      <c r="H18" s="137"/>
      <c r="I18" s="64"/>
    </row>
    <row r="19" spans="2:11" x14ac:dyDescent="0.2">
      <c r="B19" s="252">
        <v>6</v>
      </c>
      <c r="C19" s="253" t="s">
        <v>56</v>
      </c>
      <c r="D19" s="253"/>
      <c r="E19" s="253"/>
      <c r="F19" s="253"/>
      <c r="G19" s="137"/>
      <c r="H19" s="137"/>
      <c r="I19" s="64"/>
    </row>
    <row r="20" spans="2:11" x14ac:dyDescent="0.2">
      <c r="B20" s="252"/>
      <c r="C20" s="254" t="s">
        <v>208</v>
      </c>
      <c r="D20" s="254"/>
      <c r="E20" s="254"/>
      <c r="F20" s="254"/>
      <c r="G20" s="137"/>
      <c r="H20" s="137"/>
      <c r="I20" s="64"/>
    </row>
    <row r="21" spans="2:11" x14ac:dyDescent="0.2">
      <c r="B21" s="66"/>
      <c r="C21" s="66"/>
      <c r="D21" s="66"/>
      <c r="E21" s="66"/>
      <c r="F21" s="66"/>
      <c r="G21" s="67"/>
      <c r="H21" s="67"/>
      <c r="I21" s="64"/>
    </row>
    <row r="22" spans="2:11" x14ac:dyDescent="0.2">
      <c r="B22" s="68"/>
      <c r="C22" s="68"/>
      <c r="D22" s="68"/>
      <c r="E22" s="68"/>
      <c r="F22" s="68"/>
      <c r="G22" s="68"/>
      <c r="H22" s="142" t="s">
        <v>195</v>
      </c>
    </row>
    <row r="23" spans="2:11" x14ac:dyDescent="0.2">
      <c r="B23" s="209" t="s">
        <v>63</v>
      </c>
      <c r="C23" s="210"/>
      <c r="D23" s="210"/>
      <c r="E23" s="210"/>
      <c r="F23" s="210"/>
      <c r="G23" s="140"/>
      <c r="H23" s="141"/>
      <c r="I23" s="100"/>
    </row>
    <row r="24" spans="2:11" x14ac:dyDescent="0.2">
      <c r="B24" s="95">
        <v>1</v>
      </c>
      <c r="C24" s="192" t="s">
        <v>57</v>
      </c>
      <c r="D24" s="193"/>
      <c r="E24" s="193"/>
      <c r="F24" s="194"/>
      <c r="G24" s="139" t="s">
        <v>1</v>
      </c>
      <c r="H24" s="139" t="s">
        <v>48</v>
      </c>
      <c r="I24" s="100"/>
    </row>
    <row r="25" spans="2:11" ht="12.75" customHeight="1" x14ac:dyDescent="0.2">
      <c r="B25" s="13" t="s">
        <v>4</v>
      </c>
      <c r="C25" s="93" t="s">
        <v>17</v>
      </c>
      <c r="D25" s="215"/>
      <c r="E25" s="216"/>
      <c r="F25" s="217"/>
      <c r="G25" s="14"/>
      <c r="H25" s="31">
        <v>2302.8200000000002</v>
      </c>
      <c r="I25" s="106"/>
    </row>
    <row r="26" spans="2:11" x14ac:dyDescent="0.2">
      <c r="B26" s="13" t="s">
        <v>5</v>
      </c>
      <c r="C26" s="93" t="s">
        <v>24</v>
      </c>
      <c r="D26" s="215" t="s">
        <v>128</v>
      </c>
      <c r="E26" s="216"/>
      <c r="F26" s="217"/>
      <c r="G26" s="32">
        <v>0.3</v>
      </c>
      <c r="H26" s="15">
        <f>TRUNC(H$25*$G26,2)</f>
        <v>690.84</v>
      </c>
      <c r="I26" s="102"/>
    </row>
    <row r="27" spans="2:11" x14ac:dyDescent="0.2">
      <c r="B27" s="13" t="s">
        <v>6</v>
      </c>
      <c r="C27" s="94" t="s">
        <v>25</v>
      </c>
      <c r="D27" s="166" t="s">
        <v>171</v>
      </c>
      <c r="E27" s="177" t="s">
        <v>197</v>
      </c>
      <c r="F27" s="176">
        <v>1518</v>
      </c>
      <c r="G27" s="32"/>
      <c r="H27" s="15">
        <f>TRUNC(F$27*$G27,2)</f>
        <v>0</v>
      </c>
      <c r="I27" s="102"/>
    </row>
    <row r="28" spans="2:11" x14ac:dyDescent="0.2">
      <c r="B28" s="13" t="s">
        <v>7</v>
      </c>
      <c r="C28" s="94" t="s">
        <v>0</v>
      </c>
      <c r="D28" s="215" t="s">
        <v>178</v>
      </c>
      <c r="E28" s="216"/>
      <c r="F28" s="217"/>
      <c r="G28" s="33"/>
      <c r="H28" s="72">
        <f>TRUNC(((H$25+H26)*$G28)/220*8*15,2)</f>
        <v>0</v>
      </c>
      <c r="I28" s="103"/>
      <c r="K28" s="182"/>
    </row>
    <row r="29" spans="2:11" x14ac:dyDescent="0.2">
      <c r="B29" s="13" t="s">
        <v>8</v>
      </c>
      <c r="C29" s="94" t="s">
        <v>2</v>
      </c>
      <c r="D29" s="215"/>
      <c r="E29" s="216"/>
      <c r="F29" s="217"/>
      <c r="G29" s="33"/>
      <c r="H29" s="53"/>
      <c r="I29" s="104"/>
    </row>
    <row r="30" spans="2:11" x14ac:dyDescent="0.2">
      <c r="B30" s="13" t="s">
        <v>129</v>
      </c>
      <c r="C30" s="192" t="s">
        <v>58</v>
      </c>
      <c r="D30" s="193"/>
      <c r="E30" s="193"/>
      <c r="F30" s="194"/>
      <c r="G30" s="27"/>
      <c r="H30" s="16">
        <f>SUM(H25:H29)</f>
        <v>2993.6600000000003</v>
      </c>
      <c r="I30" s="17"/>
    </row>
    <row r="31" spans="2:11" ht="22.5" x14ac:dyDescent="0.2">
      <c r="B31" s="99"/>
      <c r="C31" s="245" t="s">
        <v>119</v>
      </c>
      <c r="D31" s="245"/>
      <c r="E31" s="245"/>
      <c r="F31" s="245"/>
      <c r="G31" s="56" t="s">
        <v>107</v>
      </c>
      <c r="H31" s="55" t="s">
        <v>123</v>
      </c>
      <c r="I31" s="2"/>
    </row>
    <row r="32" spans="2:11" x14ac:dyDescent="0.2">
      <c r="B32" s="99"/>
      <c r="C32" s="245"/>
      <c r="D32" s="245"/>
      <c r="E32" s="245"/>
      <c r="F32" s="245"/>
      <c r="G32" s="54"/>
      <c r="H32" s="34">
        <f>IF($G$32="",0,TRUNC((H25+H26+H27)/220,2))</f>
        <v>0</v>
      </c>
      <c r="I32" s="105"/>
    </row>
    <row r="33" spans="2:9" x14ac:dyDescent="0.2">
      <c r="B33" s="99"/>
      <c r="C33" s="99"/>
      <c r="D33" s="99"/>
      <c r="E33" s="99"/>
      <c r="F33" s="99"/>
      <c r="G33" s="99"/>
      <c r="H33" s="73"/>
      <c r="I33" s="17"/>
    </row>
    <row r="34" spans="2:9" ht="12.75" customHeight="1" x14ac:dyDescent="0.2">
      <c r="B34" s="209" t="s">
        <v>64</v>
      </c>
      <c r="C34" s="210"/>
      <c r="D34" s="210"/>
      <c r="E34" s="210"/>
      <c r="F34" s="210"/>
      <c r="G34" s="140"/>
      <c r="H34" s="141"/>
      <c r="I34" s="100"/>
    </row>
    <row r="35" spans="2:9" x14ac:dyDescent="0.2">
      <c r="B35" s="246"/>
      <c r="C35" s="247"/>
      <c r="D35" s="247"/>
      <c r="E35" s="247"/>
      <c r="F35" s="247"/>
      <c r="G35" s="62"/>
      <c r="H35" s="62"/>
      <c r="I35" s="100"/>
    </row>
    <row r="36" spans="2:9" x14ac:dyDescent="0.2">
      <c r="B36" s="248" t="s">
        <v>35</v>
      </c>
      <c r="C36" s="248"/>
      <c r="D36" s="248"/>
      <c r="E36" s="248"/>
      <c r="F36" s="248"/>
      <c r="G36" s="62"/>
      <c r="H36" s="62"/>
      <c r="I36" s="100"/>
    </row>
    <row r="37" spans="2:9" x14ac:dyDescent="0.2">
      <c r="B37" s="139" t="s">
        <v>37</v>
      </c>
      <c r="C37" s="249" t="s">
        <v>26</v>
      </c>
      <c r="D37" s="250"/>
      <c r="E37" s="250"/>
      <c r="F37" s="251"/>
      <c r="G37" s="95" t="s">
        <v>1</v>
      </c>
      <c r="H37" s="95" t="s">
        <v>48</v>
      </c>
      <c r="I37" s="100"/>
    </row>
    <row r="38" spans="2:9" x14ac:dyDescent="0.2">
      <c r="B38" s="13" t="s">
        <v>4</v>
      </c>
      <c r="C38" s="93" t="s">
        <v>109</v>
      </c>
      <c r="D38" s="215" t="s">
        <v>130</v>
      </c>
      <c r="E38" s="216"/>
      <c r="F38" s="217"/>
      <c r="G38" s="145">
        <f>1/12</f>
        <v>8.3333333333333329E-2</v>
      </c>
      <c r="H38" s="146">
        <f>TRUNC((H$30*$G38),2)</f>
        <v>249.47</v>
      </c>
      <c r="I38" s="106"/>
    </row>
    <row r="39" spans="2:9" x14ac:dyDescent="0.2">
      <c r="B39" s="13" t="s">
        <v>5</v>
      </c>
      <c r="C39" s="93" t="s">
        <v>62</v>
      </c>
      <c r="D39" s="215" t="s">
        <v>132</v>
      </c>
      <c r="E39" s="216"/>
      <c r="F39" s="217"/>
      <c r="G39" s="18">
        <f>(1/12)+(1/3/12)</f>
        <v>0.1111111111111111</v>
      </c>
      <c r="H39" s="19">
        <f>TRUNC((H$30*$G39),2)</f>
        <v>332.62</v>
      </c>
      <c r="I39" s="106"/>
    </row>
    <row r="40" spans="2:9" x14ac:dyDescent="0.2">
      <c r="B40" s="13" t="s">
        <v>131</v>
      </c>
      <c r="C40" s="192" t="s">
        <v>58</v>
      </c>
      <c r="D40" s="193"/>
      <c r="E40" s="193"/>
      <c r="F40" s="194"/>
      <c r="G40" s="20">
        <f>TRUNC(SUM(G38:G39),4)</f>
        <v>0.19439999999999999</v>
      </c>
      <c r="H40" s="16">
        <f>SUM(H38:H39)</f>
        <v>582.09</v>
      </c>
      <c r="I40" s="17"/>
    </row>
    <row r="41" spans="2:9" x14ac:dyDescent="0.2">
      <c r="B41" s="235"/>
      <c r="C41" s="228"/>
      <c r="D41" s="228"/>
      <c r="E41" s="228"/>
      <c r="F41" s="228"/>
      <c r="G41" s="228"/>
      <c r="H41" s="236"/>
      <c r="I41" s="99"/>
    </row>
    <row r="42" spans="2:9" ht="30" customHeight="1" x14ac:dyDescent="0.2">
      <c r="B42" s="232" t="s">
        <v>65</v>
      </c>
      <c r="C42" s="233"/>
      <c r="D42" s="233"/>
      <c r="E42" s="233"/>
      <c r="F42" s="234"/>
      <c r="G42" s="143"/>
      <c r="H42" s="144"/>
      <c r="I42" s="107"/>
    </row>
    <row r="43" spans="2:9" x14ac:dyDescent="0.2">
      <c r="B43" s="95" t="s">
        <v>38</v>
      </c>
      <c r="C43" s="192" t="s">
        <v>66</v>
      </c>
      <c r="D43" s="193"/>
      <c r="E43" s="193"/>
      <c r="F43" s="194"/>
      <c r="G43" s="95" t="s">
        <v>1</v>
      </c>
      <c r="H43" s="95" t="s">
        <v>48</v>
      </c>
      <c r="I43" s="100"/>
    </row>
    <row r="44" spans="2:9" x14ac:dyDescent="0.2">
      <c r="B44" s="13" t="s">
        <v>4</v>
      </c>
      <c r="C44" s="93" t="s">
        <v>29</v>
      </c>
      <c r="D44" s="215" t="s">
        <v>133</v>
      </c>
      <c r="E44" s="216"/>
      <c r="F44" s="217"/>
      <c r="G44" s="18">
        <v>0.2</v>
      </c>
      <c r="H44" s="19">
        <f>TRUNC((H$30+H$40)*$G44,2)</f>
        <v>715.15</v>
      </c>
      <c r="I44" s="106"/>
    </row>
    <row r="45" spans="2:9" x14ac:dyDescent="0.2">
      <c r="B45" s="13" t="s">
        <v>5</v>
      </c>
      <c r="C45" s="81" t="s">
        <v>30</v>
      </c>
      <c r="D45" s="215" t="s">
        <v>134</v>
      </c>
      <c r="E45" s="216"/>
      <c r="F45" s="217"/>
      <c r="G45" s="18">
        <v>2.5000000000000001E-2</v>
      </c>
      <c r="H45" s="19">
        <f>TRUNC((H$30+H$40)*$G45,2)</f>
        <v>89.39</v>
      </c>
      <c r="I45" s="106"/>
    </row>
    <row r="46" spans="2:9" x14ac:dyDescent="0.2">
      <c r="B46" s="237" t="s">
        <v>6</v>
      </c>
      <c r="C46" s="239" t="s">
        <v>101</v>
      </c>
      <c r="D46" s="241" t="s">
        <v>140</v>
      </c>
      <c r="E46" s="8" t="s">
        <v>102</v>
      </c>
      <c r="F46" s="8" t="s">
        <v>100</v>
      </c>
      <c r="G46" s="242">
        <f>E47*F47</f>
        <v>0.06</v>
      </c>
      <c r="H46" s="244">
        <f>TRUNC((H$30+H$40)*$G46,2)</f>
        <v>214.54</v>
      </c>
      <c r="I46" s="109"/>
    </row>
    <row r="47" spans="2:9" x14ac:dyDescent="0.2">
      <c r="B47" s="238"/>
      <c r="C47" s="240"/>
      <c r="D47" s="241"/>
      <c r="E47" s="35">
        <v>0.03</v>
      </c>
      <c r="F47" s="36">
        <v>2</v>
      </c>
      <c r="G47" s="243"/>
      <c r="H47" s="244"/>
      <c r="I47" s="109"/>
    </row>
    <row r="48" spans="2:9" x14ac:dyDescent="0.2">
      <c r="B48" s="13" t="s">
        <v>7</v>
      </c>
      <c r="C48" s="93" t="s">
        <v>28</v>
      </c>
      <c r="D48" s="215" t="s">
        <v>135</v>
      </c>
      <c r="E48" s="216"/>
      <c r="F48" s="217"/>
      <c r="G48" s="18">
        <v>1.4999999999999999E-2</v>
      </c>
      <c r="H48" s="19">
        <f>TRUNC((H$30+H$40)*$G48,2)</f>
        <v>53.63</v>
      </c>
      <c r="I48" s="106"/>
    </row>
    <row r="49" spans="2:11" x14ac:dyDescent="0.2">
      <c r="B49" s="13" t="s">
        <v>8</v>
      </c>
      <c r="C49" s="93" t="s">
        <v>31</v>
      </c>
      <c r="D49" s="215" t="s">
        <v>136</v>
      </c>
      <c r="E49" s="216"/>
      <c r="F49" s="217"/>
      <c r="G49" s="18">
        <v>0.01</v>
      </c>
      <c r="H49" s="19">
        <f>TRUNC((H$30+H$40)*$G49,2)</f>
        <v>35.75</v>
      </c>
      <c r="I49" s="106"/>
    </row>
    <row r="50" spans="2:11" x14ac:dyDescent="0.2">
      <c r="B50" s="13" t="s">
        <v>9</v>
      </c>
      <c r="C50" s="93" t="s">
        <v>32</v>
      </c>
      <c r="D50" s="215" t="s">
        <v>137</v>
      </c>
      <c r="E50" s="216"/>
      <c r="F50" s="217"/>
      <c r="G50" s="18">
        <v>6.0000000000000001E-3</v>
      </c>
      <c r="H50" s="19">
        <f>TRUNC((H$30+H$40)*$G50,2)</f>
        <v>21.45</v>
      </c>
      <c r="I50" s="106"/>
      <c r="K50" s="183"/>
    </row>
    <row r="51" spans="2:11" x14ac:dyDescent="0.2">
      <c r="B51" s="13" t="s">
        <v>10</v>
      </c>
      <c r="C51" s="93" t="s">
        <v>33</v>
      </c>
      <c r="D51" s="215" t="s">
        <v>138</v>
      </c>
      <c r="E51" s="216"/>
      <c r="F51" s="217"/>
      <c r="G51" s="18">
        <v>2E-3</v>
      </c>
      <c r="H51" s="19">
        <f>TRUNC((H$30+H$40)*$G51,2)</f>
        <v>7.15</v>
      </c>
      <c r="I51" s="106"/>
      <c r="K51" s="183"/>
    </row>
    <row r="52" spans="2:11" x14ac:dyDescent="0.2">
      <c r="B52" s="13" t="s">
        <v>11</v>
      </c>
      <c r="C52" s="93" t="s">
        <v>34</v>
      </c>
      <c r="D52" s="215" t="s">
        <v>139</v>
      </c>
      <c r="E52" s="216"/>
      <c r="F52" s="217"/>
      <c r="G52" s="18">
        <v>0.08</v>
      </c>
      <c r="H52" s="19">
        <f>TRUNC((H$30+H$40)*$G52,2)</f>
        <v>286.06</v>
      </c>
      <c r="I52" s="106"/>
    </row>
    <row r="53" spans="2:11" x14ac:dyDescent="0.2">
      <c r="B53" s="13" t="s">
        <v>141</v>
      </c>
      <c r="C53" s="192" t="s">
        <v>58</v>
      </c>
      <c r="D53" s="193"/>
      <c r="E53" s="193"/>
      <c r="F53" s="194"/>
      <c r="G53" s="21">
        <f>SUM(G44:G52)</f>
        <v>0.39800000000000008</v>
      </c>
      <c r="H53" s="16">
        <f>SUM(H44:H52)</f>
        <v>1423.1200000000001</v>
      </c>
      <c r="I53" s="17"/>
    </row>
    <row r="54" spans="2:11" x14ac:dyDescent="0.2">
      <c r="B54" s="229"/>
      <c r="C54" s="230"/>
      <c r="D54" s="230"/>
      <c r="E54" s="230"/>
      <c r="F54" s="230"/>
      <c r="G54" s="230"/>
      <c r="H54" s="231"/>
      <c r="I54" s="118"/>
    </row>
    <row r="55" spans="2:11" ht="12.75" customHeight="1" x14ac:dyDescent="0.2">
      <c r="B55" s="232" t="s">
        <v>36</v>
      </c>
      <c r="C55" s="233"/>
      <c r="D55" s="233"/>
      <c r="E55" s="233"/>
      <c r="F55" s="234"/>
      <c r="G55" s="143"/>
      <c r="H55" s="144"/>
      <c r="I55" s="118"/>
    </row>
    <row r="56" spans="2:11" x14ac:dyDescent="0.2">
      <c r="B56" s="95" t="s">
        <v>39</v>
      </c>
      <c r="C56" s="192" t="s">
        <v>40</v>
      </c>
      <c r="D56" s="193"/>
      <c r="E56" s="193"/>
      <c r="F56" s="193"/>
      <c r="G56" s="82"/>
      <c r="H56" s="95" t="s">
        <v>48</v>
      </c>
      <c r="I56" s="100"/>
    </row>
    <row r="57" spans="2:11" ht="12.75" customHeight="1" x14ac:dyDescent="0.2">
      <c r="B57" s="13" t="s">
        <v>4</v>
      </c>
      <c r="C57" s="93" t="s">
        <v>46</v>
      </c>
      <c r="D57" s="166" t="s">
        <v>211</v>
      </c>
      <c r="E57" s="167"/>
      <c r="F57" s="167"/>
      <c r="G57" s="168"/>
      <c r="H57" s="37">
        <f>IF((TRUNC((8.55*2*11)-(H$25*6%),2))&lt;0,"0,00",(TRUNC((8.55*2*11)-(H$25*6%),2)))</f>
        <v>49.93</v>
      </c>
      <c r="I57" s="119"/>
    </row>
    <row r="58" spans="2:11" ht="12.75" customHeight="1" x14ac:dyDescent="0.2">
      <c r="B58" s="13" t="s">
        <v>5</v>
      </c>
      <c r="C58" s="93" t="s">
        <v>47</v>
      </c>
      <c r="D58" s="166" t="s">
        <v>212</v>
      </c>
      <c r="E58" s="167"/>
      <c r="F58" s="167"/>
      <c r="G58" s="168"/>
      <c r="H58" s="37">
        <f>((37.85*11)*80%)</f>
        <v>333.08000000000004</v>
      </c>
      <c r="I58" s="119"/>
    </row>
    <row r="59" spans="2:11" x14ac:dyDescent="0.2">
      <c r="B59" s="13" t="s">
        <v>6</v>
      </c>
      <c r="C59" s="93" t="s">
        <v>234</v>
      </c>
      <c r="D59" s="166"/>
      <c r="E59" s="167"/>
      <c r="F59" s="167"/>
      <c r="G59" s="168"/>
      <c r="H59" s="37">
        <v>14.02</v>
      </c>
      <c r="I59" s="119"/>
    </row>
    <row r="60" spans="2:11" x14ac:dyDescent="0.2">
      <c r="B60" s="13" t="s">
        <v>7</v>
      </c>
      <c r="C60" s="93" t="s">
        <v>209</v>
      </c>
      <c r="D60" s="166"/>
      <c r="E60" s="167"/>
      <c r="F60" s="167"/>
      <c r="G60" s="168"/>
      <c r="H60" s="37">
        <v>63.99</v>
      </c>
      <c r="I60" s="119"/>
    </row>
    <row r="61" spans="2:11" s="74" customFormat="1" x14ac:dyDescent="0.2">
      <c r="B61" s="13" t="s">
        <v>8</v>
      </c>
      <c r="C61" s="93" t="s">
        <v>233</v>
      </c>
      <c r="D61" s="166"/>
      <c r="E61" s="167"/>
      <c r="F61" s="167"/>
      <c r="G61" s="168"/>
      <c r="H61" s="37">
        <v>31.07</v>
      </c>
      <c r="I61" s="119"/>
    </row>
    <row r="62" spans="2:11" x14ac:dyDescent="0.2">
      <c r="B62" s="13" t="s">
        <v>142</v>
      </c>
      <c r="C62" s="192" t="s">
        <v>58</v>
      </c>
      <c r="D62" s="193"/>
      <c r="E62" s="193"/>
      <c r="F62" s="193"/>
      <c r="G62" s="82"/>
      <c r="H62" s="16">
        <f>SUM(H57:H61)</f>
        <v>492.09000000000003</v>
      </c>
      <c r="I62" s="17"/>
    </row>
    <row r="63" spans="2:11" x14ac:dyDescent="0.2">
      <c r="B63" s="235"/>
      <c r="C63" s="228"/>
      <c r="D63" s="228"/>
      <c r="E63" s="228"/>
      <c r="F63" s="228"/>
      <c r="G63" s="228"/>
      <c r="H63" s="236"/>
      <c r="I63" s="99"/>
    </row>
    <row r="64" spans="2:11" x14ac:dyDescent="0.2">
      <c r="B64" s="222" t="s">
        <v>68</v>
      </c>
      <c r="C64" s="223"/>
      <c r="D64" s="223"/>
      <c r="E64" s="223"/>
      <c r="F64" s="223"/>
      <c r="G64" s="147"/>
      <c r="H64" s="147"/>
      <c r="I64" s="99"/>
    </row>
    <row r="65" spans="2:9" x14ac:dyDescent="0.2">
      <c r="B65" s="95">
        <v>2</v>
      </c>
      <c r="C65" s="192" t="s">
        <v>67</v>
      </c>
      <c r="D65" s="193"/>
      <c r="E65" s="193"/>
      <c r="F65" s="193"/>
      <c r="G65" s="82"/>
      <c r="H65" s="95" t="s">
        <v>48</v>
      </c>
      <c r="I65" s="100"/>
    </row>
    <row r="66" spans="2:9" x14ac:dyDescent="0.2">
      <c r="B66" s="13" t="s">
        <v>37</v>
      </c>
      <c r="C66" s="83" t="s">
        <v>26</v>
      </c>
      <c r="D66" s="166" t="s">
        <v>131</v>
      </c>
      <c r="E66" s="167"/>
      <c r="F66" s="167"/>
      <c r="G66" s="168"/>
      <c r="H66" s="19">
        <f>H40</f>
        <v>582.09</v>
      </c>
      <c r="I66" s="106"/>
    </row>
    <row r="67" spans="2:9" x14ac:dyDescent="0.2">
      <c r="B67" s="13" t="s">
        <v>38</v>
      </c>
      <c r="C67" s="83" t="s">
        <v>27</v>
      </c>
      <c r="D67" s="166" t="s">
        <v>141</v>
      </c>
      <c r="E67" s="167"/>
      <c r="F67" s="167"/>
      <c r="G67" s="168"/>
      <c r="H67" s="19">
        <f>H53</f>
        <v>1423.1200000000001</v>
      </c>
      <c r="I67" s="106"/>
    </row>
    <row r="68" spans="2:9" x14ac:dyDescent="0.2">
      <c r="B68" s="13" t="s">
        <v>39</v>
      </c>
      <c r="C68" s="83" t="s">
        <v>40</v>
      </c>
      <c r="D68" s="166" t="s">
        <v>142</v>
      </c>
      <c r="E68" s="167"/>
      <c r="F68" s="167"/>
      <c r="G68" s="168"/>
      <c r="H68" s="19">
        <f>H62</f>
        <v>492.09000000000003</v>
      </c>
      <c r="I68" s="106"/>
    </row>
    <row r="69" spans="2:9" x14ac:dyDescent="0.2">
      <c r="B69" s="13" t="s">
        <v>143</v>
      </c>
      <c r="C69" s="192" t="s">
        <v>58</v>
      </c>
      <c r="D69" s="193"/>
      <c r="E69" s="193"/>
      <c r="F69" s="193"/>
      <c r="G69" s="82"/>
      <c r="H69" s="16">
        <f>SUM(H66:H68)</f>
        <v>2497.3000000000002</v>
      </c>
      <c r="I69" s="17"/>
    </row>
    <row r="70" spans="2:9" x14ac:dyDescent="0.2">
      <c r="B70" s="228"/>
      <c r="C70" s="228"/>
      <c r="D70" s="228"/>
      <c r="E70" s="228"/>
      <c r="F70" s="228"/>
      <c r="G70" s="228"/>
      <c r="H70" s="228"/>
      <c r="I70" s="100"/>
    </row>
    <row r="71" spans="2:9" x14ac:dyDescent="0.2">
      <c r="B71" s="99"/>
      <c r="C71" s="99"/>
      <c r="D71" s="99"/>
      <c r="E71" s="99"/>
      <c r="F71" s="99"/>
      <c r="G71" s="99"/>
      <c r="H71" s="99"/>
      <c r="I71" s="100"/>
    </row>
    <row r="72" spans="2:9" x14ac:dyDescent="0.2">
      <c r="B72" s="209" t="s">
        <v>69</v>
      </c>
      <c r="C72" s="210"/>
      <c r="D72" s="210"/>
      <c r="E72" s="210"/>
      <c r="F72" s="218"/>
      <c r="G72" s="140"/>
      <c r="H72" s="141"/>
      <c r="I72" s="100"/>
    </row>
    <row r="73" spans="2:9" x14ac:dyDescent="0.2">
      <c r="B73" s="95">
        <v>3</v>
      </c>
      <c r="C73" s="192" t="s">
        <v>59</v>
      </c>
      <c r="D73" s="193"/>
      <c r="E73" s="193"/>
      <c r="F73" s="194"/>
      <c r="G73" s="95" t="s">
        <v>1</v>
      </c>
      <c r="H73" s="95" t="s">
        <v>48</v>
      </c>
      <c r="I73" s="100"/>
    </row>
    <row r="74" spans="2:9" x14ac:dyDescent="0.2">
      <c r="B74" s="13" t="s">
        <v>4</v>
      </c>
      <c r="C74" s="84" t="s">
        <v>95</v>
      </c>
      <c r="D74" s="166" t="s">
        <v>160</v>
      </c>
      <c r="E74" s="167"/>
      <c r="F74" s="168"/>
      <c r="G74" s="38">
        <v>1</v>
      </c>
      <c r="H74" s="22">
        <f>TRUNC((H$75+H$76)*$G74,2)</f>
        <v>473.08</v>
      </c>
      <c r="I74" s="17"/>
    </row>
    <row r="75" spans="2:9" x14ac:dyDescent="0.2">
      <c r="B75" s="13" t="s">
        <v>5</v>
      </c>
      <c r="C75" s="93" t="s">
        <v>96</v>
      </c>
      <c r="D75" s="166" t="s">
        <v>179</v>
      </c>
      <c r="E75" s="167"/>
      <c r="F75" s="168"/>
      <c r="G75" s="23"/>
      <c r="H75" s="19">
        <f>TRUNC((H$30+H$40+H$52+H$62-H57)/12,2)</f>
        <v>358.66</v>
      </c>
      <c r="I75" s="106"/>
    </row>
    <row r="76" spans="2:9" x14ac:dyDescent="0.2">
      <c r="B76" s="13" t="s">
        <v>6</v>
      </c>
      <c r="C76" s="93" t="s">
        <v>97</v>
      </c>
      <c r="D76" s="215" t="s">
        <v>172</v>
      </c>
      <c r="E76" s="217"/>
      <c r="F76" s="40">
        <v>0.4</v>
      </c>
      <c r="G76" s="23"/>
      <c r="H76" s="19">
        <f>TRUNC(H$52*$F76,2)</f>
        <v>114.42</v>
      </c>
      <c r="I76" s="106"/>
    </row>
    <row r="77" spans="2:9" x14ac:dyDescent="0.2">
      <c r="B77" s="13" t="s">
        <v>7</v>
      </c>
      <c r="C77" s="84" t="s">
        <v>98</v>
      </c>
      <c r="D77" s="166" t="s">
        <v>161</v>
      </c>
      <c r="E77" s="167"/>
      <c r="F77" s="168"/>
      <c r="G77" s="38">
        <v>1</v>
      </c>
      <c r="H77" s="87">
        <f>IF($G77&gt;=1,(TRUNC(H$78*$G77,2)),"ERRO")</f>
        <v>114.42</v>
      </c>
      <c r="I77" s="108"/>
    </row>
    <row r="78" spans="2:9" x14ac:dyDescent="0.2">
      <c r="B78" s="13" t="s">
        <v>8</v>
      </c>
      <c r="C78" s="93" t="s">
        <v>99</v>
      </c>
      <c r="D78" s="215" t="s">
        <v>172</v>
      </c>
      <c r="E78" s="217"/>
      <c r="F78" s="40">
        <v>0.4</v>
      </c>
      <c r="G78" s="23"/>
      <c r="H78" s="19">
        <f>TRUNC(H$52*$F78,2)</f>
        <v>114.42</v>
      </c>
      <c r="I78" s="106"/>
    </row>
    <row r="79" spans="2:9" x14ac:dyDescent="0.2">
      <c r="B79" s="13" t="s">
        <v>9</v>
      </c>
      <c r="C79" s="84" t="s">
        <v>177</v>
      </c>
      <c r="D79" s="224" t="s">
        <v>196</v>
      </c>
      <c r="E79" s="225"/>
      <c r="F79" s="39">
        <v>12</v>
      </c>
      <c r="G79" s="39">
        <v>3</v>
      </c>
      <c r="H79" s="19">
        <f>TRUNC(((H$30+H$40+H$53)/30)*$G79/$F79,2)</f>
        <v>41.65</v>
      </c>
      <c r="I79" s="106"/>
    </row>
    <row r="80" spans="2:9" x14ac:dyDescent="0.2">
      <c r="B80" s="13" t="s">
        <v>147</v>
      </c>
      <c r="C80" s="192" t="s">
        <v>58</v>
      </c>
      <c r="D80" s="193"/>
      <c r="E80" s="193"/>
      <c r="F80" s="193"/>
      <c r="G80" s="82"/>
      <c r="H80" s="16">
        <f>H$74+H$77+H$79</f>
        <v>629.15</v>
      </c>
      <c r="I80" s="17"/>
    </row>
    <row r="81" spans="2:9" x14ac:dyDescent="0.2">
      <c r="B81" s="96"/>
      <c r="C81" s="96"/>
      <c r="D81" s="96"/>
      <c r="E81" s="96"/>
      <c r="F81" s="96"/>
      <c r="G81" s="96"/>
      <c r="H81" s="96"/>
      <c r="I81" s="96"/>
    </row>
    <row r="82" spans="2:9" x14ac:dyDescent="0.2">
      <c r="B82" s="99"/>
      <c r="C82" s="99"/>
      <c r="D82" s="99"/>
      <c r="E82" s="99"/>
      <c r="F82" s="99"/>
      <c r="G82" s="99"/>
      <c r="H82" s="99"/>
      <c r="I82" s="100"/>
    </row>
    <row r="83" spans="2:9" x14ac:dyDescent="0.2">
      <c r="B83" s="209" t="s">
        <v>70</v>
      </c>
      <c r="C83" s="210"/>
      <c r="D83" s="210"/>
      <c r="E83" s="210"/>
      <c r="F83" s="218"/>
      <c r="G83" s="140"/>
      <c r="H83" s="141"/>
      <c r="I83" s="100"/>
    </row>
    <row r="84" spans="2:9" x14ac:dyDescent="0.2">
      <c r="B84" s="226" t="s">
        <v>88</v>
      </c>
      <c r="C84" s="227"/>
      <c r="D84" s="227"/>
      <c r="E84" s="227"/>
      <c r="F84" s="227"/>
      <c r="G84" s="148"/>
      <c r="H84" s="149"/>
      <c r="I84" s="100"/>
    </row>
    <row r="85" spans="2:9" x14ac:dyDescent="0.2">
      <c r="B85" s="95" t="s">
        <v>14</v>
      </c>
      <c r="C85" s="192" t="s">
        <v>89</v>
      </c>
      <c r="D85" s="193"/>
      <c r="E85" s="193"/>
      <c r="F85" s="194"/>
      <c r="G85" s="95" t="s">
        <v>103</v>
      </c>
      <c r="H85" s="95" t="s">
        <v>48</v>
      </c>
      <c r="I85" s="100"/>
    </row>
    <row r="86" spans="2:9" x14ac:dyDescent="0.2">
      <c r="B86" s="13" t="s">
        <v>4</v>
      </c>
      <c r="C86" s="93" t="s">
        <v>108</v>
      </c>
      <c r="D86" s="166" t="s">
        <v>153</v>
      </c>
      <c r="E86" s="167"/>
      <c r="F86" s="168"/>
      <c r="G86" s="39">
        <v>30</v>
      </c>
      <c r="H86" s="19">
        <f>TRUNC((H$88*$G86)/12,2)</f>
        <v>510</v>
      </c>
      <c r="I86" s="106"/>
    </row>
    <row r="87" spans="2:9" ht="22.5" x14ac:dyDescent="0.2">
      <c r="B87" s="13" t="s">
        <v>5</v>
      </c>
      <c r="C87" s="85" t="s">
        <v>159</v>
      </c>
      <c r="D87" s="169" t="s">
        <v>162</v>
      </c>
      <c r="E87" s="170"/>
      <c r="F87" s="171"/>
      <c r="G87" s="61">
        <v>8</v>
      </c>
      <c r="H87" s="19">
        <f>TRUNC((H$88*$G87)/12,2)</f>
        <v>136</v>
      </c>
      <c r="I87" s="106"/>
    </row>
    <row r="88" spans="2:9" x14ac:dyDescent="0.2">
      <c r="B88" s="13" t="s">
        <v>6</v>
      </c>
      <c r="C88" s="93" t="s">
        <v>110</v>
      </c>
      <c r="D88" s="166" t="s">
        <v>229</v>
      </c>
      <c r="E88" s="167"/>
      <c r="F88" s="167"/>
      <c r="G88" s="168"/>
      <c r="H88" s="19">
        <f>TRUNC((H$30+H$69+H$80)/30,2)</f>
        <v>204</v>
      </c>
      <c r="I88" s="106"/>
    </row>
    <row r="89" spans="2:9" x14ac:dyDescent="0.2">
      <c r="B89" s="13" t="s">
        <v>148</v>
      </c>
      <c r="C89" s="192" t="s">
        <v>58</v>
      </c>
      <c r="D89" s="193"/>
      <c r="E89" s="193"/>
      <c r="F89" s="193"/>
      <c r="G89" s="82"/>
      <c r="H89" s="16">
        <f>TRUNC(H$86+H$87,2)</f>
        <v>646</v>
      </c>
      <c r="I89" s="17"/>
    </row>
    <row r="90" spans="2:9" x14ac:dyDescent="0.2">
      <c r="B90" s="75"/>
      <c r="C90" s="76"/>
      <c r="D90" s="76"/>
      <c r="E90" s="76"/>
      <c r="F90" s="76"/>
      <c r="G90" s="76"/>
      <c r="H90" s="77"/>
      <c r="I90" s="24"/>
    </row>
    <row r="91" spans="2:9" x14ac:dyDescent="0.2">
      <c r="B91" s="222" t="s">
        <v>90</v>
      </c>
      <c r="C91" s="223"/>
      <c r="D91" s="223"/>
      <c r="E91" s="223"/>
      <c r="F91" s="223"/>
      <c r="G91" s="150"/>
      <c r="H91" s="151"/>
      <c r="I91" s="100"/>
    </row>
    <row r="92" spans="2:9" x14ac:dyDescent="0.2">
      <c r="B92" s="95" t="s">
        <v>15</v>
      </c>
      <c r="C92" s="192" t="s">
        <v>91</v>
      </c>
      <c r="D92" s="193"/>
      <c r="E92" s="193"/>
      <c r="F92" s="194"/>
      <c r="G92" s="95" t="s">
        <v>103</v>
      </c>
      <c r="H92" s="95" t="s">
        <v>48</v>
      </c>
      <c r="I92" s="100"/>
    </row>
    <row r="93" spans="2:9" ht="22.5" x14ac:dyDescent="0.2">
      <c r="B93" s="13" t="s">
        <v>4</v>
      </c>
      <c r="C93" s="85" t="s">
        <v>92</v>
      </c>
      <c r="D93" s="166" t="s">
        <v>181</v>
      </c>
      <c r="E93" s="167"/>
      <c r="F93" s="167"/>
      <c r="G93" s="39"/>
      <c r="H93" s="19">
        <f>TRUNC(((H$30+H69+H80)/220)*(1+50%)*G93,2)</f>
        <v>0</v>
      </c>
      <c r="I93" s="106"/>
    </row>
    <row r="94" spans="2:9" x14ac:dyDescent="0.2">
      <c r="B94" s="13" t="s">
        <v>149</v>
      </c>
      <c r="C94" s="192" t="s">
        <v>58</v>
      </c>
      <c r="D94" s="193"/>
      <c r="E94" s="193"/>
      <c r="F94" s="193"/>
      <c r="G94" s="125"/>
      <c r="H94" s="16">
        <f>H93</f>
        <v>0</v>
      </c>
      <c r="I94" s="106"/>
    </row>
    <row r="95" spans="2:9" x14ac:dyDescent="0.2">
      <c r="B95" s="98"/>
      <c r="C95" s="97"/>
      <c r="D95" s="97"/>
      <c r="E95" s="97"/>
      <c r="F95" s="97"/>
      <c r="G95" s="99"/>
      <c r="H95" s="165"/>
      <c r="I95" s="122"/>
    </row>
    <row r="96" spans="2:9" x14ac:dyDescent="0.2">
      <c r="B96" s="222" t="s">
        <v>71</v>
      </c>
      <c r="C96" s="223"/>
      <c r="D96" s="223"/>
      <c r="E96" s="223"/>
      <c r="F96" s="223"/>
      <c r="G96" s="150"/>
      <c r="H96" s="151"/>
      <c r="I96" s="100"/>
    </row>
    <row r="97" spans="2:9" x14ac:dyDescent="0.2">
      <c r="B97" s="95">
        <v>4</v>
      </c>
      <c r="C97" s="192" t="s">
        <v>72</v>
      </c>
      <c r="D97" s="193"/>
      <c r="E97" s="193"/>
      <c r="F97" s="193"/>
      <c r="G97" s="194"/>
      <c r="H97" s="95" t="s">
        <v>48</v>
      </c>
      <c r="I97" s="100"/>
    </row>
    <row r="98" spans="2:9" x14ac:dyDescent="0.2">
      <c r="B98" s="13" t="s">
        <v>14</v>
      </c>
      <c r="C98" s="93" t="s">
        <v>41</v>
      </c>
      <c r="D98" s="166" t="s">
        <v>148</v>
      </c>
      <c r="E98" s="167"/>
      <c r="F98" s="167"/>
      <c r="G98" s="168"/>
      <c r="H98" s="19">
        <f>H89</f>
        <v>646</v>
      </c>
      <c r="I98" s="106"/>
    </row>
    <row r="99" spans="2:9" x14ac:dyDescent="0.2">
      <c r="B99" s="13" t="s">
        <v>15</v>
      </c>
      <c r="C99" s="93" t="s">
        <v>43</v>
      </c>
      <c r="D99" s="166" t="s">
        <v>149</v>
      </c>
      <c r="E99" s="167"/>
      <c r="F99" s="167"/>
      <c r="G99" s="168"/>
      <c r="H99" s="19">
        <f>H94</f>
        <v>0</v>
      </c>
      <c r="I99" s="106"/>
    </row>
    <row r="100" spans="2:9" x14ac:dyDescent="0.2">
      <c r="B100" s="13" t="s">
        <v>150</v>
      </c>
      <c r="C100" s="192" t="s">
        <v>58</v>
      </c>
      <c r="D100" s="193"/>
      <c r="E100" s="193"/>
      <c r="F100" s="193"/>
      <c r="G100" s="82"/>
      <c r="H100" s="16">
        <f>SUM(H98:H99)</f>
        <v>646</v>
      </c>
      <c r="I100" s="17"/>
    </row>
    <row r="101" spans="2:9" x14ac:dyDescent="0.2">
      <c r="B101" s="99"/>
      <c r="C101" s="99"/>
      <c r="D101" s="99"/>
      <c r="E101" s="99"/>
      <c r="F101" s="99"/>
      <c r="G101" s="99"/>
      <c r="H101" s="99"/>
      <c r="I101" s="100"/>
    </row>
    <row r="102" spans="2:9" x14ac:dyDescent="0.2">
      <c r="B102" s="99"/>
      <c r="C102" s="99"/>
      <c r="D102" s="99"/>
      <c r="E102" s="99"/>
      <c r="F102" s="99"/>
      <c r="G102" s="99"/>
      <c r="H102" s="99"/>
      <c r="I102" s="100"/>
    </row>
    <row r="103" spans="2:9" x14ac:dyDescent="0.2">
      <c r="B103" s="209" t="s">
        <v>73</v>
      </c>
      <c r="C103" s="210"/>
      <c r="D103" s="210"/>
      <c r="E103" s="210"/>
      <c r="F103" s="218"/>
      <c r="G103" s="140"/>
      <c r="H103" s="141"/>
      <c r="I103" s="100"/>
    </row>
    <row r="104" spans="2:9" x14ac:dyDescent="0.2">
      <c r="B104" s="95">
        <v>5</v>
      </c>
      <c r="C104" s="219" t="s">
        <v>60</v>
      </c>
      <c r="D104" s="220"/>
      <c r="E104" s="220"/>
      <c r="F104" s="220"/>
      <c r="G104" s="221"/>
      <c r="H104" s="95" t="s">
        <v>48</v>
      </c>
      <c r="I104" s="100"/>
    </row>
    <row r="105" spans="2:9" x14ac:dyDescent="0.2">
      <c r="B105" s="13" t="s">
        <v>4</v>
      </c>
      <c r="C105" s="69" t="s">
        <v>44</v>
      </c>
      <c r="D105" s="70"/>
      <c r="E105" s="70"/>
      <c r="F105" s="70"/>
      <c r="G105" s="71"/>
      <c r="H105" s="72">
        <f>Insumos!G11</f>
        <v>680.03</v>
      </c>
      <c r="I105" s="106"/>
    </row>
    <row r="106" spans="2:9" x14ac:dyDescent="0.2">
      <c r="B106" s="13" t="s">
        <v>5</v>
      </c>
      <c r="C106" s="69" t="s">
        <v>12</v>
      </c>
      <c r="D106" s="70"/>
      <c r="E106" s="70"/>
      <c r="F106" s="70"/>
      <c r="G106" s="71"/>
      <c r="H106" s="72"/>
      <c r="I106" s="106"/>
    </row>
    <row r="107" spans="2:9" x14ac:dyDescent="0.2">
      <c r="B107" s="13" t="s">
        <v>6</v>
      </c>
      <c r="C107" s="69" t="s">
        <v>13</v>
      </c>
      <c r="D107" s="70"/>
      <c r="E107" s="70"/>
      <c r="F107" s="70"/>
      <c r="G107" s="71"/>
      <c r="H107" s="72">
        <f>Insumos!H26</f>
        <v>29.31</v>
      </c>
      <c r="I107" s="106"/>
    </row>
    <row r="108" spans="2:9" x14ac:dyDescent="0.2">
      <c r="B108" s="13" t="s">
        <v>7</v>
      </c>
      <c r="C108" s="69" t="s">
        <v>2</v>
      </c>
      <c r="D108" s="70"/>
      <c r="E108" s="70"/>
      <c r="F108" s="70"/>
      <c r="G108" s="71"/>
      <c r="H108" s="72"/>
      <c r="I108" s="106"/>
    </row>
    <row r="109" spans="2:9" x14ac:dyDescent="0.2">
      <c r="B109" s="13" t="s">
        <v>151</v>
      </c>
      <c r="C109" s="192" t="s">
        <v>58</v>
      </c>
      <c r="D109" s="193"/>
      <c r="E109" s="193"/>
      <c r="F109" s="193"/>
      <c r="G109" s="82"/>
      <c r="H109" s="16">
        <f>SUM(H105:H108)</f>
        <v>709.33999999999992</v>
      </c>
      <c r="I109" s="17"/>
    </row>
    <row r="110" spans="2:9" x14ac:dyDescent="0.2">
      <c r="B110" s="99"/>
      <c r="C110" s="99"/>
      <c r="D110" s="99"/>
      <c r="E110" s="99"/>
      <c r="F110" s="99"/>
      <c r="G110" s="78"/>
      <c r="H110" s="73"/>
      <c r="I110" s="17"/>
    </row>
    <row r="111" spans="2:9" x14ac:dyDescent="0.2">
      <c r="B111" s="99"/>
      <c r="C111" s="99"/>
      <c r="D111" s="99"/>
      <c r="E111" s="99"/>
      <c r="F111" s="99"/>
      <c r="G111" s="99"/>
      <c r="H111" s="99"/>
      <c r="I111" s="100"/>
    </row>
    <row r="112" spans="2:9" x14ac:dyDescent="0.2">
      <c r="B112" s="209" t="s">
        <v>74</v>
      </c>
      <c r="C112" s="210"/>
      <c r="D112" s="210"/>
      <c r="E112" s="210"/>
      <c r="F112" s="218"/>
      <c r="G112" s="140"/>
      <c r="H112" s="141"/>
      <c r="I112" s="100"/>
    </row>
    <row r="113" spans="2:9" x14ac:dyDescent="0.2">
      <c r="B113" s="95">
        <v>6</v>
      </c>
      <c r="C113" s="192" t="s">
        <v>61</v>
      </c>
      <c r="D113" s="193"/>
      <c r="E113" s="193"/>
      <c r="F113" s="194"/>
      <c r="G113" s="95" t="s">
        <v>1</v>
      </c>
      <c r="H113" s="95" t="s">
        <v>48</v>
      </c>
      <c r="I113" s="100"/>
    </row>
    <row r="114" spans="2:9" x14ac:dyDescent="0.2">
      <c r="B114" s="13" t="s">
        <v>4</v>
      </c>
      <c r="C114" s="93" t="s">
        <v>16</v>
      </c>
      <c r="D114" s="215" t="s">
        <v>163</v>
      </c>
      <c r="E114" s="216"/>
      <c r="F114" s="217"/>
      <c r="G114" s="50">
        <v>0.05</v>
      </c>
      <c r="H114" s="19">
        <f>TRUNC(H$131*$G114,2)</f>
        <v>373.77</v>
      </c>
      <c r="I114" s="106"/>
    </row>
    <row r="115" spans="2:9" x14ac:dyDescent="0.2">
      <c r="B115" s="13" t="s">
        <v>5</v>
      </c>
      <c r="C115" s="93" t="s">
        <v>3</v>
      </c>
      <c r="D115" s="215" t="s">
        <v>164</v>
      </c>
      <c r="E115" s="216"/>
      <c r="F115" s="217"/>
      <c r="G115" s="50">
        <v>0.1</v>
      </c>
      <c r="H115" s="19">
        <f>TRUNC((H$131+H$114)*$G115,2)</f>
        <v>784.92</v>
      </c>
      <c r="I115" s="106"/>
    </row>
    <row r="116" spans="2:9" x14ac:dyDescent="0.2">
      <c r="B116" s="13" t="s">
        <v>6</v>
      </c>
      <c r="C116" s="93" t="s">
        <v>117</v>
      </c>
      <c r="D116" s="215" t="s">
        <v>165</v>
      </c>
      <c r="E116" s="216"/>
      <c r="F116" s="217"/>
      <c r="G116" s="52">
        <f>1-(G117+G118+G119)</f>
        <v>0.85749999999999993</v>
      </c>
      <c r="H116" s="25">
        <f>TRUNC(((H$131+H$114+H$115)/$G116),2)</f>
        <v>10068.959999999999</v>
      </c>
      <c r="I116" s="109"/>
    </row>
    <row r="117" spans="2:9" x14ac:dyDescent="0.2">
      <c r="B117" s="13" t="s">
        <v>21</v>
      </c>
      <c r="C117" s="93" t="s">
        <v>18</v>
      </c>
      <c r="D117" s="215" t="s">
        <v>166</v>
      </c>
      <c r="E117" s="216"/>
      <c r="F117" s="217"/>
      <c r="G117" s="51">
        <v>1.6500000000000001E-2</v>
      </c>
      <c r="H117" s="19">
        <f>TRUNC(H$116*$G117,2)</f>
        <v>166.13</v>
      </c>
      <c r="I117" s="106"/>
    </row>
    <row r="118" spans="2:9" x14ac:dyDescent="0.2">
      <c r="B118" s="13" t="s">
        <v>22</v>
      </c>
      <c r="C118" s="93" t="s">
        <v>19</v>
      </c>
      <c r="D118" s="215" t="s">
        <v>166</v>
      </c>
      <c r="E118" s="216"/>
      <c r="F118" s="217"/>
      <c r="G118" s="51">
        <v>7.5999999999999998E-2</v>
      </c>
      <c r="H118" s="19">
        <f>TRUNC(H$116*$G118,2)</f>
        <v>765.24</v>
      </c>
      <c r="I118" s="106"/>
    </row>
    <row r="119" spans="2:9" x14ac:dyDescent="0.2">
      <c r="B119" s="13" t="s">
        <v>23</v>
      </c>
      <c r="C119" s="93" t="s">
        <v>20</v>
      </c>
      <c r="D119" s="215" t="s">
        <v>166</v>
      </c>
      <c r="E119" s="216"/>
      <c r="F119" s="217"/>
      <c r="G119" s="51">
        <v>0.05</v>
      </c>
      <c r="H119" s="19">
        <f>TRUNC(H$116*$G119,2)</f>
        <v>503.44</v>
      </c>
      <c r="I119" s="106"/>
    </row>
    <row r="120" spans="2:9" x14ac:dyDescent="0.2">
      <c r="B120" s="13" t="s">
        <v>152</v>
      </c>
      <c r="C120" s="89" t="s">
        <v>58</v>
      </c>
      <c r="D120" s="207" t="s">
        <v>154</v>
      </c>
      <c r="E120" s="207"/>
      <c r="F120" s="207"/>
      <c r="G120" s="164"/>
      <c r="H120" s="16">
        <f>SUM(H114:H119)-H116</f>
        <v>2593.5</v>
      </c>
      <c r="I120" s="17"/>
    </row>
    <row r="121" spans="2:9" x14ac:dyDescent="0.2">
      <c r="B121" s="67"/>
      <c r="C121" s="67"/>
      <c r="D121" s="67"/>
      <c r="E121" s="67"/>
      <c r="F121" s="67"/>
      <c r="G121" s="67"/>
      <c r="H121" s="79"/>
      <c r="I121" s="26"/>
    </row>
    <row r="122" spans="2:9" x14ac:dyDescent="0.2">
      <c r="B122" s="208" t="s">
        <v>190</v>
      </c>
      <c r="C122" s="208"/>
      <c r="D122" s="208"/>
      <c r="E122" s="208"/>
      <c r="F122" s="208"/>
      <c r="G122" s="208"/>
      <c r="H122" s="208"/>
      <c r="I122" s="116"/>
    </row>
    <row r="123" spans="2:9" x14ac:dyDescent="0.2">
      <c r="B123" s="92"/>
      <c r="C123" s="92"/>
      <c r="D123" s="92"/>
      <c r="E123" s="92"/>
      <c r="F123" s="92"/>
      <c r="G123" s="92"/>
      <c r="H123" s="92"/>
      <c r="I123" s="116"/>
    </row>
    <row r="124" spans="2:9" x14ac:dyDescent="0.2">
      <c r="B124" s="209" t="s">
        <v>191</v>
      </c>
      <c r="C124" s="210"/>
      <c r="D124" s="210"/>
      <c r="E124" s="210"/>
      <c r="F124" s="210"/>
      <c r="G124" s="158"/>
      <c r="H124" s="141"/>
      <c r="I124" s="100"/>
    </row>
    <row r="125" spans="2:9" ht="12.75" customHeight="1" x14ac:dyDescent="0.2">
      <c r="B125" s="156"/>
      <c r="C125" s="211" t="s">
        <v>118</v>
      </c>
      <c r="D125" s="212"/>
      <c r="E125" s="212"/>
      <c r="F125" s="212"/>
      <c r="G125" s="157"/>
      <c r="H125" s="139" t="s">
        <v>48</v>
      </c>
      <c r="I125" s="100"/>
    </row>
    <row r="126" spans="2:9" x14ac:dyDescent="0.2">
      <c r="B126" s="13" t="s">
        <v>4</v>
      </c>
      <c r="C126" s="85" t="s">
        <v>76</v>
      </c>
      <c r="D126" s="166" t="s">
        <v>129</v>
      </c>
      <c r="E126" s="167"/>
      <c r="F126" s="167"/>
      <c r="G126" s="168"/>
      <c r="H126" s="19">
        <f>H30</f>
        <v>2993.6600000000003</v>
      </c>
      <c r="I126" s="106"/>
    </row>
    <row r="127" spans="2:9" ht="22.5" x14ac:dyDescent="0.2">
      <c r="B127" s="13" t="s">
        <v>5</v>
      </c>
      <c r="C127" s="85" t="s">
        <v>77</v>
      </c>
      <c r="D127" s="166" t="s">
        <v>143</v>
      </c>
      <c r="E127" s="167"/>
      <c r="F127" s="167"/>
      <c r="G127" s="168"/>
      <c r="H127" s="19">
        <f>H69</f>
        <v>2497.3000000000002</v>
      </c>
      <c r="I127" s="106"/>
    </row>
    <row r="128" spans="2:9" x14ac:dyDescent="0.2">
      <c r="B128" s="13" t="s">
        <v>6</v>
      </c>
      <c r="C128" s="85" t="s">
        <v>78</v>
      </c>
      <c r="D128" s="166" t="s">
        <v>147</v>
      </c>
      <c r="E128" s="167"/>
      <c r="F128" s="167"/>
      <c r="G128" s="168"/>
      <c r="H128" s="19">
        <f>H80</f>
        <v>629.15</v>
      </c>
      <c r="I128" s="106"/>
    </row>
    <row r="129" spans="2:9" ht="22.5" x14ac:dyDescent="0.2">
      <c r="B129" s="13" t="s">
        <v>7</v>
      </c>
      <c r="C129" s="85" t="s">
        <v>42</v>
      </c>
      <c r="D129" s="166" t="s">
        <v>150</v>
      </c>
      <c r="E129" s="167"/>
      <c r="F129" s="167"/>
      <c r="G129" s="168"/>
      <c r="H129" s="19">
        <f>H100</f>
        <v>646</v>
      </c>
      <c r="I129" s="106"/>
    </row>
    <row r="130" spans="2:9" x14ac:dyDescent="0.2">
      <c r="B130" s="13" t="s">
        <v>8</v>
      </c>
      <c r="C130" s="85" t="s">
        <v>79</v>
      </c>
      <c r="D130" s="166" t="s">
        <v>151</v>
      </c>
      <c r="E130" s="167"/>
      <c r="F130" s="167"/>
      <c r="G130" s="168"/>
      <c r="H130" s="19">
        <f>H109</f>
        <v>709.33999999999992</v>
      </c>
      <c r="I130" s="106"/>
    </row>
    <row r="131" spans="2:9" x14ac:dyDescent="0.2">
      <c r="B131" s="91" t="s">
        <v>9</v>
      </c>
      <c r="C131" s="84" t="s">
        <v>45</v>
      </c>
      <c r="D131" s="172" t="s">
        <v>170</v>
      </c>
      <c r="E131" s="173"/>
      <c r="F131" s="173"/>
      <c r="G131" s="174"/>
      <c r="H131" s="22">
        <f>SUM(H126:H130)</f>
        <v>7475.4500000000007</v>
      </c>
      <c r="I131" s="17"/>
    </row>
    <row r="132" spans="2:9" x14ac:dyDescent="0.2">
      <c r="B132" s="13" t="s">
        <v>10</v>
      </c>
      <c r="C132" s="93" t="s">
        <v>80</v>
      </c>
      <c r="D132" s="166" t="s">
        <v>152</v>
      </c>
      <c r="E132" s="167"/>
      <c r="F132" s="167"/>
      <c r="G132" s="168"/>
      <c r="H132" s="19">
        <f>H120</f>
        <v>2593.5</v>
      </c>
      <c r="I132" s="106"/>
    </row>
    <row r="133" spans="2:9" x14ac:dyDescent="0.2">
      <c r="B133" s="13" t="s">
        <v>155</v>
      </c>
      <c r="C133" s="88" t="s">
        <v>75</v>
      </c>
      <c r="D133" s="175" t="s">
        <v>169</v>
      </c>
      <c r="E133" s="163"/>
      <c r="F133" s="163"/>
      <c r="G133" s="164"/>
      <c r="H133" s="28">
        <f>SUM(H131:H132)</f>
        <v>10068.950000000001</v>
      </c>
      <c r="I133" s="120"/>
    </row>
    <row r="134" spans="2:9" ht="12.75" customHeight="1" x14ac:dyDescent="0.2">
      <c r="B134" s="11"/>
      <c r="C134" s="88" t="s">
        <v>241</v>
      </c>
      <c r="D134" s="175" t="s">
        <v>239</v>
      </c>
      <c r="E134" s="163"/>
      <c r="F134" s="163"/>
      <c r="G134" s="164"/>
      <c r="H134" s="28">
        <f>H133*2</f>
        <v>20137.900000000001</v>
      </c>
      <c r="I134" s="29"/>
    </row>
    <row r="135" spans="2:9" ht="12.75" customHeight="1" x14ac:dyDescent="0.2">
      <c r="B135" s="11"/>
      <c r="C135" s="11"/>
      <c r="D135" s="11"/>
      <c r="E135" s="11"/>
      <c r="F135" s="11"/>
      <c r="G135" s="11"/>
      <c r="H135" s="29"/>
      <c r="I135" s="29"/>
    </row>
    <row r="136" spans="2:9" x14ac:dyDescent="0.2">
      <c r="B136" s="208" t="s">
        <v>192</v>
      </c>
      <c r="C136" s="208"/>
      <c r="D136" s="208"/>
      <c r="E136" s="208"/>
      <c r="F136" s="208"/>
      <c r="I136" s="11"/>
    </row>
    <row r="137" spans="2:9" x14ac:dyDescent="0.2">
      <c r="B137" s="80"/>
      <c r="C137" s="80"/>
      <c r="D137" s="80"/>
      <c r="E137" s="74"/>
      <c r="F137" s="74"/>
      <c r="I137" s="11"/>
    </row>
    <row r="138" spans="2:9" x14ac:dyDescent="0.2">
      <c r="B138" s="213" t="s">
        <v>193</v>
      </c>
      <c r="C138" s="214"/>
      <c r="D138" s="214"/>
      <c r="E138" s="214"/>
      <c r="F138" s="214"/>
      <c r="G138" s="158"/>
      <c r="H138" s="141"/>
      <c r="I138" s="117"/>
    </row>
    <row r="139" spans="2:9" x14ac:dyDescent="0.2">
      <c r="B139" s="126" t="s">
        <v>4</v>
      </c>
      <c r="C139" s="159" t="s">
        <v>104</v>
      </c>
      <c r="D139" s="200" t="s">
        <v>155</v>
      </c>
      <c r="E139" s="201"/>
      <c r="F139" s="201"/>
      <c r="G139" s="160"/>
      <c r="H139" s="161">
        <f>H133</f>
        <v>10068.950000000001</v>
      </c>
      <c r="I139" s="115"/>
    </row>
    <row r="140" spans="2:9" ht="22.5" x14ac:dyDescent="0.2">
      <c r="B140" s="13" t="s">
        <v>5</v>
      </c>
      <c r="C140" s="86" t="s">
        <v>157</v>
      </c>
      <c r="D140" s="202" t="s">
        <v>158</v>
      </c>
      <c r="E140" s="203"/>
      <c r="F140" s="203"/>
      <c r="G140" s="154"/>
      <c r="H140" s="9">
        <f>H40+H80+H98</f>
        <v>1857.24</v>
      </c>
      <c r="I140" s="110"/>
    </row>
    <row r="141" spans="2:9" ht="22.5" x14ac:dyDescent="0.2">
      <c r="B141" s="13" t="s">
        <v>6</v>
      </c>
      <c r="C141" s="86" t="s">
        <v>173</v>
      </c>
      <c r="D141" s="202" t="s">
        <v>180</v>
      </c>
      <c r="E141" s="203"/>
      <c r="F141" s="203"/>
      <c r="G141" s="155"/>
      <c r="H141" s="114">
        <f>TRUNC((H$40*$G53),2)</f>
        <v>231.67</v>
      </c>
      <c r="I141" s="115"/>
    </row>
    <row r="142" spans="2:9" ht="12.75" customHeight="1" x14ac:dyDescent="0.2">
      <c r="B142" s="13" t="s">
        <v>7</v>
      </c>
      <c r="C142" s="86" t="s">
        <v>16</v>
      </c>
      <c r="D142" s="204" t="s">
        <v>167</v>
      </c>
      <c r="E142" s="205"/>
      <c r="F142" s="206"/>
      <c r="G142" s="10">
        <f>G114</f>
        <v>0.05</v>
      </c>
      <c r="H142" s="9">
        <f>TRUNC((H$140+H$141)*$G142,2)</f>
        <v>104.44</v>
      </c>
      <c r="I142" s="110"/>
    </row>
    <row r="143" spans="2:9" ht="12.75" customHeight="1" x14ac:dyDescent="0.2">
      <c r="B143" s="13" t="s">
        <v>8</v>
      </c>
      <c r="C143" s="86" t="s">
        <v>3</v>
      </c>
      <c r="D143" s="204" t="s">
        <v>168</v>
      </c>
      <c r="E143" s="205"/>
      <c r="F143" s="206"/>
      <c r="G143" s="10">
        <f>G115</f>
        <v>0.1</v>
      </c>
      <c r="H143" s="9">
        <f>TRUNC((H$140+H$141+H$142)*$G143,2)</f>
        <v>219.33</v>
      </c>
      <c r="I143" s="110"/>
    </row>
    <row r="144" spans="2:9" ht="12.75" customHeight="1" x14ac:dyDescent="0.2">
      <c r="B144" s="13" t="s">
        <v>9</v>
      </c>
      <c r="C144" s="86" t="s">
        <v>105</v>
      </c>
      <c r="D144" s="204" t="s">
        <v>175</v>
      </c>
      <c r="E144" s="205"/>
      <c r="F144" s="206"/>
      <c r="G144" s="10">
        <f>G117+G118+G119</f>
        <v>0.14250000000000002</v>
      </c>
      <c r="H144" s="9">
        <f>TRUNC((H$140+H$141+H$142+H$143)/(1-$G144)-(H$140+H$141+H$142+H$143),2)</f>
        <v>400.94</v>
      </c>
      <c r="I144" s="110"/>
    </row>
    <row r="145" spans="2:9" ht="22.5" x14ac:dyDescent="0.2">
      <c r="B145" s="13" t="s">
        <v>10</v>
      </c>
      <c r="C145" s="127" t="s">
        <v>106</v>
      </c>
      <c r="D145" s="152" t="s">
        <v>176</v>
      </c>
      <c r="E145" s="153"/>
      <c r="F145" s="153"/>
      <c r="G145" s="154"/>
      <c r="H145" s="128">
        <f>SUM(H140:H144)</f>
        <v>2813.62</v>
      </c>
      <c r="I145" s="111"/>
    </row>
    <row r="146" spans="2:9" x14ac:dyDescent="0.2">
      <c r="B146" s="13" t="s">
        <v>156</v>
      </c>
      <c r="C146" s="90" t="s">
        <v>126</v>
      </c>
      <c r="D146" s="198" t="s">
        <v>174</v>
      </c>
      <c r="E146" s="199"/>
      <c r="F146" s="199"/>
      <c r="G146" s="162"/>
      <c r="H146" s="30">
        <f>H139-H145</f>
        <v>7255.3300000000008</v>
      </c>
      <c r="I146" s="121"/>
    </row>
    <row r="147" spans="2:9" ht="45" customHeight="1" x14ac:dyDescent="0.2">
      <c r="B147" s="195" t="s">
        <v>125</v>
      </c>
      <c r="C147" s="196"/>
      <c r="D147" s="196"/>
      <c r="E147" s="196"/>
      <c r="F147" s="196"/>
      <c r="G147" s="197"/>
      <c r="H147" s="138"/>
      <c r="I147" s="112"/>
    </row>
  </sheetData>
  <mergeCells count="103">
    <mergeCell ref="B2:H2"/>
    <mergeCell ref="B3:H3"/>
    <mergeCell ref="D6:F6"/>
    <mergeCell ref="B8:F8"/>
    <mergeCell ref="B9:B10"/>
    <mergeCell ref="C9:F9"/>
    <mergeCell ref="C10:F10"/>
    <mergeCell ref="B15:B16"/>
    <mergeCell ref="C15:F15"/>
    <mergeCell ref="C16:F16"/>
    <mergeCell ref="B17:B18"/>
    <mergeCell ref="C17:F17"/>
    <mergeCell ref="C18:F18"/>
    <mergeCell ref="B11:B12"/>
    <mergeCell ref="C11:F11"/>
    <mergeCell ref="C12:F12"/>
    <mergeCell ref="B13:B14"/>
    <mergeCell ref="C13:F13"/>
    <mergeCell ref="C14:F14"/>
    <mergeCell ref="D26:F26"/>
    <mergeCell ref="D28:F28"/>
    <mergeCell ref="D29:F29"/>
    <mergeCell ref="C30:F30"/>
    <mergeCell ref="B19:B20"/>
    <mergeCell ref="C19:F19"/>
    <mergeCell ref="C20:F20"/>
    <mergeCell ref="B23:F23"/>
    <mergeCell ref="C24:F24"/>
    <mergeCell ref="D25:F25"/>
    <mergeCell ref="G46:G47"/>
    <mergeCell ref="H46:H47"/>
    <mergeCell ref="D39:F39"/>
    <mergeCell ref="C40:F40"/>
    <mergeCell ref="B41:H41"/>
    <mergeCell ref="B42:F42"/>
    <mergeCell ref="C43:F43"/>
    <mergeCell ref="D44:F44"/>
    <mergeCell ref="C31:F32"/>
    <mergeCell ref="B34:F34"/>
    <mergeCell ref="B35:F35"/>
    <mergeCell ref="B36:F36"/>
    <mergeCell ref="C37:F37"/>
    <mergeCell ref="D38:F38"/>
    <mergeCell ref="D48:F48"/>
    <mergeCell ref="D49:F49"/>
    <mergeCell ref="D50:F50"/>
    <mergeCell ref="D51:F51"/>
    <mergeCell ref="D52:F52"/>
    <mergeCell ref="C53:F53"/>
    <mergeCell ref="D45:F45"/>
    <mergeCell ref="B46:B47"/>
    <mergeCell ref="C46:C47"/>
    <mergeCell ref="D46:D47"/>
    <mergeCell ref="C65:F65"/>
    <mergeCell ref="C69:F69"/>
    <mergeCell ref="B70:H70"/>
    <mergeCell ref="B72:F72"/>
    <mergeCell ref="C73:F73"/>
    <mergeCell ref="D76:E76"/>
    <mergeCell ref="B54:H54"/>
    <mergeCell ref="B55:F55"/>
    <mergeCell ref="C56:F56"/>
    <mergeCell ref="C62:F62"/>
    <mergeCell ref="B63:H63"/>
    <mergeCell ref="B64:F64"/>
    <mergeCell ref="C89:F89"/>
    <mergeCell ref="B91:F91"/>
    <mergeCell ref="C92:F92"/>
    <mergeCell ref="C94:F94"/>
    <mergeCell ref="B96:F96"/>
    <mergeCell ref="C97:G97"/>
    <mergeCell ref="D78:E78"/>
    <mergeCell ref="D79:E79"/>
    <mergeCell ref="C80:F80"/>
    <mergeCell ref="B83:F83"/>
    <mergeCell ref="B84:F84"/>
    <mergeCell ref="C85:F85"/>
    <mergeCell ref="D114:F114"/>
    <mergeCell ref="D115:F115"/>
    <mergeCell ref="D116:F116"/>
    <mergeCell ref="D117:F117"/>
    <mergeCell ref="D118:F118"/>
    <mergeCell ref="D119:F119"/>
    <mergeCell ref="C100:F100"/>
    <mergeCell ref="B103:F103"/>
    <mergeCell ref="C104:G104"/>
    <mergeCell ref="C109:F109"/>
    <mergeCell ref="B112:F112"/>
    <mergeCell ref="C113:F113"/>
    <mergeCell ref="D146:F146"/>
    <mergeCell ref="B147:G147"/>
    <mergeCell ref="D139:F139"/>
    <mergeCell ref="D140:F140"/>
    <mergeCell ref="D141:F141"/>
    <mergeCell ref="D142:F142"/>
    <mergeCell ref="D143:F143"/>
    <mergeCell ref="D144:F144"/>
    <mergeCell ref="D120:F120"/>
    <mergeCell ref="B122:H122"/>
    <mergeCell ref="B124:F124"/>
    <mergeCell ref="C125:F125"/>
    <mergeCell ref="B136:F136"/>
    <mergeCell ref="B138:F138"/>
  </mergeCells>
  <dataValidations disablePrompts="1" count="10">
    <dataValidation type="list" allowBlank="1" showInputMessage="1" showErrorMessage="1" sqref="G79" xr:uid="{EA87041E-E9C3-4524-9166-4EA8E866C80C}">
      <formula1>"3,6,9,12,15"</formula1>
    </dataValidation>
    <dataValidation type="custom" allowBlank="1" showInputMessage="1" showErrorMessage="1" sqref="G116" xr:uid="{634B7574-7396-473E-BE46-6E04B37E4720}">
      <formula1>1-(G117+G118+G119)</formula1>
    </dataValidation>
    <dataValidation type="list" operator="equal" allowBlank="1" showInputMessage="1" showErrorMessage="1" errorTitle="Valor errado" error="Percentual fixo. Preencher com 40%." sqref="F76 F78" xr:uid="{BA438109-637D-42B1-9C68-7A67E6F859DD}">
      <formula1>"40%"</formula1>
    </dataValidation>
    <dataValidation type="whole" allowBlank="1" showInputMessage="1" showErrorMessage="1" errorTitle="Valor errado" error="Quantidade fixa de dias. Prencher com 30" sqref="G86" xr:uid="{D6205E86-182B-4EF7-96E3-66CF9F930190}">
      <formula1>30</formula1>
      <formula2>30</formula2>
    </dataValidation>
    <dataValidation type="list" allowBlank="1" showInputMessage="1" showErrorMessage="1" sqref="G117" xr:uid="{A15B1C7E-2735-4A06-BFCD-D4CAF98F5F21}">
      <mc:AlternateContent xmlns:x12ac="http://schemas.microsoft.com/office/spreadsheetml/2011/1/ac" xmlns:mc="http://schemas.openxmlformats.org/markup-compatibility/2006">
        <mc:Choice Requires="x12ac">
          <x12ac:list>"0,65%","1,65%"</x12ac:list>
        </mc:Choice>
        <mc:Fallback>
          <formula1>"0,65%,1,65%"</formula1>
        </mc:Fallback>
      </mc:AlternateContent>
    </dataValidation>
    <dataValidation type="list" allowBlank="1" showInputMessage="1" showErrorMessage="1" sqref="G118" xr:uid="{7DE2F9A1-55B5-4B29-B10E-337312FFA17C}">
      <mc:AlternateContent xmlns:x12ac="http://schemas.microsoft.com/office/spreadsheetml/2011/1/ac" xmlns:mc="http://schemas.openxmlformats.org/markup-compatibility/2006">
        <mc:Choice Requires="x12ac">
          <x12ac:list>3%," 7,6%"</x12ac:list>
        </mc:Choice>
        <mc:Fallback>
          <formula1>"3%, 7,6%"</formula1>
        </mc:Fallback>
      </mc:AlternateContent>
    </dataValidation>
    <dataValidation type="list" allowBlank="1" showInputMessage="1" showErrorMessage="1" sqref="G28" xr:uid="{602013D0-9155-42C6-8877-C78C37FC5C75}">
      <formula1>"0, 20%"</formula1>
    </dataValidation>
    <dataValidation type="list" allowBlank="1" showInputMessage="1" showErrorMessage="1" sqref="E47" xr:uid="{DAFE250A-F4CF-4EB2-90CF-94FB34D741FC}">
      <formula1>"1%, 2%, 3%"</formula1>
    </dataValidation>
    <dataValidation type="list" allowBlank="1" showInputMessage="1" showErrorMessage="1" sqref="G27" xr:uid="{1624577C-26C3-4F67-AF26-480507DA9138}">
      <formula1>"0%, 10%, 20%, 40%"</formula1>
    </dataValidation>
    <dataValidation type="list" allowBlank="1" showInputMessage="1" showErrorMessage="1" sqref="G26" xr:uid="{D0818449-BC9A-464D-9BF7-18F2ED7327A8}">
      <formula1>"0%, 30%"</formula1>
    </dataValidation>
  </dataValidations>
  <pageMargins left="0.511811024" right="0.511811024" top="0.78740157499999996" bottom="0.78740157499999996" header="0.31496062000000002" footer="0.31496062000000002"/>
  <pageSetup paperSize="9" scale="61" fitToHeight="0" orientation="portrait" verticalDpi="300" r:id="rId1"/>
  <rowBreaks count="1" manualBreakCount="1">
    <brk id="70" max="16383" man="1"/>
  </row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9F6A33-B18A-4E44-B617-16F8877F61A9}">
  <sheetPr>
    <tabColor theme="9"/>
    <pageSetUpPr fitToPage="1"/>
  </sheetPr>
  <dimension ref="B1:I148"/>
  <sheetViews>
    <sheetView showGridLines="0" zoomScale="115" zoomScaleNormal="115" workbookViewId="0">
      <selection activeCell="K23" sqref="K23"/>
    </sheetView>
  </sheetViews>
  <sheetFormatPr defaultColWidth="9.140625" defaultRowHeight="12.75" x14ac:dyDescent="0.2"/>
  <cols>
    <col min="1" max="1" width="3.5703125" style="63" customWidth="1"/>
    <col min="2" max="2" width="8.28515625" style="63" customWidth="1"/>
    <col min="3" max="3" width="39.140625" style="63" customWidth="1"/>
    <col min="4" max="4" width="29.140625" style="63" customWidth="1"/>
    <col min="5" max="6" width="8.140625" style="63" customWidth="1"/>
    <col min="7" max="7" width="9.140625" style="63" customWidth="1"/>
    <col min="8" max="9" width="15.28515625" style="63" customWidth="1"/>
    <col min="10" max="16384" width="9.140625" style="63"/>
  </cols>
  <sheetData>
    <row r="1" spans="2:9" x14ac:dyDescent="0.2">
      <c r="C1" s="113"/>
      <c r="D1" s="11"/>
      <c r="E1" s="11"/>
      <c r="F1" s="11"/>
      <c r="G1" s="11"/>
      <c r="H1" s="11"/>
      <c r="I1" s="11"/>
    </row>
    <row r="2" spans="2:9" x14ac:dyDescent="0.2">
      <c r="B2" s="256" t="s">
        <v>49</v>
      </c>
      <c r="C2" s="256"/>
      <c r="D2" s="256"/>
      <c r="E2" s="256"/>
      <c r="F2" s="256"/>
      <c r="G2" s="256"/>
      <c r="H2" s="256"/>
      <c r="I2" s="99"/>
    </row>
    <row r="3" spans="2:9" x14ac:dyDescent="0.2">
      <c r="B3" s="257" t="s">
        <v>189</v>
      </c>
      <c r="C3" s="257"/>
      <c r="D3" s="257"/>
      <c r="E3" s="257"/>
      <c r="F3" s="257"/>
      <c r="G3" s="257"/>
      <c r="H3" s="257"/>
      <c r="I3" s="101"/>
    </row>
    <row r="4" spans="2:9" x14ac:dyDescent="0.2">
      <c r="B4" s="65"/>
      <c r="C4" s="65"/>
      <c r="D4" s="65"/>
      <c r="E4" s="65"/>
      <c r="F4" s="65"/>
      <c r="G4" s="65"/>
      <c r="H4" s="65"/>
      <c r="I4" s="65"/>
    </row>
    <row r="5" spans="2:9" x14ac:dyDescent="0.2">
      <c r="B5" s="65"/>
      <c r="C5" s="65"/>
      <c r="D5" s="65"/>
      <c r="E5" s="65"/>
      <c r="F5" s="65"/>
      <c r="G5" s="65"/>
      <c r="H5" s="65"/>
      <c r="I5" s="65"/>
    </row>
    <row r="6" spans="2:9" ht="28.5" customHeight="1" x14ac:dyDescent="0.2">
      <c r="B6" s="136" t="s">
        <v>127</v>
      </c>
      <c r="C6" s="136"/>
      <c r="D6" s="258" t="s">
        <v>245</v>
      </c>
      <c r="E6" s="259"/>
      <c r="F6" s="260"/>
      <c r="I6" s="12"/>
    </row>
    <row r="7" spans="2:9" x14ac:dyDescent="0.2">
      <c r="B7" s="65"/>
      <c r="C7" s="65"/>
      <c r="D7" s="65"/>
      <c r="E7" s="65"/>
      <c r="F7" s="65"/>
      <c r="G7" s="65"/>
      <c r="H7" s="65"/>
      <c r="I7" s="11"/>
    </row>
    <row r="8" spans="2:9" x14ac:dyDescent="0.2">
      <c r="B8" s="261" t="s">
        <v>50</v>
      </c>
      <c r="C8" s="261"/>
      <c r="D8" s="261"/>
      <c r="E8" s="261"/>
      <c r="F8" s="261"/>
      <c r="G8" s="137"/>
      <c r="H8" s="137"/>
      <c r="I8" s="64"/>
    </row>
    <row r="9" spans="2:9" x14ac:dyDescent="0.2">
      <c r="B9" s="252">
        <v>1</v>
      </c>
      <c r="C9" s="253" t="s">
        <v>51</v>
      </c>
      <c r="D9" s="253"/>
      <c r="E9" s="253"/>
      <c r="F9" s="253"/>
      <c r="G9" s="137"/>
      <c r="H9" s="137"/>
      <c r="I9" s="64"/>
    </row>
    <row r="10" spans="2:9" x14ac:dyDescent="0.2">
      <c r="B10" s="252"/>
      <c r="C10" s="254" t="s">
        <v>246</v>
      </c>
      <c r="D10" s="254"/>
      <c r="E10" s="254"/>
      <c r="F10" s="254"/>
      <c r="G10" s="137"/>
      <c r="H10" s="137"/>
      <c r="I10" s="64"/>
    </row>
    <row r="11" spans="2:9" x14ac:dyDescent="0.2">
      <c r="B11" s="252">
        <v>2</v>
      </c>
      <c r="C11" s="253" t="s">
        <v>52</v>
      </c>
      <c r="D11" s="253"/>
      <c r="E11" s="253"/>
      <c r="F11" s="253"/>
      <c r="G11" s="137"/>
      <c r="H11" s="137"/>
      <c r="I11" s="64"/>
    </row>
    <row r="12" spans="2:9" x14ac:dyDescent="0.2">
      <c r="B12" s="252"/>
      <c r="C12" s="254" t="s">
        <v>210</v>
      </c>
      <c r="D12" s="254"/>
      <c r="E12" s="254"/>
      <c r="F12" s="254"/>
      <c r="G12" s="137"/>
      <c r="H12" s="137"/>
      <c r="I12" s="64"/>
    </row>
    <row r="13" spans="2:9" x14ac:dyDescent="0.2">
      <c r="B13" s="252">
        <v>3</v>
      </c>
      <c r="C13" s="253" t="s">
        <v>53</v>
      </c>
      <c r="D13" s="253"/>
      <c r="E13" s="253"/>
      <c r="F13" s="253"/>
      <c r="G13" s="137"/>
      <c r="H13" s="137"/>
      <c r="I13" s="64"/>
    </row>
    <row r="14" spans="2:9" x14ac:dyDescent="0.2">
      <c r="B14" s="252"/>
      <c r="C14" s="255">
        <v>2302.8200000000002</v>
      </c>
      <c r="D14" s="255"/>
      <c r="E14" s="255"/>
      <c r="F14" s="255"/>
      <c r="G14" s="137"/>
      <c r="H14" s="137"/>
      <c r="I14" s="64"/>
    </row>
    <row r="15" spans="2:9" x14ac:dyDescent="0.2">
      <c r="B15" s="252">
        <v>4</v>
      </c>
      <c r="C15" s="253" t="s">
        <v>54</v>
      </c>
      <c r="D15" s="253"/>
      <c r="E15" s="253"/>
      <c r="F15" s="253"/>
      <c r="G15" s="137"/>
      <c r="H15" s="137"/>
      <c r="I15" s="64"/>
    </row>
    <row r="16" spans="2:9" x14ac:dyDescent="0.2">
      <c r="B16" s="252"/>
      <c r="C16" s="262">
        <v>45658</v>
      </c>
      <c r="D16" s="254"/>
      <c r="E16" s="254"/>
      <c r="F16" s="254"/>
      <c r="G16" s="137"/>
      <c r="H16" s="137"/>
      <c r="I16" s="64"/>
    </row>
    <row r="17" spans="2:9" x14ac:dyDescent="0.2">
      <c r="B17" s="252">
        <v>5</v>
      </c>
      <c r="C17" s="253" t="s">
        <v>55</v>
      </c>
      <c r="D17" s="253"/>
      <c r="E17" s="253"/>
      <c r="F17" s="253"/>
      <c r="G17" s="137"/>
      <c r="H17" s="137"/>
      <c r="I17" s="64"/>
    </row>
    <row r="18" spans="2:9" x14ac:dyDescent="0.2">
      <c r="B18" s="252"/>
      <c r="C18" s="254" t="s">
        <v>207</v>
      </c>
      <c r="D18" s="254"/>
      <c r="E18" s="254"/>
      <c r="F18" s="254"/>
      <c r="G18" s="137"/>
      <c r="H18" s="137"/>
      <c r="I18" s="64"/>
    </row>
    <row r="19" spans="2:9" x14ac:dyDescent="0.2">
      <c r="B19" s="252">
        <v>6</v>
      </c>
      <c r="C19" s="253" t="s">
        <v>56</v>
      </c>
      <c r="D19" s="253"/>
      <c r="E19" s="253"/>
      <c r="F19" s="253"/>
      <c r="G19" s="137"/>
      <c r="H19" s="137"/>
      <c r="I19" s="64"/>
    </row>
    <row r="20" spans="2:9" x14ac:dyDescent="0.2">
      <c r="B20" s="252"/>
      <c r="C20" s="254" t="s">
        <v>208</v>
      </c>
      <c r="D20" s="254"/>
      <c r="E20" s="254"/>
      <c r="F20" s="254"/>
      <c r="G20" s="137"/>
      <c r="H20" s="137"/>
      <c r="I20" s="64"/>
    </row>
    <row r="21" spans="2:9" x14ac:dyDescent="0.2">
      <c r="B21" s="66"/>
      <c r="C21" s="66"/>
      <c r="D21" s="66"/>
      <c r="E21" s="66"/>
      <c r="F21" s="66"/>
      <c r="G21" s="67"/>
      <c r="H21" s="67"/>
      <c r="I21" s="64"/>
    </row>
    <row r="22" spans="2:9" x14ac:dyDescent="0.2">
      <c r="B22" s="68"/>
      <c r="C22" s="68"/>
      <c r="D22" s="68"/>
      <c r="E22" s="68"/>
      <c r="F22" s="68"/>
      <c r="G22" s="68"/>
      <c r="H22" s="142" t="s">
        <v>195</v>
      </c>
    </row>
    <row r="23" spans="2:9" x14ac:dyDescent="0.2">
      <c r="B23" s="209" t="s">
        <v>63</v>
      </c>
      <c r="C23" s="210"/>
      <c r="D23" s="210"/>
      <c r="E23" s="210"/>
      <c r="F23" s="210"/>
      <c r="G23" s="140"/>
      <c r="H23" s="141"/>
      <c r="I23" s="100"/>
    </row>
    <row r="24" spans="2:9" x14ac:dyDescent="0.2">
      <c r="B24" s="95">
        <v>1</v>
      </c>
      <c r="C24" s="192" t="s">
        <v>57</v>
      </c>
      <c r="D24" s="193"/>
      <c r="E24" s="193"/>
      <c r="F24" s="194"/>
      <c r="G24" s="139" t="s">
        <v>1</v>
      </c>
      <c r="H24" s="139" t="s">
        <v>48</v>
      </c>
      <c r="I24" s="100"/>
    </row>
    <row r="25" spans="2:9" ht="12.75" customHeight="1" x14ac:dyDescent="0.2">
      <c r="B25" s="13" t="s">
        <v>4</v>
      </c>
      <c r="C25" s="93" t="s">
        <v>17</v>
      </c>
      <c r="D25" s="215"/>
      <c r="E25" s="216"/>
      <c r="F25" s="217"/>
      <c r="G25" s="14"/>
      <c r="H25" s="31">
        <v>2302.8200000000002</v>
      </c>
      <c r="I25" s="106"/>
    </row>
    <row r="26" spans="2:9" x14ac:dyDescent="0.2">
      <c r="B26" s="13" t="s">
        <v>5</v>
      </c>
      <c r="C26" s="93" t="s">
        <v>24</v>
      </c>
      <c r="D26" s="215" t="s">
        <v>128</v>
      </c>
      <c r="E26" s="216"/>
      <c r="F26" s="217"/>
      <c r="G26" s="32">
        <v>0.3</v>
      </c>
      <c r="H26" s="15">
        <f>TRUNC(H$25*$G26,2)</f>
        <v>690.84</v>
      </c>
      <c r="I26" s="102"/>
    </row>
    <row r="27" spans="2:9" x14ac:dyDescent="0.2">
      <c r="B27" s="13" t="s">
        <v>6</v>
      </c>
      <c r="C27" s="94" t="s">
        <v>25</v>
      </c>
      <c r="D27" s="166" t="s">
        <v>171</v>
      </c>
      <c r="E27" s="177" t="s">
        <v>197</v>
      </c>
      <c r="F27" s="176">
        <v>1518</v>
      </c>
      <c r="G27" s="32"/>
      <c r="H27" s="15">
        <f>TRUNC(F$27*$G27,2)</f>
        <v>0</v>
      </c>
      <c r="I27" s="102"/>
    </row>
    <row r="28" spans="2:9" x14ac:dyDescent="0.2">
      <c r="B28" s="13" t="s">
        <v>7</v>
      </c>
      <c r="C28" s="94" t="s">
        <v>0</v>
      </c>
      <c r="D28" s="215" t="s">
        <v>178</v>
      </c>
      <c r="E28" s="216"/>
      <c r="F28" s="217"/>
      <c r="G28" s="33">
        <v>0.2</v>
      </c>
      <c r="H28" s="72">
        <f>TRUNC(((H$25+H26)*$G28)/220*8*15,2)</f>
        <v>326.58</v>
      </c>
      <c r="I28" s="103"/>
    </row>
    <row r="29" spans="2:9" x14ac:dyDescent="0.2">
      <c r="B29" s="13" t="s">
        <v>8</v>
      </c>
      <c r="C29" s="94" t="s">
        <v>2</v>
      </c>
      <c r="D29" s="215"/>
      <c r="E29" s="216"/>
      <c r="F29" s="217"/>
      <c r="G29" s="33"/>
      <c r="H29" s="53"/>
      <c r="I29" s="104"/>
    </row>
    <row r="30" spans="2:9" x14ac:dyDescent="0.2">
      <c r="B30" s="13" t="s">
        <v>129</v>
      </c>
      <c r="C30" s="192" t="s">
        <v>58</v>
      </c>
      <c r="D30" s="193"/>
      <c r="E30" s="193"/>
      <c r="F30" s="194"/>
      <c r="G30" s="27"/>
      <c r="H30" s="16">
        <f>SUM(H25:H29)</f>
        <v>3320.2400000000002</v>
      </c>
      <c r="I30" s="17"/>
    </row>
    <row r="31" spans="2:9" ht="22.5" x14ac:dyDescent="0.2">
      <c r="B31" s="99"/>
      <c r="C31" s="245" t="s">
        <v>119</v>
      </c>
      <c r="D31" s="245"/>
      <c r="E31" s="245"/>
      <c r="F31" s="245"/>
      <c r="G31" s="56" t="s">
        <v>107</v>
      </c>
      <c r="H31" s="55" t="s">
        <v>123</v>
      </c>
      <c r="I31" s="2"/>
    </row>
    <row r="32" spans="2:9" x14ac:dyDescent="0.2">
      <c r="B32" s="99"/>
      <c r="C32" s="245"/>
      <c r="D32" s="245"/>
      <c r="E32" s="245"/>
      <c r="F32" s="245"/>
      <c r="G32" s="54"/>
      <c r="H32" s="34">
        <f>IF($G$32="",0,TRUNC((H25+H26+H27)/220,2))</f>
        <v>0</v>
      </c>
      <c r="I32" s="105"/>
    </row>
    <row r="33" spans="2:9" x14ac:dyDescent="0.2">
      <c r="B33" s="99"/>
      <c r="C33" s="99"/>
      <c r="D33" s="99"/>
      <c r="E33" s="99"/>
      <c r="F33" s="99"/>
      <c r="G33" s="99"/>
      <c r="H33" s="73"/>
      <c r="I33" s="17"/>
    </row>
    <row r="34" spans="2:9" x14ac:dyDescent="0.2">
      <c r="B34" s="99"/>
      <c r="C34" s="99"/>
      <c r="D34" s="99"/>
      <c r="E34" s="99"/>
      <c r="F34" s="99"/>
      <c r="G34" s="99"/>
      <c r="H34" s="73"/>
      <c r="I34" s="17"/>
    </row>
    <row r="35" spans="2:9" ht="12.75" customHeight="1" x14ac:dyDescent="0.2">
      <c r="B35" s="209" t="s">
        <v>64</v>
      </c>
      <c r="C35" s="210"/>
      <c r="D35" s="210"/>
      <c r="E35" s="210"/>
      <c r="F35" s="210"/>
      <c r="G35" s="140"/>
      <c r="H35" s="141"/>
      <c r="I35" s="100"/>
    </row>
    <row r="36" spans="2:9" x14ac:dyDescent="0.2">
      <c r="B36" s="246"/>
      <c r="C36" s="247"/>
      <c r="D36" s="247"/>
      <c r="E36" s="247"/>
      <c r="F36" s="247"/>
      <c r="G36" s="62"/>
      <c r="H36" s="62"/>
      <c r="I36" s="100"/>
    </row>
    <row r="37" spans="2:9" x14ac:dyDescent="0.2">
      <c r="B37" s="248" t="s">
        <v>35</v>
      </c>
      <c r="C37" s="248"/>
      <c r="D37" s="248"/>
      <c r="E37" s="248"/>
      <c r="F37" s="248"/>
      <c r="G37" s="62"/>
      <c r="H37" s="62"/>
      <c r="I37" s="100"/>
    </row>
    <row r="38" spans="2:9" x14ac:dyDescent="0.2">
      <c r="B38" s="139" t="s">
        <v>37</v>
      </c>
      <c r="C38" s="249" t="s">
        <v>26</v>
      </c>
      <c r="D38" s="250"/>
      <c r="E38" s="250"/>
      <c r="F38" s="251"/>
      <c r="G38" s="95" t="s">
        <v>1</v>
      </c>
      <c r="H38" s="95" t="s">
        <v>48</v>
      </c>
      <c r="I38" s="100"/>
    </row>
    <row r="39" spans="2:9" x14ac:dyDescent="0.2">
      <c r="B39" s="13" t="s">
        <v>4</v>
      </c>
      <c r="C39" s="93" t="s">
        <v>109</v>
      </c>
      <c r="D39" s="215" t="s">
        <v>130</v>
      </c>
      <c r="E39" s="216"/>
      <c r="F39" s="217"/>
      <c r="G39" s="145">
        <f>1/12</f>
        <v>8.3333333333333329E-2</v>
      </c>
      <c r="H39" s="146">
        <f>TRUNC((H$30*$G39),2)</f>
        <v>276.68</v>
      </c>
      <c r="I39" s="106"/>
    </row>
    <row r="40" spans="2:9" x14ac:dyDescent="0.2">
      <c r="B40" s="13" t="s">
        <v>5</v>
      </c>
      <c r="C40" s="93" t="s">
        <v>62</v>
      </c>
      <c r="D40" s="215" t="s">
        <v>132</v>
      </c>
      <c r="E40" s="216"/>
      <c r="F40" s="217"/>
      <c r="G40" s="18">
        <f>(1/12)+(1/3/12)</f>
        <v>0.1111111111111111</v>
      </c>
      <c r="H40" s="19">
        <f>TRUNC((H$30*$G40),2)</f>
        <v>368.91</v>
      </c>
      <c r="I40" s="106"/>
    </row>
    <row r="41" spans="2:9" x14ac:dyDescent="0.2">
      <c r="B41" s="13" t="s">
        <v>131</v>
      </c>
      <c r="C41" s="192" t="s">
        <v>58</v>
      </c>
      <c r="D41" s="193"/>
      <c r="E41" s="193"/>
      <c r="F41" s="194"/>
      <c r="G41" s="20">
        <f>TRUNC(SUM(G39:G40),4)</f>
        <v>0.19439999999999999</v>
      </c>
      <c r="H41" s="16">
        <f>SUM(H39:H40)</f>
        <v>645.59</v>
      </c>
      <c r="I41" s="17"/>
    </row>
    <row r="42" spans="2:9" x14ac:dyDescent="0.2">
      <c r="B42" s="235"/>
      <c r="C42" s="228"/>
      <c r="D42" s="228"/>
      <c r="E42" s="228"/>
      <c r="F42" s="228"/>
      <c r="G42" s="228"/>
      <c r="H42" s="236"/>
      <c r="I42" s="99"/>
    </row>
    <row r="43" spans="2:9" ht="30" customHeight="1" x14ac:dyDescent="0.2">
      <c r="B43" s="232" t="s">
        <v>65</v>
      </c>
      <c r="C43" s="233"/>
      <c r="D43" s="233"/>
      <c r="E43" s="233"/>
      <c r="F43" s="234"/>
      <c r="G43" s="143"/>
      <c r="H43" s="144"/>
      <c r="I43" s="107"/>
    </row>
    <row r="44" spans="2:9" x14ac:dyDescent="0.2">
      <c r="B44" s="95" t="s">
        <v>38</v>
      </c>
      <c r="C44" s="192" t="s">
        <v>66</v>
      </c>
      <c r="D44" s="193"/>
      <c r="E44" s="193"/>
      <c r="F44" s="194"/>
      <c r="G44" s="95" t="s">
        <v>1</v>
      </c>
      <c r="H44" s="95" t="s">
        <v>48</v>
      </c>
      <c r="I44" s="100"/>
    </row>
    <row r="45" spans="2:9" x14ac:dyDescent="0.2">
      <c r="B45" s="13" t="s">
        <v>4</v>
      </c>
      <c r="C45" s="93" t="s">
        <v>29</v>
      </c>
      <c r="D45" s="215" t="s">
        <v>133</v>
      </c>
      <c r="E45" s="216"/>
      <c r="F45" s="217"/>
      <c r="G45" s="18">
        <v>0.2</v>
      </c>
      <c r="H45" s="19">
        <f>TRUNC((H$30+H$41)*$G45,2)</f>
        <v>793.16</v>
      </c>
      <c r="I45" s="106"/>
    </row>
    <row r="46" spans="2:9" x14ac:dyDescent="0.2">
      <c r="B46" s="13" t="s">
        <v>5</v>
      </c>
      <c r="C46" s="81" t="s">
        <v>30</v>
      </c>
      <c r="D46" s="215" t="s">
        <v>134</v>
      </c>
      <c r="E46" s="216"/>
      <c r="F46" s="217"/>
      <c r="G46" s="18">
        <v>2.5000000000000001E-2</v>
      </c>
      <c r="H46" s="19">
        <f>TRUNC((H$30+H$41)*$G46,2)</f>
        <v>99.14</v>
      </c>
      <c r="I46" s="106"/>
    </row>
    <row r="47" spans="2:9" x14ac:dyDescent="0.2">
      <c r="B47" s="237" t="s">
        <v>6</v>
      </c>
      <c r="C47" s="239" t="s">
        <v>101</v>
      </c>
      <c r="D47" s="241" t="s">
        <v>140</v>
      </c>
      <c r="E47" s="8" t="s">
        <v>102</v>
      </c>
      <c r="F47" s="8" t="s">
        <v>100</v>
      </c>
      <c r="G47" s="242">
        <f>E48*F48</f>
        <v>0.06</v>
      </c>
      <c r="H47" s="244">
        <f>TRUNC((H$30+H$41)*$G47,2)</f>
        <v>237.94</v>
      </c>
      <c r="I47" s="109"/>
    </row>
    <row r="48" spans="2:9" x14ac:dyDescent="0.2">
      <c r="B48" s="238"/>
      <c r="C48" s="240"/>
      <c r="D48" s="241"/>
      <c r="E48" s="35">
        <v>0.03</v>
      </c>
      <c r="F48" s="36">
        <v>2</v>
      </c>
      <c r="G48" s="243"/>
      <c r="H48" s="244"/>
      <c r="I48" s="109"/>
    </row>
    <row r="49" spans="2:9" x14ac:dyDescent="0.2">
      <c r="B49" s="13" t="s">
        <v>7</v>
      </c>
      <c r="C49" s="93" t="s">
        <v>28</v>
      </c>
      <c r="D49" s="215" t="s">
        <v>135</v>
      </c>
      <c r="E49" s="216"/>
      <c r="F49" s="217"/>
      <c r="G49" s="18">
        <v>1.4999999999999999E-2</v>
      </c>
      <c r="H49" s="19">
        <f>TRUNC((H$30+H$41)*$G49,2)</f>
        <v>59.48</v>
      </c>
      <c r="I49" s="106"/>
    </row>
    <row r="50" spans="2:9" x14ac:dyDescent="0.2">
      <c r="B50" s="13" t="s">
        <v>8</v>
      </c>
      <c r="C50" s="93" t="s">
        <v>31</v>
      </c>
      <c r="D50" s="215" t="s">
        <v>136</v>
      </c>
      <c r="E50" s="216"/>
      <c r="F50" s="217"/>
      <c r="G50" s="18">
        <v>0.01</v>
      </c>
      <c r="H50" s="19">
        <f>TRUNC((H$30+H$41)*$G50,2)</f>
        <v>39.65</v>
      </c>
      <c r="I50" s="106"/>
    </row>
    <row r="51" spans="2:9" x14ac:dyDescent="0.2">
      <c r="B51" s="13" t="s">
        <v>9</v>
      </c>
      <c r="C51" s="93" t="s">
        <v>32</v>
      </c>
      <c r="D51" s="215" t="s">
        <v>137</v>
      </c>
      <c r="E51" s="216"/>
      <c r="F51" s="217"/>
      <c r="G51" s="18">
        <v>6.0000000000000001E-3</v>
      </c>
      <c r="H51" s="19">
        <f>TRUNC((H$30+H$41)*$G51,2)</f>
        <v>23.79</v>
      </c>
      <c r="I51" s="106"/>
    </row>
    <row r="52" spans="2:9" x14ac:dyDescent="0.2">
      <c r="B52" s="13" t="s">
        <v>10</v>
      </c>
      <c r="C52" s="93" t="s">
        <v>33</v>
      </c>
      <c r="D52" s="215" t="s">
        <v>138</v>
      </c>
      <c r="E52" s="216"/>
      <c r="F52" s="217"/>
      <c r="G52" s="18">
        <v>2E-3</v>
      </c>
      <c r="H52" s="19">
        <f>TRUNC((H$30+H$41)*$G52,2)</f>
        <v>7.93</v>
      </c>
      <c r="I52" s="106"/>
    </row>
    <row r="53" spans="2:9" x14ac:dyDescent="0.2">
      <c r="B53" s="13" t="s">
        <v>11</v>
      </c>
      <c r="C53" s="93" t="s">
        <v>34</v>
      </c>
      <c r="D53" s="215" t="s">
        <v>139</v>
      </c>
      <c r="E53" s="216"/>
      <c r="F53" s="217"/>
      <c r="G53" s="18">
        <v>0.08</v>
      </c>
      <c r="H53" s="19">
        <f>TRUNC((H$30+H$41)*$G53,2)</f>
        <v>317.26</v>
      </c>
      <c r="I53" s="106"/>
    </row>
    <row r="54" spans="2:9" x14ac:dyDescent="0.2">
      <c r="B54" s="13" t="s">
        <v>141</v>
      </c>
      <c r="C54" s="192" t="s">
        <v>58</v>
      </c>
      <c r="D54" s="193"/>
      <c r="E54" s="193"/>
      <c r="F54" s="194"/>
      <c r="G54" s="21">
        <f>SUM(G45:G53)</f>
        <v>0.39800000000000008</v>
      </c>
      <c r="H54" s="16">
        <f>SUM(H45:H53)</f>
        <v>1578.3500000000001</v>
      </c>
      <c r="I54" s="17"/>
    </row>
    <row r="55" spans="2:9" x14ac:dyDescent="0.2">
      <c r="B55" s="229"/>
      <c r="C55" s="230"/>
      <c r="D55" s="230"/>
      <c r="E55" s="230"/>
      <c r="F55" s="230"/>
      <c r="G55" s="230"/>
      <c r="H55" s="231"/>
      <c r="I55" s="118"/>
    </row>
    <row r="56" spans="2:9" ht="12.75" customHeight="1" x14ac:dyDescent="0.2">
      <c r="B56" s="232" t="s">
        <v>36</v>
      </c>
      <c r="C56" s="233"/>
      <c r="D56" s="233"/>
      <c r="E56" s="233"/>
      <c r="F56" s="234"/>
      <c r="G56" s="143"/>
      <c r="H56" s="144"/>
      <c r="I56" s="118"/>
    </row>
    <row r="57" spans="2:9" x14ac:dyDescent="0.2">
      <c r="B57" s="95" t="s">
        <v>39</v>
      </c>
      <c r="C57" s="192" t="s">
        <v>40</v>
      </c>
      <c r="D57" s="193"/>
      <c r="E57" s="193"/>
      <c r="F57" s="193"/>
      <c r="G57" s="82"/>
      <c r="H57" s="95" t="s">
        <v>48</v>
      </c>
      <c r="I57" s="100"/>
    </row>
    <row r="58" spans="2:9" ht="12.75" customHeight="1" x14ac:dyDescent="0.2">
      <c r="B58" s="13" t="s">
        <v>4</v>
      </c>
      <c r="C58" s="93" t="s">
        <v>46</v>
      </c>
      <c r="D58" s="166" t="s">
        <v>214</v>
      </c>
      <c r="E58" s="167"/>
      <c r="F58" s="167"/>
      <c r="G58" s="168"/>
      <c r="H58" s="37">
        <f>IF((TRUNC((8.55*2*15)-(H$25*6%),2))&lt;0,"0,00",(TRUNC((8.55*2*15)-(H$25*6%),2)))</f>
        <v>118.33</v>
      </c>
      <c r="I58" s="119"/>
    </row>
    <row r="59" spans="2:9" ht="12.75" customHeight="1" x14ac:dyDescent="0.2">
      <c r="B59" s="13" t="s">
        <v>5</v>
      </c>
      <c r="C59" s="93" t="s">
        <v>47</v>
      </c>
      <c r="D59" s="166" t="s">
        <v>215</v>
      </c>
      <c r="E59" s="167"/>
      <c r="F59" s="167"/>
      <c r="G59" s="168"/>
      <c r="H59" s="37">
        <f>((37.85*15)*80%)</f>
        <v>454.20000000000005</v>
      </c>
      <c r="I59" s="119"/>
    </row>
    <row r="60" spans="2:9" x14ac:dyDescent="0.2">
      <c r="B60" s="13" t="s">
        <v>6</v>
      </c>
      <c r="C60" s="93" t="s">
        <v>234</v>
      </c>
      <c r="D60" s="166"/>
      <c r="E60" s="167"/>
      <c r="F60" s="167"/>
      <c r="G60" s="168"/>
      <c r="H60" s="37">
        <v>14.02</v>
      </c>
      <c r="I60" s="119"/>
    </row>
    <row r="61" spans="2:9" x14ac:dyDescent="0.2">
      <c r="B61" s="13" t="s">
        <v>7</v>
      </c>
      <c r="C61" s="93" t="s">
        <v>209</v>
      </c>
      <c r="D61" s="166"/>
      <c r="E61" s="167"/>
      <c r="F61" s="167"/>
      <c r="G61" s="168"/>
      <c r="H61" s="37">
        <v>63.99</v>
      </c>
      <c r="I61" s="119"/>
    </row>
    <row r="62" spans="2:9" s="74" customFormat="1" x14ac:dyDescent="0.2">
      <c r="B62" s="13" t="s">
        <v>8</v>
      </c>
      <c r="C62" s="93" t="s">
        <v>233</v>
      </c>
      <c r="D62" s="166"/>
      <c r="E62" s="167"/>
      <c r="F62" s="167"/>
      <c r="G62" s="168"/>
      <c r="H62" s="37">
        <v>31.07</v>
      </c>
      <c r="I62" s="119"/>
    </row>
    <row r="63" spans="2:9" x14ac:dyDescent="0.2">
      <c r="B63" s="13" t="s">
        <v>142</v>
      </c>
      <c r="C63" s="192" t="s">
        <v>58</v>
      </c>
      <c r="D63" s="193"/>
      <c r="E63" s="193"/>
      <c r="F63" s="193"/>
      <c r="G63" s="82"/>
      <c r="H63" s="16">
        <f>SUM(H58:H62)</f>
        <v>681.61000000000013</v>
      </c>
      <c r="I63" s="17"/>
    </row>
    <row r="64" spans="2:9" x14ac:dyDescent="0.2">
      <c r="B64" s="235"/>
      <c r="C64" s="228"/>
      <c r="D64" s="228"/>
      <c r="E64" s="228"/>
      <c r="F64" s="228"/>
      <c r="G64" s="228"/>
      <c r="H64" s="236"/>
      <c r="I64" s="99"/>
    </row>
    <row r="65" spans="2:9" x14ac:dyDescent="0.2">
      <c r="B65" s="222" t="s">
        <v>68</v>
      </c>
      <c r="C65" s="223"/>
      <c r="D65" s="223"/>
      <c r="E65" s="223"/>
      <c r="F65" s="223"/>
      <c r="G65" s="147"/>
      <c r="H65" s="147"/>
      <c r="I65" s="99"/>
    </row>
    <row r="66" spans="2:9" x14ac:dyDescent="0.2">
      <c r="B66" s="95">
        <v>2</v>
      </c>
      <c r="C66" s="192" t="s">
        <v>67</v>
      </c>
      <c r="D66" s="193"/>
      <c r="E66" s="193"/>
      <c r="F66" s="193"/>
      <c r="G66" s="82"/>
      <c r="H66" s="95" t="s">
        <v>48</v>
      </c>
      <c r="I66" s="100"/>
    </row>
    <row r="67" spans="2:9" x14ac:dyDescent="0.2">
      <c r="B67" s="13" t="s">
        <v>37</v>
      </c>
      <c r="C67" s="83" t="s">
        <v>26</v>
      </c>
      <c r="D67" s="166" t="s">
        <v>131</v>
      </c>
      <c r="E67" s="167"/>
      <c r="F67" s="167"/>
      <c r="G67" s="168"/>
      <c r="H67" s="19">
        <f>H41</f>
        <v>645.59</v>
      </c>
      <c r="I67" s="106"/>
    </row>
    <row r="68" spans="2:9" x14ac:dyDescent="0.2">
      <c r="B68" s="13" t="s">
        <v>38</v>
      </c>
      <c r="C68" s="83" t="s">
        <v>27</v>
      </c>
      <c r="D68" s="166" t="s">
        <v>141</v>
      </c>
      <c r="E68" s="167"/>
      <c r="F68" s="167"/>
      <c r="G68" s="168"/>
      <c r="H68" s="19">
        <f>H54</f>
        <v>1578.3500000000001</v>
      </c>
      <c r="I68" s="106"/>
    </row>
    <row r="69" spans="2:9" x14ac:dyDescent="0.2">
      <c r="B69" s="13" t="s">
        <v>39</v>
      </c>
      <c r="C69" s="83" t="s">
        <v>40</v>
      </c>
      <c r="D69" s="166" t="s">
        <v>142</v>
      </c>
      <c r="E69" s="167"/>
      <c r="F69" s="167"/>
      <c r="G69" s="168"/>
      <c r="H69" s="19">
        <f>H63</f>
        <v>681.61000000000013</v>
      </c>
      <c r="I69" s="106"/>
    </row>
    <row r="70" spans="2:9" x14ac:dyDescent="0.2">
      <c r="B70" s="13" t="s">
        <v>143</v>
      </c>
      <c r="C70" s="192" t="s">
        <v>58</v>
      </c>
      <c r="D70" s="193"/>
      <c r="E70" s="193"/>
      <c r="F70" s="193"/>
      <c r="G70" s="82"/>
      <c r="H70" s="16">
        <f>SUM(H67:H69)</f>
        <v>2905.55</v>
      </c>
      <c r="I70" s="17"/>
    </row>
    <row r="71" spans="2:9" x14ac:dyDescent="0.2">
      <c r="B71" s="228"/>
      <c r="C71" s="228"/>
      <c r="D71" s="228"/>
      <c r="E71" s="228"/>
      <c r="F71" s="228"/>
      <c r="G71" s="228"/>
      <c r="H71" s="228"/>
      <c r="I71" s="100"/>
    </row>
    <row r="72" spans="2:9" x14ac:dyDescent="0.2">
      <c r="B72" s="99"/>
      <c r="C72" s="99"/>
      <c r="D72" s="99"/>
      <c r="E72" s="99"/>
      <c r="F72" s="99"/>
      <c r="G72" s="99"/>
      <c r="H72" s="99"/>
      <c r="I72" s="100"/>
    </row>
    <row r="73" spans="2:9" x14ac:dyDescent="0.2">
      <c r="B73" s="209" t="s">
        <v>69</v>
      </c>
      <c r="C73" s="210"/>
      <c r="D73" s="210"/>
      <c r="E73" s="210"/>
      <c r="F73" s="218"/>
      <c r="G73" s="140"/>
      <c r="H73" s="141"/>
      <c r="I73" s="100"/>
    </row>
    <row r="74" spans="2:9" x14ac:dyDescent="0.2">
      <c r="B74" s="95">
        <v>3</v>
      </c>
      <c r="C74" s="192" t="s">
        <v>59</v>
      </c>
      <c r="D74" s="193"/>
      <c r="E74" s="193"/>
      <c r="F74" s="194"/>
      <c r="G74" s="95" t="s">
        <v>1</v>
      </c>
      <c r="H74" s="95" t="s">
        <v>48</v>
      </c>
      <c r="I74" s="100"/>
    </row>
    <row r="75" spans="2:9" x14ac:dyDescent="0.2">
      <c r="B75" s="13" t="s">
        <v>4</v>
      </c>
      <c r="C75" s="84" t="s">
        <v>95</v>
      </c>
      <c r="D75" s="166" t="s">
        <v>160</v>
      </c>
      <c r="E75" s="167"/>
      <c r="F75" s="168"/>
      <c r="G75" s="38">
        <v>1</v>
      </c>
      <c r="H75" s="22">
        <f>TRUNC((H$76+H$77)*$G75,2)</f>
        <v>530.76</v>
      </c>
      <c r="I75" s="17"/>
    </row>
    <row r="76" spans="2:9" x14ac:dyDescent="0.2">
      <c r="B76" s="13" t="s">
        <v>5</v>
      </c>
      <c r="C76" s="93" t="s">
        <v>96</v>
      </c>
      <c r="D76" s="166" t="s">
        <v>179</v>
      </c>
      <c r="E76" s="167"/>
      <c r="F76" s="168"/>
      <c r="G76" s="23"/>
      <c r="H76" s="19">
        <f>TRUNC((H$30+H$41+H$53+H$63-H58)/12,2)</f>
        <v>403.86</v>
      </c>
      <c r="I76" s="106"/>
    </row>
    <row r="77" spans="2:9" x14ac:dyDescent="0.2">
      <c r="B77" s="13" t="s">
        <v>6</v>
      </c>
      <c r="C77" s="93" t="s">
        <v>97</v>
      </c>
      <c r="D77" s="215" t="s">
        <v>172</v>
      </c>
      <c r="E77" s="217"/>
      <c r="F77" s="40">
        <v>0.4</v>
      </c>
      <c r="G77" s="23"/>
      <c r="H77" s="19">
        <f>TRUNC(H$53*$F77,2)</f>
        <v>126.9</v>
      </c>
      <c r="I77" s="106"/>
    </row>
    <row r="78" spans="2:9" x14ac:dyDescent="0.2">
      <c r="B78" s="13" t="s">
        <v>7</v>
      </c>
      <c r="C78" s="84" t="s">
        <v>98</v>
      </c>
      <c r="D78" s="166" t="s">
        <v>161</v>
      </c>
      <c r="E78" s="167"/>
      <c r="F78" s="168"/>
      <c r="G78" s="38">
        <v>1</v>
      </c>
      <c r="H78" s="87">
        <f>IF($G78&gt;=1,(TRUNC(H$79*$G78,2)),"ERRO")</f>
        <v>126.9</v>
      </c>
      <c r="I78" s="108"/>
    </row>
    <row r="79" spans="2:9" x14ac:dyDescent="0.2">
      <c r="B79" s="13" t="s">
        <v>8</v>
      </c>
      <c r="C79" s="93" t="s">
        <v>99</v>
      </c>
      <c r="D79" s="215" t="s">
        <v>172</v>
      </c>
      <c r="E79" s="217"/>
      <c r="F79" s="40">
        <v>0.4</v>
      </c>
      <c r="G79" s="23"/>
      <c r="H79" s="19">
        <f>TRUNC(H$53*$F79,2)</f>
        <v>126.9</v>
      </c>
      <c r="I79" s="106"/>
    </row>
    <row r="80" spans="2:9" x14ac:dyDescent="0.2">
      <c r="B80" s="13" t="s">
        <v>9</v>
      </c>
      <c r="C80" s="84" t="s">
        <v>177</v>
      </c>
      <c r="D80" s="224" t="s">
        <v>196</v>
      </c>
      <c r="E80" s="225"/>
      <c r="F80" s="39">
        <v>12</v>
      </c>
      <c r="G80" s="39">
        <v>3</v>
      </c>
      <c r="H80" s="19">
        <f>TRUNC(((H$30+H$41+H$54)/30)*$G80/$F80,2)</f>
        <v>46.2</v>
      </c>
      <c r="I80" s="106"/>
    </row>
    <row r="81" spans="2:9" x14ac:dyDescent="0.2">
      <c r="B81" s="13" t="s">
        <v>147</v>
      </c>
      <c r="C81" s="192" t="s">
        <v>58</v>
      </c>
      <c r="D81" s="193"/>
      <c r="E81" s="193"/>
      <c r="F81" s="193"/>
      <c r="G81" s="82"/>
      <c r="H81" s="16">
        <f>H$75+H$78+H$80</f>
        <v>703.86</v>
      </c>
      <c r="I81" s="17"/>
    </row>
    <row r="82" spans="2:9" x14ac:dyDescent="0.2">
      <c r="B82" s="96"/>
      <c r="C82" s="96"/>
      <c r="D82" s="96"/>
      <c r="E82" s="96"/>
      <c r="F82" s="96"/>
      <c r="G82" s="96"/>
      <c r="H82" s="96"/>
      <c r="I82" s="96"/>
    </row>
    <row r="83" spans="2:9" x14ac:dyDescent="0.2">
      <c r="B83" s="99"/>
      <c r="C83" s="99"/>
      <c r="D83" s="99"/>
      <c r="E83" s="99"/>
      <c r="F83" s="99"/>
      <c r="G83" s="99"/>
      <c r="H83" s="99"/>
      <c r="I83" s="100"/>
    </row>
    <row r="84" spans="2:9" x14ac:dyDescent="0.2">
      <c r="B84" s="209" t="s">
        <v>70</v>
      </c>
      <c r="C84" s="210"/>
      <c r="D84" s="210"/>
      <c r="E84" s="210"/>
      <c r="F84" s="218"/>
      <c r="G84" s="140"/>
      <c r="H84" s="141"/>
      <c r="I84" s="100"/>
    </row>
    <row r="85" spans="2:9" x14ac:dyDescent="0.2">
      <c r="B85" s="226" t="s">
        <v>88</v>
      </c>
      <c r="C85" s="227"/>
      <c r="D85" s="227"/>
      <c r="E85" s="227"/>
      <c r="F85" s="227"/>
      <c r="G85" s="148"/>
      <c r="H85" s="149"/>
      <c r="I85" s="100"/>
    </row>
    <row r="86" spans="2:9" x14ac:dyDescent="0.2">
      <c r="B86" s="95" t="s">
        <v>14</v>
      </c>
      <c r="C86" s="192" t="s">
        <v>89</v>
      </c>
      <c r="D86" s="193"/>
      <c r="E86" s="193"/>
      <c r="F86" s="194"/>
      <c r="G86" s="95" t="s">
        <v>103</v>
      </c>
      <c r="H86" s="95" t="s">
        <v>48</v>
      </c>
      <c r="I86" s="100"/>
    </row>
    <row r="87" spans="2:9" x14ac:dyDescent="0.2">
      <c r="B87" s="13" t="s">
        <v>4</v>
      </c>
      <c r="C87" s="93" t="s">
        <v>108</v>
      </c>
      <c r="D87" s="166" t="s">
        <v>153</v>
      </c>
      <c r="E87" s="167"/>
      <c r="F87" s="168"/>
      <c r="G87" s="39">
        <v>30</v>
      </c>
      <c r="H87" s="19">
        <f>TRUNC((H$89*$G87)/12,2)</f>
        <v>577.45000000000005</v>
      </c>
      <c r="I87" s="106"/>
    </row>
    <row r="88" spans="2:9" ht="22.5" x14ac:dyDescent="0.2">
      <c r="B88" s="13" t="s">
        <v>5</v>
      </c>
      <c r="C88" s="85" t="s">
        <v>159</v>
      </c>
      <c r="D88" s="169" t="s">
        <v>162</v>
      </c>
      <c r="E88" s="170"/>
      <c r="F88" s="171"/>
      <c r="G88" s="61">
        <v>8</v>
      </c>
      <c r="H88" s="19">
        <f>TRUNC((H$89*$G88)/12,2)</f>
        <v>153.97999999999999</v>
      </c>
      <c r="I88" s="106"/>
    </row>
    <row r="89" spans="2:9" x14ac:dyDescent="0.2">
      <c r="B89" s="13" t="s">
        <v>6</v>
      </c>
      <c r="C89" s="93" t="s">
        <v>110</v>
      </c>
      <c r="D89" s="166" t="s">
        <v>146</v>
      </c>
      <c r="E89" s="167"/>
      <c r="F89" s="167"/>
      <c r="G89" s="168"/>
      <c r="H89" s="19">
        <f>TRUNC((H$30+H$70+H$81)/30,2)</f>
        <v>230.98</v>
      </c>
      <c r="I89" s="106"/>
    </row>
    <row r="90" spans="2:9" x14ac:dyDescent="0.2">
      <c r="B90" s="13" t="s">
        <v>148</v>
      </c>
      <c r="C90" s="192" t="s">
        <v>58</v>
      </c>
      <c r="D90" s="193"/>
      <c r="E90" s="193"/>
      <c r="F90" s="193"/>
      <c r="G90" s="82"/>
      <c r="H90" s="16">
        <f>TRUNC(H$87+H$88,2)</f>
        <v>731.43</v>
      </c>
      <c r="I90" s="17"/>
    </row>
    <row r="91" spans="2:9" x14ac:dyDescent="0.2">
      <c r="B91" s="75"/>
      <c r="C91" s="76"/>
      <c r="D91" s="76"/>
      <c r="E91" s="76"/>
      <c r="F91" s="76"/>
      <c r="G91" s="76"/>
      <c r="H91" s="77"/>
      <c r="I91" s="24"/>
    </row>
    <row r="92" spans="2:9" x14ac:dyDescent="0.2">
      <c r="B92" s="222" t="s">
        <v>90</v>
      </c>
      <c r="C92" s="223"/>
      <c r="D92" s="223"/>
      <c r="E92" s="223"/>
      <c r="F92" s="223"/>
      <c r="G92" s="150"/>
      <c r="H92" s="151"/>
      <c r="I92" s="100"/>
    </row>
    <row r="93" spans="2:9" x14ac:dyDescent="0.2">
      <c r="B93" s="95" t="s">
        <v>15</v>
      </c>
      <c r="C93" s="192" t="s">
        <v>91</v>
      </c>
      <c r="D93" s="193"/>
      <c r="E93" s="193"/>
      <c r="F93" s="194"/>
      <c r="G93" s="95" t="s">
        <v>103</v>
      </c>
      <c r="H93" s="95" t="s">
        <v>48</v>
      </c>
      <c r="I93" s="100"/>
    </row>
    <row r="94" spans="2:9" ht="22.5" x14ac:dyDescent="0.2">
      <c r="B94" s="13" t="s">
        <v>4</v>
      </c>
      <c r="C94" s="85" t="s">
        <v>92</v>
      </c>
      <c r="D94" s="166" t="s">
        <v>181</v>
      </c>
      <c r="E94" s="167"/>
      <c r="F94" s="167"/>
      <c r="G94" s="39"/>
      <c r="H94" s="19">
        <f>TRUNC(((H$30+H70+H81)/220)*(1+50%)*G94,2)</f>
        <v>0</v>
      </c>
      <c r="I94" s="106"/>
    </row>
    <row r="95" spans="2:9" x14ac:dyDescent="0.2">
      <c r="B95" s="13" t="s">
        <v>149</v>
      </c>
      <c r="C95" s="192" t="s">
        <v>58</v>
      </c>
      <c r="D95" s="193"/>
      <c r="E95" s="193"/>
      <c r="F95" s="193"/>
      <c r="G95" s="125"/>
      <c r="H95" s="16">
        <f>H94</f>
        <v>0</v>
      </c>
      <c r="I95" s="106"/>
    </row>
    <row r="96" spans="2:9" x14ac:dyDescent="0.2">
      <c r="B96" s="98"/>
      <c r="C96" s="97"/>
      <c r="D96" s="97"/>
      <c r="E96" s="97"/>
      <c r="F96" s="97"/>
      <c r="G96" s="99"/>
      <c r="H96" s="165"/>
      <c r="I96" s="122"/>
    </row>
    <row r="97" spans="2:9" x14ac:dyDescent="0.2">
      <c r="B97" s="222" t="s">
        <v>71</v>
      </c>
      <c r="C97" s="223"/>
      <c r="D97" s="223"/>
      <c r="E97" s="223"/>
      <c r="F97" s="223"/>
      <c r="G97" s="150"/>
      <c r="H97" s="151"/>
      <c r="I97" s="100"/>
    </row>
    <row r="98" spans="2:9" x14ac:dyDescent="0.2">
      <c r="B98" s="95">
        <v>4</v>
      </c>
      <c r="C98" s="192" t="s">
        <v>72</v>
      </c>
      <c r="D98" s="193"/>
      <c r="E98" s="193"/>
      <c r="F98" s="193"/>
      <c r="G98" s="194"/>
      <c r="H98" s="95" t="s">
        <v>48</v>
      </c>
      <c r="I98" s="100"/>
    </row>
    <row r="99" spans="2:9" x14ac:dyDescent="0.2">
      <c r="B99" s="13" t="s">
        <v>14</v>
      </c>
      <c r="C99" s="93" t="s">
        <v>41</v>
      </c>
      <c r="D99" s="166" t="s">
        <v>148</v>
      </c>
      <c r="E99" s="167"/>
      <c r="F99" s="167"/>
      <c r="G99" s="168"/>
      <c r="H99" s="19">
        <f>H90</f>
        <v>731.43</v>
      </c>
      <c r="I99" s="106"/>
    </row>
    <row r="100" spans="2:9" x14ac:dyDescent="0.2">
      <c r="B100" s="13" t="s">
        <v>15</v>
      </c>
      <c r="C100" s="93" t="s">
        <v>43</v>
      </c>
      <c r="D100" s="166" t="s">
        <v>149</v>
      </c>
      <c r="E100" s="167"/>
      <c r="F100" s="167"/>
      <c r="G100" s="168"/>
      <c r="H100" s="19">
        <f>H95</f>
        <v>0</v>
      </c>
      <c r="I100" s="106"/>
    </row>
    <row r="101" spans="2:9" x14ac:dyDescent="0.2">
      <c r="B101" s="13" t="s">
        <v>150</v>
      </c>
      <c r="C101" s="192" t="s">
        <v>58</v>
      </c>
      <c r="D101" s="193"/>
      <c r="E101" s="193"/>
      <c r="F101" s="193"/>
      <c r="G101" s="82"/>
      <c r="H101" s="16">
        <f>SUM(H99:H100)</f>
        <v>731.43</v>
      </c>
      <c r="I101" s="17"/>
    </row>
    <row r="102" spans="2:9" x14ac:dyDescent="0.2">
      <c r="B102" s="99"/>
      <c r="C102" s="99"/>
      <c r="D102" s="99"/>
      <c r="E102" s="99"/>
      <c r="F102" s="99"/>
      <c r="G102" s="99"/>
      <c r="H102" s="99"/>
      <c r="I102" s="100"/>
    </row>
    <row r="103" spans="2:9" x14ac:dyDescent="0.2">
      <c r="B103" s="99"/>
      <c r="C103" s="99"/>
      <c r="D103" s="99"/>
      <c r="E103" s="99"/>
      <c r="F103" s="99"/>
      <c r="G103" s="99"/>
      <c r="H103" s="99"/>
      <c r="I103" s="100"/>
    </row>
    <row r="104" spans="2:9" x14ac:dyDescent="0.2">
      <c r="B104" s="209" t="s">
        <v>73</v>
      </c>
      <c r="C104" s="210"/>
      <c r="D104" s="210"/>
      <c r="E104" s="210"/>
      <c r="F104" s="218"/>
      <c r="G104" s="140"/>
      <c r="H104" s="141"/>
      <c r="I104" s="100"/>
    </row>
    <row r="105" spans="2:9" x14ac:dyDescent="0.2">
      <c r="B105" s="95">
        <v>5</v>
      </c>
      <c r="C105" s="219" t="s">
        <v>60</v>
      </c>
      <c r="D105" s="220"/>
      <c r="E105" s="220"/>
      <c r="F105" s="220"/>
      <c r="G105" s="221"/>
      <c r="H105" s="95" t="s">
        <v>48</v>
      </c>
      <c r="I105" s="100"/>
    </row>
    <row r="106" spans="2:9" x14ac:dyDescent="0.2">
      <c r="B106" s="13" t="s">
        <v>4</v>
      </c>
      <c r="C106" s="69" t="s">
        <v>44</v>
      </c>
      <c r="D106" s="70"/>
      <c r="E106" s="70"/>
      <c r="F106" s="70"/>
      <c r="G106" s="71"/>
      <c r="H106" s="72">
        <f>Insumos!G11</f>
        <v>680.03</v>
      </c>
      <c r="I106" s="106"/>
    </row>
    <row r="107" spans="2:9" x14ac:dyDescent="0.2">
      <c r="B107" s="13" t="s">
        <v>5</v>
      </c>
      <c r="C107" s="69" t="s">
        <v>12</v>
      </c>
      <c r="D107" s="70"/>
      <c r="E107" s="70"/>
      <c r="F107" s="70"/>
      <c r="G107" s="71"/>
      <c r="H107" s="72"/>
      <c r="I107" s="106"/>
    </row>
    <row r="108" spans="2:9" x14ac:dyDescent="0.2">
      <c r="B108" s="13" t="s">
        <v>6</v>
      </c>
      <c r="C108" s="69" t="s">
        <v>13</v>
      </c>
      <c r="D108" s="70"/>
      <c r="E108" s="70"/>
      <c r="F108" s="70"/>
      <c r="G108" s="71"/>
      <c r="H108" s="72">
        <f>Insumos!H26</f>
        <v>29.31</v>
      </c>
      <c r="I108" s="106"/>
    </row>
    <row r="109" spans="2:9" x14ac:dyDescent="0.2">
      <c r="B109" s="13" t="s">
        <v>7</v>
      </c>
      <c r="C109" s="69" t="s">
        <v>2</v>
      </c>
      <c r="D109" s="70"/>
      <c r="E109" s="70"/>
      <c r="F109" s="70"/>
      <c r="G109" s="71"/>
      <c r="H109" s="72"/>
      <c r="I109" s="106"/>
    </row>
    <row r="110" spans="2:9" x14ac:dyDescent="0.2">
      <c r="B110" s="13" t="s">
        <v>151</v>
      </c>
      <c r="C110" s="192" t="s">
        <v>58</v>
      </c>
      <c r="D110" s="193"/>
      <c r="E110" s="193"/>
      <c r="F110" s="193"/>
      <c r="G110" s="82"/>
      <c r="H110" s="16">
        <f>SUM(H106:H109)</f>
        <v>709.33999999999992</v>
      </c>
      <c r="I110" s="17"/>
    </row>
    <row r="111" spans="2:9" x14ac:dyDescent="0.2">
      <c r="B111" s="99"/>
      <c r="C111" s="99"/>
      <c r="D111" s="99"/>
      <c r="E111" s="99"/>
      <c r="F111" s="99"/>
      <c r="G111" s="78"/>
      <c r="H111" s="73"/>
      <c r="I111" s="17"/>
    </row>
    <row r="112" spans="2:9" x14ac:dyDescent="0.2">
      <c r="B112" s="99"/>
      <c r="C112" s="99"/>
      <c r="D112" s="99"/>
      <c r="E112" s="99"/>
      <c r="F112" s="99"/>
      <c r="G112" s="99"/>
      <c r="H112" s="99"/>
      <c r="I112" s="100"/>
    </row>
    <row r="113" spans="2:9" x14ac:dyDescent="0.2">
      <c r="B113" s="209" t="s">
        <v>74</v>
      </c>
      <c r="C113" s="210"/>
      <c r="D113" s="210"/>
      <c r="E113" s="210"/>
      <c r="F113" s="218"/>
      <c r="G113" s="140"/>
      <c r="H113" s="141"/>
      <c r="I113" s="100"/>
    </row>
    <row r="114" spans="2:9" x14ac:dyDescent="0.2">
      <c r="B114" s="95">
        <v>6</v>
      </c>
      <c r="C114" s="192" t="s">
        <v>61</v>
      </c>
      <c r="D114" s="193"/>
      <c r="E114" s="193"/>
      <c r="F114" s="194"/>
      <c r="G114" s="95" t="s">
        <v>1</v>
      </c>
      <c r="H114" s="95" t="s">
        <v>48</v>
      </c>
      <c r="I114" s="100"/>
    </row>
    <row r="115" spans="2:9" x14ac:dyDescent="0.2">
      <c r="B115" s="13" t="s">
        <v>4</v>
      </c>
      <c r="C115" s="93" t="s">
        <v>16</v>
      </c>
      <c r="D115" s="215" t="s">
        <v>163</v>
      </c>
      <c r="E115" s="216"/>
      <c r="F115" s="217"/>
      <c r="G115" s="50">
        <v>0.05</v>
      </c>
      <c r="H115" s="19">
        <f>TRUNC(H$132*$G115,2)</f>
        <v>418.52</v>
      </c>
      <c r="I115" s="106"/>
    </row>
    <row r="116" spans="2:9" x14ac:dyDescent="0.2">
      <c r="B116" s="13" t="s">
        <v>5</v>
      </c>
      <c r="C116" s="93" t="s">
        <v>3</v>
      </c>
      <c r="D116" s="215" t="s">
        <v>164</v>
      </c>
      <c r="E116" s="216"/>
      <c r="F116" s="217"/>
      <c r="G116" s="50">
        <v>0.1</v>
      </c>
      <c r="H116" s="19">
        <f>TRUNC((H$132+H$115)*$G116,2)</f>
        <v>878.89</v>
      </c>
      <c r="I116" s="106"/>
    </row>
    <row r="117" spans="2:9" x14ac:dyDescent="0.2">
      <c r="B117" s="13" t="s">
        <v>6</v>
      </c>
      <c r="C117" s="93" t="s">
        <v>117</v>
      </c>
      <c r="D117" s="215" t="s">
        <v>165</v>
      </c>
      <c r="E117" s="216"/>
      <c r="F117" s="217"/>
      <c r="G117" s="52">
        <f>1-(G118+G119+G120)</f>
        <v>0.85749999999999993</v>
      </c>
      <c r="H117" s="25">
        <f>TRUNC(((H$132+H$115+H$116)/$G117),2)</f>
        <v>11274.43</v>
      </c>
      <c r="I117" s="109"/>
    </row>
    <row r="118" spans="2:9" x14ac:dyDescent="0.2">
      <c r="B118" s="13" t="s">
        <v>21</v>
      </c>
      <c r="C118" s="93" t="s">
        <v>18</v>
      </c>
      <c r="D118" s="215" t="s">
        <v>166</v>
      </c>
      <c r="E118" s="216"/>
      <c r="F118" s="217"/>
      <c r="G118" s="51">
        <v>1.6500000000000001E-2</v>
      </c>
      <c r="H118" s="19">
        <f>TRUNC(H$117*$G118,2)</f>
        <v>186.02</v>
      </c>
      <c r="I118" s="106"/>
    </row>
    <row r="119" spans="2:9" x14ac:dyDescent="0.2">
      <c r="B119" s="13" t="s">
        <v>22</v>
      </c>
      <c r="C119" s="93" t="s">
        <v>19</v>
      </c>
      <c r="D119" s="215" t="s">
        <v>166</v>
      </c>
      <c r="E119" s="216"/>
      <c r="F119" s="217"/>
      <c r="G119" s="51">
        <v>7.5999999999999998E-2</v>
      </c>
      <c r="H119" s="19">
        <f>TRUNC(H$117*$G119,2)</f>
        <v>856.85</v>
      </c>
      <c r="I119" s="106"/>
    </row>
    <row r="120" spans="2:9" x14ac:dyDescent="0.2">
      <c r="B120" s="13" t="s">
        <v>23</v>
      </c>
      <c r="C120" s="93" t="s">
        <v>20</v>
      </c>
      <c r="D120" s="215" t="s">
        <v>166</v>
      </c>
      <c r="E120" s="216"/>
      <c r="F120" s="217"/>
      <c r="G120" s="51">
        <v>0.05</v>
      </c>
      <c r="H120" s="19">
        <f>TRUNC(H$117*$G120,2)</f>
        <v>563.72</v>
      </c>
      <c r="I120" s="106"/>
    </row>
    <row r="121" spans="2:9" x14ac:dyDescent="0.2">
      <c r="B121" s="13" t="s">
        <v>152</v>
      </c>
      <c r="C121" s="89" t="s">
        <v>58</v>
      </c>
      <c r="D121" s="207" t="s">
        <v>154</v>
      </c>
      <c r="E121" s="207"/>
      <c r="F121" s="207"/>
      <c r="G121" s="164"/>
      <c r="H121" s="16">
        <f>SUM(H115:H120)-H117</f>
        <v>2904</v>
      </c>
      <c r="I121" s="17"/>
    </row>
    <row r="122" spans="2:9" x14ac:dyDescent="0.2">
      <c r="B122" s="67"/>
      <c r="C122" s="67"/>
      <c r="D122" s="67"/>
      <c r="E122" s="67"/>
      <c r="F122" s="67"/>
      <c r="G122" s="67"/>
      <c r="H122" s="79"/>
      <c r="I122" s="26"/>
    </row>
    <row r="123" spans="2:9" x14ac:dyDescent="0.2">
      <c r="B123" s="208" t="s">
        <v>190</v>
      </c>
      <c r="C123" s="208"/>
      <c r="D123" s="208"/>
      <c r="E123" s="208"/>
      <c r="F123" s="208"/>
      <c r="G123" s="208"/>
      <c r="H123" s="208"/>
      <c r="I123" s="116"/>
    </row>
    <row r="124" spans="2:9" x14ac:dyDescent="0.2">
      <c r="B124" s="92"/>
      <c r="C124" s="92"/>
      <c r="D124" s="92"/>
      <c r="E124" s="92"/>
      <c r="F124" s="92"/>
      <c r="G124" s="92"/>
      <c r="H124" s="92"/>
      <c r="I124" s="116"/>
    </row>
    <row r="125" spans="2:9" x14ac:dyDescent="0.2">
      <c r="B125" s="209" t="s">
        <v>191</v>
      </c>
      <c r="C125" s="210"/>
      <c r="D125" s="210"/>
      <c r="E125" s="210"/>
      <c r="F125" s="210"/>
      <c r="G125" s="158"/>
      <c r="H125" s="141"/>
      <c r="I125" s="100"/>
    </row>
    <row r="126" spans="2:9" ht="12.75" customHeight="1" x14ac:dyDescent="0.2">
      <c r="B126" s="156"/>
      <c r="C126" s="211" t="s">
        <v>118</v>
      </c>
      <c r="D126" s="212"/>
      <c r="E126" s="212"/>
      <c r="F126" s="212"/>
      <c r="G126" s="157"/>
      <c r="H126" s="139" t="s">
        <v>48</v>
      </c>
      <c r="I126" s="100"/>
    </row>
    <row r="127" spans="2:9" x14ac:dyDescent="0.2">
      <c r="B127" s="13" t="s">
        <v>4</v>
      </c>
      <c r="C127" s="85" t="s">
        <v>76</v>
      </c>
      <c r="D127" s="166" t="s">
        <v>129</v>
      </c>
      <c r="E127" s="167"/>
      <c r="F127" s="167"/>
      <c r="G127" s="168"/>
      <c r="H127" s="19">
        <f>H30</f>
        <v>3320.2400000000002</v>
      </c>
      <c r="I127" s="106"/>
    </row>
    <row r="128" spans="2:9" ht="22.5" x14ac:dyDescent="0.2">
      <c r="B128" s="13" t="s">
        <v>5</v>
      </c>
      <c r="C128" s="85" t="s">
        <v>77</v>
      </c>
      <c r="D128" s="166" t="s">
        <v>143</v>
      </c>
      <c r="E128" s="167"/>
      <c r="F128" s="167"/>
      <c r="G128" s="168"/>
      <c r="H128" s="19">
        <f>H70</f>
        <v>2905.55</v>
      </c>
      <c r="I128" s="106"/>
    </row>
    <row r="129" spans="2:9" x14ac:dyDescent="0.2">
      <c r="B129" s="13" t="s">
        <v>6</v>
      </c>
      <c r="C129" s="85" t="s">
        <v>78</v>
      </c>
      <c r="D129" s="166" t="s">
        <v>147</v>
      </c>
      <c r="E129" s="167"/>
      <c r="F129" s="167"/>
      <c r="G129" s="168"/>
      <c r="H129" s="19">
        <f>H81</f>
        <v>703.86</v>
      </c>
      <c r="I129" s="106"/>
    </row>
    <row r="130" spans="2:9" ht="22.5" x14ac:dyDescent="0.2">
      <c r="B130" s="13" t="s">
        <v>7</v>
      </c>
      <c r="C130" s="85" t="s">
        <v>42</v>
      </c>
      <c r="D130" s="166" t="s">
        <v>150</v>
      </c>
      <c r="E130" s="167"/>
      <c r="F130" s="167"/>
      <c r="G130" s="168"/>
      <c r="H130" s="19">
        <f>H101</f>
        <v>731.43</v>
      </c>
      <c r="I130" s="106"/>
    </row>
    <row r="131" spans="2:9" x14ac:dyDescent="0.2">
      <c r="B131" s="13" t="s">
        <v>8</v>
      </c>
      <c r="C131" s="85" t="s">
        <v>79</v>
      </c>
      <c r="D131" s="166" t="s">
        <v>151</v>
      </c>
      <c r="E131" s="167"/>
      <c r="F131" s="167"/>
      <c r="G131" s="168"/>
      <c r="H131" s="19">
        <f>H110</f>
        <v>709.33999999999992</v>
      </c>
      <c r="I131" s="106"/>
    </row>
    <row r="132" spans="2:9" x14ac:dyDescent="0.2">
      <c r="B132" s="91" t="s">
        <v>9</v>
      </c>
      <c r="C132" s="84" t="s">
        <v>45</v>
      </c>
      <c r="D132" s="172" t="s">
        <v>170</v>
      </c>
      <c r="E132" s="173"/>
      <c r="F132" s="173"/>
      <c r="G132" s="174"/>
      <c r="H132" s="22">
        <f>SUM(H127:H131)</f>
        <v>8370.42</v>
      </c>
      <c r="I132" s="17"/>
    </row>
    <row r="133" spans="2:9" x14ac:dyDescent="0.2">
      <c r="B133" s="13" t="s">
        <v>10</v>
      </c>
      <c r="C133" s="93" t="s">
        <v>80</v>
      </c>
      <c r="D133" s="166" t="s">
        <v>152</v>
      </c>
      <c r="E133" s="167"/>
      <c r="F133" s="167"/>
      <c r="G133" s="168"/>
      <c r="H133" s="19">
        <f>H121</f>
        <v>2904</v>
      </c>
      <c r="I133" s="106"/>
    </row>
    <row r="134" spans="2:9" x14ac:dyDescent="0.2">
      <c r="B134" s="13" t="s">
        <v>155</v>
      </c>
      <c r="C134" s="88" t="s">
        <v>75</v>
      </c>
      <c r="D134" s="175" t="s">
        <v>169</v>
      </c>
      <c r="E134" s="163"/>
      <c r="F134" s="163"/>
      <c r="G134" s="164"/>
      <c r="H134" s="28">
        <f>SUM(H132:H133)</f>
        <v>11274.42</v>
      </c>
      <c r="I134" s="120"/>
    </row>
    <row r="135" spans="2:9" x14ac:dyDescent="0.2">
      <c r="B135" s="100"/>
      <c r="C135" s="88" t="s">
        <v>241</v>
      </c>
      <c r="D135" s="175" t="s">
        <v>239</v>
      </c>
      <c r="E135" s="163"/>
      <c r="F135" s="163"/>
      <c r="G135" s="164"/>
      <c r="H135" s="28">
        <f>H134*2</f>
        <v>22548.84</v>
      </c>
      <c r="I135" s="120"/>
    </row>
    <row r="136" spans="2:9" ht="12.75" customHeight="1" x14ac:dyDescent="0.2">
      <c r="B136" s="11"/>
      <c r="C136" s="11"/>
      <c r="D136" s="11"/>
      <c r="E136" s="11"/>
      <c r="F136" s="11"/>
      <c r="G136" s="11"/>
      <c r="H136" s="29"/>
      <c r="I136" s="29"/>
    </row>
    <row r="137" spans="2:9" x14ac:dyDescent="0.2">
      <c r="B137" s="208" t="s">
        <v>192</v>
      </c>
      <c r="C137" s="208"/>
      <c r="D137" s="208"/>
      <c r="E137" s="208"/>
      <c r="F137" s="208"/>
      <c r="I137" s="11"/>
    </row>
    <row r="138" spans="2:9" x14ac:dyDescent="0.2">
      <c r="B138" s="80"/>
      <c r="C138" s="80"/>
      <c r="D138" s="80"/>
      <c r="E138" s="74"/>
      <c r="F138" s="74"/>
      <c r="I138" s="11"/>
    </row>
    <row r="139" spans="2:9" x14ac:dyDescent="0.2">
      <c r="B139" s="213" t="s">
        <v>193</v>
      </c>
      <c r="C139" s="214"/>
      <c r="D139" s="214"/>
      <c r="E139" s="214"/>
      <c r="F139" s="214"/>
      <c r="G139" s="158"/>
      <c r="H139" s="141"/>
      <c r="I139" s="117"/>
    </row>
    <row r="140" spans="2:9" x14ac:dyDescent="0.2">
      <c r="B140" s="126" t="s">
        <v>4</v>
      </c>
      <c r="C140" s="159" t="s">
        <v>104</v>
      </c>
      <c r="D140" s="200" t="s">
        <v>155</v>
      </c>
      <c r="E140" s="201"/>
      <c r="F140" s="201"/>
      <c r="G140" s="160"/>
      <c r="H140" s="161">
        <f>H134</f>
        <v>11274.42</v>
      </c>
      <c r="I140" s="115"/>
    </row>
    <row r="141" spans="2:9" ht="22.5" x14ac:dyDescent="0.2">
      <c r="B141" s="13" t="s">
        <v>5</v>
      </c>
      <c r="C141" s="86" t="s">
        <v>157</v>
      </c>
      <c r="D141" s="202" t="s">
        <v>158</v>
      </c>
      <c r="E141" s="203"/>
      <c r="F141" s="203"/>
      <c r="G141" s="154"/>
      <c r="H141" s="9">
        <f>H41+H81+H99</f>
        <v>2080.88</v>
      </c>
      <c r="I141" s="110"/>
    </row>
    <row r="142" spans="2:9" ht="22.5" x14ac:dyDescent="0.2">
      <c r="B142" s="13" t="s">
        <v>6</v>
      </c>
      <c r="C142" s="86" t="s">
        <v>173</v>
      </c>
      <c r="D142" s="202" t="s">
        <v>180</v>
      </c>
      <c r="E142" s="203"/>
      <c r="F142" s="203"/>
      <c r="G142" s="155"/>
      <c r="H142" s="114">
        <f>TRUNC((H$41*$G54),2)</f>
        <v>256.94</v>
      </c>
      <c r="I142" s="115"/>
    </row>
    <row r="143" spans="2:9" ht="12.75" customHeight="1" x14ac:dyDescent="0.2">
      <c r="B143" s="13" t="s">
        <v>7</v>
      </c>
      <c r="C143" s="86" t="s">
        <v>16</v>
      </c>
      <c r="D143" s="204" t="s">
        <v>167</v>
      </c>
      <c r="E143" s="205"/>
      <c r="F143" s="206"/>
      <c r="G143" s="10">
        <f>G115</f>
        <v>0.05</v>
      </c>
      <c r="H143" s="9">
        <f>TRUNC((H$141+H$142)*$G143,2)</f>
        <v>116.89</v>
      </c>
      <c r="I143" s="110"/>
    </row>
    <row r="144" spans="2:9" ht="12.75" customHeight="1" x14ac:dyDescent="0.2">
      <c r="B144" s="13" t="s">
        <v>8</v>
      </c>
      <c r="C144" s="86" t="s">
        <v>3</v>
      </c>
      <c r="D144" s="204" t="s">
        <v>168</v>
      </c>
      <c r="E144" s="205"/>
      <c r="F144" s="206"/>
      <c r="G144" s="10">
        <f>G116</f>
        <v>0.1</v>
      </c>
      <c r="H144" s="9">
        <f>TRUNC((H$141+H$142+H$143)*$G144,2)</f>
        <v>245.47</v>
      </c>
      <c r="I144" s="110"/>
    </row>
    <row r="145" spans="2:9" ht="12.75" customHeight="1" x14ac:dyDescent="0.2">
      <c r="B145" s="13" t="s">
        <v>9</v>
      </c>
      <c r="C145" s="86" t="s">
        <v>105</v>
      </c>
      <c r="D145" s="204" t="s">
        <v>175</v>
      </c>
      <c r="E145" s="205"/>
      <c r="F145" s="206"/>
      <c r="G145" s="10">
        <f>G118+G119+G120</f>
        <v>0.14250000000000002</v>
      </c>
      <c r="H145" s="9">
        <f>TRUNC((H$141+H$142+H$143+H$144)/(1-$G145)-(H$141+H$142+H$143+H$144),2)</f>
        <v>448.71</v>
      </c>
      <c r="I145" s="110"/>
    </row>
    <row r="146" spans="2:9" ht="22.5" x14ac:dyDescent="0.2">
      <c r="B146" s="13" t="s">
        <v>10</v>
      </c>
      <c r="C146" s="127" t="s">
        <v>106</v>
      </c>
      <c r="D146" s="152" t="s">
        <v>176</v>
      </c>
      <c r="E146" s="153"/>
      <c r="F146" s="153"/>
      <c r="G146" s="154"/>
      <c r="H146" s="128">
        <f>SUM(H141:H145)</f>
        <v>3148.89</v>
      </c>
      <c r="I146" s="111"/>
    </row>
    <row r="147" spans="2:9" x14ac:dyDescent="0.2">
      <c r="B147" s="13" t="s">
        <v>156</v>
      </c>
      <c r="C147" s="90" t="s">
        <v>126</v>
      </c>
      <c r="D147" s="198" t="s">
        <v>174</v>
      </c>
      <c r="E147" s="199"/>
      <c r="F147" s="199"/>
      <c r="G147" s="162"/>
      <c r="H147" s="30">
        <f>H140-H146</f>
        <v>8125.5300000000007</v>
      </c>
      <c r="I147" s="121"/>
    </row>
    <row r="148" spans="2:9" ht="45" customHeight="1" x14ac:dyDescent="0.2">
      <c r="B148" s="195" t="s">
        <v>125</v>
      </c>
      <c r="C148" s="196"/>
      <c r="D148" s="196"/>
      <c r="E148" s="196"/>
      <c r="F148" s="196"/>
      <c r="G148" s="197"/>
      <c r="H148" s="138"/>
      <c r="I148" s="112"/>
    </row>
  </sheetData>
  <mergeCells count="103">
    <mergeCell ref="B11:B12"/>
    <mergeCell ref="C11:F11"/>
    <mergeCell ref="C12:F12"/>
    <mergeCell ref="B13:B14"/>
    <mergeCell ref="C13:F13"/>
    <mergeCell ref="C14:F14"/>
    <mergeCell ref="B2:H2"/>
    <mergeCell ref="B3:H3"/>
    <mergeCell ref="D6:F6"/>
    <mergeCell ref="B8:F8"/>
    <mergeCell ref="B9:B10"/>
    <mergeCell ref="C9:F9"/>
    <mergeCell ref="C10:F10"/>
    <mergeCell ref="B19:B20"/>
    <mergeCell ref="C19:F19"/>
    <mergeCell ref="C20:F20"/>
    <mergeCell ref="B23:F23"/>
    <mergeCell ref="C24:F24"/>
    <mergeCell ref="D25:F25"/>
    <mergeCell ref="B15:B16"/>
    <mergeCell ref="C15:F15"/>
    <mergeCell ref="C16:F16"/>
    <mergeCell ref="B17:B18"/>
    <mergeCell ref="C17:F17"/>
    <mergeCell ref="C18:F18"/>
    <mergeCell ref="B36:F36"/>
    <mergeCell ref="B37:F37"/>
    <mergeCell ref="C38:F38"/>
    <mergeCell ref="D39:F39"/>
    <mergeCell ref="D40:F40"/>
    <mergeCell ref="C41:F41"/>
    <mergeCell ref="D26:F26"/>
    <mergeCell ref="D28:F28"/>
    <mergeCell ref="D29:F29"/>
    <mergeCell ref="C30:F30"/>
    <mergeCell ref="C31:F32"/>
    <mergeCell ref="B35:F35"/>
    <mergeCell ref="D49:F49"/>
    <mergeCell ref="D50:F50"/>
    <mergeCell ref="D51:F51"/>
    <mergeCell ref="D52:F52"/>
    <mergeCell ref="D53:F53"/>
    <mergeCell ref="C54:F54"/>
    <mergeCell ref="B42:H42"/>
    <mergeCell ref="B43:F43"/>
    <mergeCell ref="C44:F44"/>
    <mergeCell ref="D45:F45"/>
    <mergeCell ref="D46:F46"/>
    <mergeCell ref="B47:B48"/>
    <mergeCell ref="C47:C48"/>
    <mergeCell ref="D47:D48"/>
    <mergeCell ref="G47:G48"/>
    <mergeCell ref="H47:H48"/>
    <mergeCell ref="C66:F66"/>
    <mergeCell ref="C70:F70"/>
    <mergeCell ref="B71:H71"/>
    <mergeCell ref="B73:F73"/>
    <mergeCell ref="C74:F74"/>
    <mergeCell ref="D77:E77"/>
    <mergeCell ref="B55:H55"/>
    <mergeCell ref="B56:F56"/>
    <mergeCell ref="C57:F57"/>
    <mergeCell ref="C63:F63"/>
    <mergeCell ref="B64:H64"/>
    <mergeCell ref="B65:F65"/>
    <mergeCell ref="C90:F90"/>
    <mergeCell ref="B92:F92"/>
    <mergeCell ref="C93:F93"/>
    <mergeCell ref="C95:F95"/>
    <mergeCell ref="B97:F97"/>
    <mergeCell ref="C98:G98"/>
    <mergeCell ref="D79:E79"/>
    <mergeCell ref="D80:E80"/>
    <mergeCell ref="C81:F81"/>
    <mergeCell ref="B84:F84"/>
    <mergeCell ref="B85:F85"/>
    <mergeCell ref="C86:F86"/>
    <mergeCell ref="D115:F115"/>
    <mergeCell ref="D116:F116"/>
    <mergeCell ref="D117:F117"/>
    <mergeCell ref="D118:F118"/>
    <mergeCell ref="D119:F119"/>
    <mergeCell ref="D120:F120"/>
    <mergeCell ref="C101:F101"/>
    <mergeCell ref="B104:F104"/>
    <mergeCell ref="C105:G105"/>
    <mergeCell ref="C110:F110"/>
    <mergeCell ref="B113:F113"/>
    <mergeCell ref="C114:F114"/>
    <mergeCell ref="D147:F147"/>
    <mergeCell ref="B148:G148"/>
    <mergeCell ref="D140:F140"/>
    <mergeCell ref="D141:F141"/>
    <mergeCell ref="D142:F142"/>
    <mergeCell ref="D143:F143"/>
    <mergeCell ref="D144:F144"/>
    <mergeCell ref="D145:F145"/>
    <mergeCell ref="D121:F121"/>
    <mergeCell ref="B123:H123"/>
    <mergeCell ref="B125:F125"/>
    <mergeCell ref="C126:F126"/>
    <mergeCell ref="B137:F137"/>
    <mergeCell ref="B139:F139"/>
  </mergeCells>
  <dataValidations count="10">
    <dataValidation type="list" allowBlank="1" showInputMessage="1" showErrorMessage="1" sqref="G26" xr:uid="{9D16C805-2EE5-4196-BE1A-7E0633DFE97D}">
      <formula1>"0%, 30%"</formula1>
    </dataValidation>
    <dataValidation type="list" allowBlank="1" showInputMessage="1" showErrorMessage="1" sqref="G27" xr:uid="{8D9D009D-06B9-42CE-B45A-68DA33206614}">
      <formula1>"0%, 10%, 20%, 40%"</formula1>
    </dataValidation>
    <dataValidation type="list" allowBlank="1" showInputMessage="1" showErrorMessage="1" sqref="E48" xr:uid="{2B13866A-48E0-4A46-BF98-CE3E0D45AA73}">
      <formula1>"1%, 2%, 3%"</formula1>
    </dataValidation>
    <dataValidation type="list" allowBlank="1" showInputMessage="1" showErrorMessage="1" sqref="G28" xr:uid="{B9F97AC0-41B6-4E11-8643-7ACF7E97BA91}">
      <formula1>"0, 20%"</formula1>
    </dataValidation>
    <dataValidation type="list" allowBlank="1" showInputMessage="1" showErrorMessage="1" sqref="G119" xr:uid="{1344D4BF-D8F2-4913-AD64-38B8452016D9}">
      <mc:AlternateContent xmlns:x12ac="http://schemas.microsoft.com/office/spreadsheetml/2011/1/ac" xmlns:mc="http://schemas.openxmlformats.org/markup-compatibility/2006">
        <mc:Choice Requires="x12ac">
          <x12ac:list>3%," 7,6%"</x12ac:list>
        </mc:Choice>
        <mc:Fallback>
          <formula1>"3%, 7,6%"</formula1>
        </mc:Fallback>
      </mc:AlternateContent>
    </dataValidation>
    <dataValidation type="list" allowBlank="1" showInputMessage="1" showErrorMessage="1" sqref="G118" xr:uid="{49FFBDB2-E60B-45D2-B8C6-79386869C8C2}">
      <mc:AlternateContent xmlns:x12ac="http://schemas.microsoft.com/office/spreadsheetml/2011/1/ac" xmlns:mc="http://schemas.openxmlformats.org/markup-compatibility/2006">
        <mc:Choice Requires="x12ac">
          <x12ac:list>"0,65%","1,65%"</x12ac:list>
        </mc:Choice>
        <mc:Fallback>
          <formula1>"0,65%,1,65%"</formula1>
        </mc:Fallback>
      </mc:AlternateContent>
    </dataValidation>
    <dataValidation type="whole" allowBlank="1" showInputMessage="1" showErrorMessage="1" errorTitle="Valor errado" error="Quantidade fixa de dias. Prencher com 30" sqref="G87" xr:uid="{BA0A9685-1BF8-449F-A57D-589D4539904F}">
      <formula1>30</formula1>
      <formula2>30</formula2>
    </dataValidation>
    <dataValidation type="list" operator="equal" allowBlank="1" showInputMessage="1" showErrorMessage="1" errorTitle="Valor errado" error="Percentual fixo. Preencher com 40%." sqref="F77 F79" xr:uid="{0CEDBAEA-E028-4D5C-8F90-4980F6505BF7}">
      <formula1>"40%"</formula1>
    </dataValidation>
    <dataValidation type="custom" allowBlank="1" showInputMessage="1" showErrorMessage="1" sqref="G117" xr:uid="{FB7C3DF4-83F7-4C27-BB75-F80E34846BA8}">
      <formula1>1-(G118+G119+G120)</formula1>
    </dataValidation>
    <dataValidation type="list" allowBlank="1" showInputMessage="1" showErrorMessage="1" sqref="G80" xr:uid="{11F7D285-4C79-48E9-966E-3C8BE367364D}">
      <formula1>"3,6,9,12,15"</formula1>
    </dataValidation>
  </dataValidations>
  <pageMargins left="0.511811024" right="0.511811024" top="0.78740157499999996" bottom="0.78740157499999996" header="0.31496062000000002" footer="0.31496062000000002"/>
  <pageSetup paperSize="9" scale="69" fitToHeight="0" orientation="portrait" verticalDpi="300" r:id="rId1"/>
  <rowBreaks count="1" manualBreakCount="1">
    <brk id="71" max="16383" man="1"/>
  </rowBreaks>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38CE18-C4DD-4262-9CAD-0285BD07733B}">
  <sheetPr>
    <tabColor theme="9"/>
    <pageSetUpPr fitToPage="1"/>
  </sheetPr>
  <dimension ref="B1:I147"/>
  <sheetViews>
    <sheetView showGridLines="0" zoomScale="115" zoomScaleNormal="115" workbookViewId="0">
      <selection activeCell="C10" sqref="C10:F10"/>
    </sheetView>
  </sheetViews>
  <sheetFormatPr defaultColWidth="9.140625" defaultRowHeight="12.75" x14ac:dyDescent="0.2"/>
  <cols>
    <col min="1" max="1" width="3.5703125" style="63" customWidth="1"/>
    <col min="2" max="2" width="8.28515625" style="63" customWidth="1"/>
    <col min="3" max="3" width="39.140625" style="63" customWidth="1"/>
    <col min="4" max="4" width="29.140625" style="63" customWidth="1"/>
    <col min="5" max="6" width="8.140625" style="63" customWidth="1"/>
    <col min="7" max="7" width="9.140625" style="63" customWidth="1"/>
    <col min="8" max="9" width="15.28515625" style="63" customWidth="1"/>
    <col min="10" max="16384" width="9.140625" style="63"/>
  </cols>
  <sheetData>
    <row r="1" spans="2:9" x14ac:dyDescent="0.2">
      <c r="C1" s="113"/>
      <c r="D1" s="11"/>
      <c r="E1" s="11"/>
      <c r="F1" s="11"/>
      <c r="G1" s="11"/>
      <c r="H1" s="11"/>
      <c r="I1" s="11"/>
    </row>
    <row r="2" spans="2:9" x14ac:dyDescent="0.2">
      <c r="B2" s="256" t="s">
        <v>49</v>
      </c>
      <c r="C2" s="256"/>
      <c r="D2" s="256"/>
      <c r="E2" s="256"/>
      <c r="F2" s="256"/>
      <c r="G2" s="256"/>
      <c r="H2" s="256"/>
      <c r="I2" s="99"/>
    </row>
    <row r="3" spans="2:9" x14ac:dyDescent="0.2">
      <c r="B3" s="257" t="s">
        <v>189</v>
      </c>
      <c r="C3" s="257"/>
      <c r="D3" s="257"/>
      <c r="E3" s="257"/>
      <c r="F3" s="257"/>
      <c r="G3" s="257"/>
      <c r="H3" s="257"/>
      <c r="I3" s="101"/>
    </row>
    <row r="4" spans="2:9" x14ac:dyDescent="0.2">
      <c r="B4" s="65"/>
      <c r="C4" s="65"/>
      <c r="D4" s="65"/>
      <c r="E4" s="65"/>
      <c r="F4" s="65"/>
      <c r="G4" s="65"/>
      <c r="H4" s="65"/>
      <c r="I4" s="65"/>
    </row>
    <row r="5" spans="2:9" x14ac:dyDescent="0.2">
      <c r="B5" s="65"/>
      <c r="C5" s="65"/>
      <c r="D5" s="65"/>
      <c r="E5" s="65"/>
      <c r="F5" s="65"/>
      <c r="G5" s="65"/>
      <c r="H5" s="65"/>
      <c r="I5" s="65"/>
    </row>
    <row r="6" spans="2:9" ht="24.75" customHeight="1" x14ac:dyDescent="0.2">
      <c r="B6" s="136" t="s">
        <v>127</v>
      </c>
      <c r="C6" s="136"/>
      <c r="D6" s="258" t="s">
        <v>244</v>
      </c>
      <c r="E6" s="259"/>
      <c r="F6" s="260"/>
      <c r="I6" s="12"/>
    </row>
    <row r="7" spans="2:9" x14ac:dyDescent="0.2">
      <c r="B7" s="65"/>
      <c r="C7" s="65"/>
      <c r="D7" s="65"/>
      <c r="E7" s="65"/>
      <c r="F7" s="65"/>
      <c r="G7" s="65"/>
      <c r="H7" s="65"/>
      <c r="I7" s="11"/>
    </row>
    <row r="8" spans="2:9" x14ac:dyDescent="0.2">
      <c r="B8" s="261" t="s">
        <v>50</v>
      </c>
      <c r="C8" s="261"/>
      <c r="D8" s="261"/>
      <c r="E8" s="261"/>
      <c r="F8" s="261"/>
      <c r="G8" s="137"/>
      <c r="H8" s="137"/>
      <c r="I8" s="64"/>
    </row>
    <row r="9" spans="2:9" x14ac:dyDescent="0.2">
      <c r="B9" s="252">
        <v>1</v>
      </c>
      <c r="C9" s="253" t="s">
        <v>51</v>
      </c>
      <c r="D9" s="253"/>
      <c r="E9" s="253"/>
      <c r="F9" s="253"/>
      <c r="G9" s="137"/>
      <c r="H9" s="137"/>
      <c r="I9" s="64"/>
    </row>
    <row r="10" spans="2:9" x14ac:dyDescent="0.2">
      <c r="B10" s="252"/>
      <c r="C10" s="254" t="s">
        <v>247</v>
      </c>
      <c r="D10" s="254"/>
      <c r="E10" s="254"/>
      <c r="F10" s="254"/>
      <c r="G10" s="137"/>
      <c r="H10" s="137"/>
      <c r="I10" s="64"/>
    </row>
    <row r="11" spans="2:9" x14ac:dyDescent="0.2">
      <c r="B11" s="252">
        <v>2</v>
      </c>
      <c r="C11" s="253" t="s">
        <v>52</v>
      </c>
      <c r="D11" s="253"/>
      <c r="E11" s="253"/>
      <c r="F11" s="253"/>
      <c r="G11" s="137"/>
      <c r="H11" s="137"/>
      <c r="I11" s="64"/>
    </row>
    <row r="12" spans="2:9" x14ac:dyDescent="0.2">
      <c r="B12" s="252"/>
      <c r="C12" s="254" t="s">
        <v>210</v>
      </c>
      <c r="D12" s="254"/>
      <c r="E12" s="254"/>
      <c r="F12" s="254"/>
      <c r="G12" s="137"/>
      <c r="H12" s="137"/>
      <c r="I12" s="64"/>
    </row>
    <row r="13" spans="2:9" x14ac:dyDescent="0.2">
      <c r="B13" s="252">
        <v>3</v>
      </c>
      <c r="C13" s="253" t="s">
        <v>53</v>
      </c>
      <c r="D13" s="253"/>
      <c r="E13" s="253"/>
      <c r="F13" s="253"/>
      <c r="G13" s="137"/>
      <c r="H13" s="137"/>
      <c r="I13" s="64"/>
    </row>
    <row r="14" spans="2:9" x14ac:dyDescent="0.2">
      <c r="B14" s="252"/>
      <c r="C14" s="255">
        <v>2302.8200000000002</v>
      </c>
      <c r="D14" s="255"/>
      <c r="E14" s="255"/>
      <c r="F14" s="255"/>
      <c r="G14" s="137"/>
      <c r="H14" s="137"/>
      <c r="I14" s="64"/>
    </row>
    <row r="15" spans="2:9" x14ac:dyDescent="0.2">
      <c r="B15" s="252">
        <v>4</v>
      </c>
      <c r="C15" s="253" t="s">
        <v>54</v>
      </c>
      <c r="D15" s="253"/>
      <c r="E15" s="253"/>
      <c r="F15" s="253"/>
      <c r="G15" s="137"/>
      <c r="H15" s="137"/>
      <c r="I15" s="64"/>
    </row>
    <row r="16" spans="2:9" x14ac:dyDescent="0.2">
      <c r="B16" s="252"/>
      <c r="C16" s="262">
        <v>45658</v>
      </c>
      <c r="D16" s="254"/>
      <c r="E16" s="254"/>
      <c r="F16" s="254"/>
      <c r="G16" s="137"/>
      <c r="H16" s="137"/>
      <c r="I16" s="64"/>
    </row>
    <row r="17" spans="2:9" x14ac:dyDescent="0.2">
      <c r="B17" s="252">
        <v>5</v>
      </c>
      <c r="C17" s="253" t="s">
        <v>55</v>
      </c>
      <c r="D17" s="253"/>
      <c r="E17" s="253"/>
      <c r="F17" s="253"/>
      <c r="G17" s="137"/>
      <c r="H17" s="137"/>
      <c r="I17" s="64"/>
    </row>
    <row r="18" spans="2:9" x14ac:dyDescent="0.2">
      <c r="B18" s="252"/>
      <c r="C18" s="254" t="s">
        <v>207</v>
      </c>
      <c r="D18" s="254"/>
      <c r="E18" s="254"/>
      <c r="F18" s="254"/>
      <c r="G18" s="137"/>
      <c r="H18" s="137"/>
      <c r="I18" s="64"/>
    </row>
    <row r="19" spans="2:9" x14ac:dyDescent="0.2">
      <c r="B19" s="252">
        <v>6</v>
      </c>
      <c r="C19" s="253" t="s">
        <v>56</v>
      </c>
      <c r="D19" s="253"/>
      <c r="E19" s="253"/>
      <c r="F19" s="253"/>
      <c r="G19" s="137"/>
      <c r="H19" s="137"/>
      <c r="I19" s="64"/>
    </row>
    <row r="20" spans="2:9" x14ac:dyDescent="0.2">
      <c r="B20" s="252"/>
      <c r="C20" s="254" t="s">
        <v>208</v>
      </c>
      <c r="D20" s="254"/>
      <c r="E20" s="254"/>
      <c r="F20" s="254"/>
      <c r="G20" s="137"/>
      <c r="H20" s="137"/>
      <c r="I20" s="64"/>
    </row>
    <row r="21" spans="2:9" x14ac:dyDescent="0.2">
      <c r="B21" s="66"/>
      <c r="C21" s="66"/>
      <c r="D21" s="66"/>
      <c r="E21" s="66"/>
      <c r="F21" s="66"/>
      <c r="G21" s="67"/>
      <c r="H21" s="67"/>
      <c r="I21" s="64"/>
    </row>
    <row r="22" spans="2:9" x14ac:dyDescent="0.2">
      <c r="B22" s="68"/>
      <c r="C22" s="68"/>
      <c r="D22" s="68"/>
      <c r="E22" s="68"/>
      <c r="F22" s="68"/>
      <c r="G22" s="68"/>
      <c r="H22" s="142" t="s">
        <v>195</v>
      </c>
    </row>
    <row r="23" spans="2:9" x14ac:dyDescent="0.2">
      <c r="B23" s="209" t="s">
        <v>63</v>
      </c>
      <c r="C23" s="210"/>
      <c r="D23" s="210"/>
      <c r="E23" s="210"/>
      <c r="F23" s="210"/>
      <c r="G23" s="140"/>
      <c r="H23" s="141"/>
      <c r="I23" s="100"/>
    </row>
    <row r="24" spans="2:9" x14ac:dyDescent="0.2">
      <c r="B24" s="95">
        <v>1</v>
      </c>
      <c r="C24" s="192" t="s">
        <v>57</v>
      </c>
      <c r="D24" s="193"/>
      <c r="E24" s="193"/>
      <c r="F24" s="194"/>
      <c r="G24" s="139" t="s">
        <v>1</v>
      </c>
      <c r="H24" s="139" t="s">
        <v>48</v>
      </c>
      <c r="I24" s="100"/>
    </row>
    <row r="25" spans="2:9" ht="12.75" customHeight="1" x14ac:dyDescent="0.2">
      <c r="B25" s="13" t="s">
        <v>4</v>
      </c>
      <c r="C25" s="93" t="s">
        <v>17</v>
      </c>
      <c r="D25" s="215"/>
      <c r="E25" s="216"/>
      <c r="F25" s="217"/>
      <c r="G25" s="14"/>
      <c r="H25" s="31">
        <v>2302.8200000000002</v>
      </c>
      <c r="I25" s="106"/>
    </row>
    <row r="26" spans="2:9" x14ac:dyDescent="0.2">
      <c r="B26" s="13" t="s">
        <v>5</v>
      </c>
      <c r="C26" s="93" t="s">
        <v>24</v>
      </c>
      <c r="D26" s="215" t="s">
        <v>128</v>
      </c>
      <c r="E26" s="216"/>
      <c r="F26" s="217"/>
      <c r="G26" s="32">
        <v>0.3</v>
      </c>
      <c r="H26" s="15">
        <f>TRUNC(H$25*$G26,2)</f>
        <v>690.84</v>
      </c>
      <c r="I26" s="102"/>
    </row>
    <row r="27" spans="2:9" x14ac:dyDescent="0.2">
      <c r="B27" s="13" t="s">
        <v>6</v>
      </c>
      <c r="C27" s="94" t="s">
        <v>25</v>
      </c>
      <c r="D27" s="166" t="s">
        <v>171</v>
      </c>
      <c r="E27" s="177" t="s">
        <v>197</v>
      </c>
      <c r="F27" s="176">
        <v>1518</v>
      </c>
      <c r="G27" s="32"/>
      <c r="H27" s="15">
        <f>TRUNC(F$27*$G27,2)</f>
        <v>0</v>
      </c>
      <c r="I27" s="102"/>
    </row>
    <row r="28" spans="2:9" x14ac:dyDescent="0.2">
      <c r="B28" s="13" t="s">
        <v>7</v>
      </c>
      <c r="C28" s="94" t="s">
        <v>0</v>
      </c>
      <c r="D28" s="215" t="s">
        <v>178</v>
      </c>
      <c r="E28" s="216"/>
      <c r="F28" s="217"/>
      <c r="G28" s="33"/>
      <c r="H28" s="72">
        <f>TRUNC(((H$25+H26)*$G28)/220*8*15,2)</f>
        <v>0</v>
      </c>
      <c r="I28" s="103"/>
    </row>
    <row r="29" spans="2:9" x14ac:dyDescent="0.2">
      <c r="B29" s="13" t="s">
        <v>8</v>
      </c>
      <c r="C29" s="94" t="s">
        <v>2</v>
      </c>
      <c r="D29" s="215"/>
      <c r="E29" s="216"/>
      <c r="F29" s="217"/>
      <c r="G29" s="33"/>
      <c r="H29" s="53"/>
      <c r="I29" s="104"/>
    </row>
    <row r="30" spans="2:9" x14ac:dyDescent="0.2">
      <c r="B30" s="13" t="s">
        <v>129</v>
      </c>
      <c r="C30" s="192" t="s">
        <v>58</v>
      </c>
      <c r="D30" s="193"/>
      <c r="E30" s="193"/>
      <c r="F30" s="194"/>
      <c r="G30" s="27"/>
      <c r="H30" s="16">
        <f>SUM(H25:H29)</f>
        <v>2993.6600000000003</v>
      </c>
      <c r="I30" s="17"/>
    </row>
    <row r="31" spans="2:9" ht="22.5" x14ac:dyDescent="0.2">
      <c r="B31" s="99"/>
      <c r="C31" s="245" t="s">
        <v>119</v>
      </c>
      <c r="D31" s="245"/>
      <c r="E31" s="245"/>
      <c r="F31" s="245"/>
      <c r="G31" s="56" t="s">
        <v>107</v>
      </c>
      <c r="H31" s="55" t="s">
        <v>123</v>
      </c>
      <c r="I31" s="2"/>
    </row>
    <row r="32" spans="2:9" x14ac:dyDescent="0.2">
      <c r="B32" s="99"/>
      <c r="C32" s="245"/>
      <c r="D32" s="245"/>
      <c r="E32" s="245"/>
      <c r="F32" s="245"/>
      <c r="G32" s="54"/>
      <c r="H32" s="34">
        <f>IF($G$32="",0,TRUNC((H25+H26+H27)/220,2))</f>
        <v>0</v>
      </c>
      <c r="I32" s="105"/>
    </row>
    <row r="33" spans="2:9" x14ac:dyDescent="0.2">
      <c r="B33" s="99"/>
      <c r="C33" s="99"/>
      <c r="D33" s="99"/>
      <c r="E33" s="99"/>
      <c r="F33" s="99"/>
      <c r="G33" s="99"/>
      <c r="H33" s="73"/>
      <c r="I33" s="17"/>
    </row>
    <row r="34" spans="2:9" ht="12.75" customHeight="1" x14ac:dyDescent="0.2">
      <c r="B34" s="209" t="s">
        <v>64</v>
      </c>
      <c r="C34" s="210"/>
      <c r="D34" s="210"/>
      <c r="E34" s="210"/>
      <c r="F34" s="210"/>
      <c r="G34" s="140"/>
      <c r="H34" s="141"/>
      <c r="I34" s="100"/>
    </row>
    <row r="35" spans="2:9" x14ac:dyDescent="0.2">
      <c r="B35" s="246"/>
      <c r="C35" s="247"/>
      <c r="D35" s="247"/>
      <c r="E35" s="247"/>
      <c r="F35" s="247"/>
      <c r="G35" s="62"/>
      <c r="H35" s="62"/>
      <c r="I35" s="100"/>
    </row>
    <row r="36" spans="2:9" x14ac:dyDescent="0.2">
      <c r="B36" s="248" t="s">
        <v>35</v>
      </c>
      <c r="C36" s="248"/>
      <c r="D36" s="248"/>
      <c r="E36" s="248"/>
      <c r="F36" s="248"/>
      <c r="G36" s="62"/>
      <c r="H36" s="62"/>
      <c r="I36" s="100"/>
    </row>
    <row r="37" spans="2:9" x14ac:dyDescent="0.2">
      <c r="B37" s="139" t="s">
        <v>37</v>
      </c>
      <c r="C37" s="249" t="s">
        <v>26</v>
      </c>
      <c r="D37" s="250"/>
      <c r="E37" s="250"/>
      <c r="F37" s="251"/>
      <c r="G37" s="95" t="s">
        <v>1</v>
      </c>
      <c r="H37" s="95" t="s">
        <v>48</v>
      </c>
      <c r="I37" s="100"/>
    </row>
    <row r="38" spans="2:9" x14ac:dyDescent="0.2">
      <c r="B38" s="13" t="s">
        <v>4</v>
      </c>
      <c r="C38" s="93" t="s">
        <v>109</v>
      </c>
      <c r="D38" s="215" t="s">
        <v>130</v>
      </c>
      <c r="E38" s="216"/>
      <c r="F38" s="217"/>
      <c r="G38" s="145">
        <f>1/12</f>
        <v>8.3333333333333329E-2</v>
      </c>
      <c r="H38" s="146">
        <f>TRUNC((H$30*$G38),2)</f>
        <v>249.47</v>
      </c>
      <c r="I38" s="106"/>
    </row>
    <row r="39" spans="2:9" x14ac:dyDescent="0.2">
      <c r="B39" s="13" t="s">
        <v>5</v>
      </c>
      <c r="C39" s="93" t="s">
        <v>62</v>
      </c>
      <c r="D39" s="215" t="s">
        <v>132</v>
      </c>
      <c r="E39" s="216"/>
      <c r="F39" s="217"/>
      <c r="G39" s="18">
        <f>(1/12)+(1/3/12)</f>
        <v>0.1111111111111111</v>
      </c>
      <c r="H39" s="19">
        <f>TRUNC((H$30*$G39),2)</f>
        <v>332.62</v>
      </c>
      <c r="I39" s="106"/>
    </row>
    <row r="40" spans="2:9" x14ac:dyDescent="0.2">
      <c r="B40" s="13" t="s">
        <v>131</v>
      </c>
      <c r="C40" s="192" t="s">
        <v>58</v>
      </c>
      <c r="D40" s="193"/>
      <c r="E40" s="193"/>
      <c r="F40" s="194"/>
      <c r="G40" s="20">
        <f>TRUNC(SUM(G38:G39),4)</f>
        <v>0.19439999999999999</v>
      </c>
      <c r="H40" s="16">
        <f>SUM(H38:H39)</f>
        <v>582.09</v>
      </c>
      <c r="I40" s="17"/>
    </row>
    <row r="41" spans="2:9" x14ac:dyDescent="0.2">
      <c r="B41" s="235"/>
      <c r="C41" s="228"/>
      <c r="D41" s="228"/>
      <c r="E41" s="228"/>
      <c r="F41" s="228"/>
      <c r="G41" s="228"/>
      <c r="H41" s="236"/>
      <c r="I41" s="99"/>
    </row>
    <row r="42" spans="2:9" ht="30" customHeight="1" x14ac:dyDescent="0.2">
      <c r="B42" s="232" t="s">
        <v>65</v>
      </c>
      <c r="C42" s="233"/>
      <c r="D42" s="233"/>
      <c r="E42" s="233"/>
      <c r="F42" s="234"/>
      <c r="G42" s="143"/>
      <c r="H42" s="144"/>
      <c r="I42" s="107"/>
    </row>
    <row r="43" spans="2:9" x14ac:dyDescent="0.2">
      <c r="B43" s="95" t="s">
        <v>38</v>
      </c>
      <c r="C43" s="192" t="s">
        <v>66</v>
      </c>
      <c r="D43" s="193"/>
      <c r="E43" s="193"/>
      <c r="F43" s="194"/>
      <c r="G43" s="95" t="s">
        <v>1</v>
      </c>
      <c r="H43" s="95" t="s">
        <v>48</v>
      </c>
      <c r="I43" s="100"/>
    </row>
    <row r="44" spans="2:9" x14ac:dyDescent="0.2">
      <c r="B44" s="13" t="s">
        <v>4</v>
      </c>
      <c r="C44" s="93" t="s">
        <v>29</v>
      </c>
      <c r="D44" s="215" t="s">
        <v>133</v>
      </c>
      <c r="E44" s="216"/>
      <c r="F44" s="217"/>
      <c r="G44" s="18">
        <v>0.2</v>
      </c>
      <c r="H44" s="19">
        <f>TRUNC((H$30+H$40)*$G44,2)</f>
        <v>715.15</v>
      </c>
      <c r="I44" s="106"/>
    </row>
    <row r="45" spans="2:9" x14ac:dyDescent="0.2">
      <c r="B45" s="13" t="s">
        <v>5</v>
      </c>
      <c r="C45" s="81" t="s">
        <v>30</v>
      </c>
      <c r="D45" s="215" t="s">
        <v>134</v>
      </c>
      <c r="E45" s="216"/>
      <c r="F45" s="217"/>
      <c r="G45" s="18">
        <v>2.5000000000000001E-2</v>
      </c>
      <c r="H45" s="19">
        <f>TRUNC((H$30+H$40)*$G45,2)</f>
        <v>89.39</v>
      </c>
      <c r="I45" s="106"/>
    </row>
    <row r="46" spans="2:9" x14ac:dyDescent="0.2">
      <c r="B46" s="237" t="s">
        <v>6</v>
      </c>
      <c r="C46" s="239" t="s">
        <v>101</v>
      </c>
      <c r="D46" s="241" t="s">
        <v>140</v>
      </c>
      <c r="E46" s="8" t="s">
        <v>102</v>
      </c>
      <c r="F46" s="8" t="s">
        <v>100</v>
      </c>
      <c r="G46" s="242">
        <f>E47*F47</f>
        <v>0.06</v>
      </c>
      <c r="H46" s="244">
        <f>TRUNC((H$30+H$40)*$G46,2)</f>
        <v>214.54</v>
      </c>
      <c r="I46" s="109"/>
    </row>
    <row r="47" spans="2:9" x14ac:dyDescent="0.2">
      <c r="B47" s="238"/>
      <c r="C47" s="240"/>
      <c r="D47" s="241"/>
      <c r="E47" s="35">
        <v>0.03</v>
      </c>
      <c r="F47" s="36">
        <v>2</v>
      </c>
      <c r="G47" s="243"/>
      <c r="H47" s="244"/>
      <c r="I47" s="109"/>
    </row>
    <row r="48" spans="2:9" x14ac:dyDescent="0.2">
      <c r="B48" s="13" t="s">
        <v>7</v>
      </c>
      <c r="C48" s="93" t="s">
        <v>28</v>
      </c>
      <c r="D48" s="215" t="s">
        <v>135</v>
      </c>
      <c r="E48" s="216"/>
      <c r="F48" s="217"/>
      <c r="G48" s="18">
        <v>1.4999999999999999E-2</v>
      </c>
      <c r="H48" s="19">
        <f>TRUNC((H$30+H$40)*$G48,2)</f>
        <v>53.63</v>
      </c>
      <c r="I48" s="106"/>
    </row>
    <row r="49" spans="2:9" x14ac:dyDescent="0.2">
      <c r="B49" s="13" t="s">
        <v>8</v>
      </c>
      <c r="C49" s="93" t="s">
        <v>31</v>
      </c>
      <c r="D49" s="215" t="s">
        <v>136</v>
      </c>
      <c r="E49" s="216"/>
      <c r="F49" s="217"/>
      <c r="G49" s="18">
        <v>0.01</v>
      </c>
      <c r="H49" s="19">
        <f>TRUNC((H$30+H$40)*$G49,2)</f>
        <v>35.75</v>
      </c>
      <c r="I49" s="106"/>
    </row>
    <row r="50" spans="2:9" x14ac:dyDescent="0.2">
      <c r="B50" s="13" t="s">
        <v>9</v>
      </c>
      <c r="C50" s="93" t="s">
        <v>32</v>
      </c>
      <c r="D50" s="215" t="s">
        <v>137</v>
      </c>
      <c r="E50" s="216"/>
      <c r="F50" s="217"/>
      <c r="G50" s="18">
        <v>6.0000000000000001E-3</v>
      </c>
      <c r="H50" s="19">
        <f>TRUNC((H$30+H$40)*$G50,2)</f>
        <v>21.45</v>
      </c>
      <c r="I50" s="106"/>
    </row>
    <row r="51" spans="2:9" x14ac:dyDescent="0.2">
      <c r="B51" s="13" t="s">
        <v>10</v>
      </c>
      <c r="C51" s="93" t="s">
        <v>33</v>
      </c>
      <c r="D51" s="215" t="s">
        <v>138</v>
      </c>
      <c r="E51" s="216"/>
      <c r="F51" s="217"/>
      <c r="G51" s="18">
        <v>2E-3</v>
      </c>
      <c r="H51" s="19">
        <f>TRUNC((H$30+H$40)*$G51,2)</f>
        <v>7.15</v>
      </c>
      <c r="I51" s="106"/>
    </row>
    <row r="52" spans="2:9" x14ac:dyDescent="0.2">
      <c r="B52" s="13" t="s">
        <v>11</v>
      </c>
      <c r="C52" s="93" t="s">
        <v>34</v>
      </c>
      <c r="D52" s="215" t="s">
        <v>139</v>
      </c>
      <c r="E52" s="216"/>
      <c r="F52" s="217"/>
      <c r="G52" s="18">
        <v>0.08</v>
      </c>
      <c r="H52" s="19">
        <f>TRUNC((H$30+H$40)*$G52,2)</f>
        <v>286.06</v>
      </c>
      <c r="I52" s="106"/>
    </row>
    <row r="53" spans="2:9" x14ac:dyDescent="0.2">
      <c r="B53" s="13" t="s">
        <v>141</v>
      </c>
      <c r="C53" s="192" t="s">
        <v>58</v>
      </c>
      <c r="D53" s="193"/>
      <c r="E53" s="193"/>
      <c r="F53" s="194"/>
      <c r="G53" s="21">
        <f>SUM(G44:G52)</f>
        <v>0.39800000000000008</v>
      </c>
      <c r="H53" s="16">
        <f>SUM(H44:H52)</f>
        <v>1423.1200000000001</v>
      </c>
      <c r="I53" s="17"/>
    </row>
    <row r="54" spans="2:9" x14ac:dyDescent="0.2">
      <c r="B54" s="229"/>
      <c r="C54" s="230"/>
      <c r="D54" s="230"/>
      <c r="E54" s="230"/>
      <c r="F54" s="230"/>
      <c r="G54" s="230"/>
      <c r="H54" s="231"/>
      <c r="I54" s="118"/>
    </row>
    <row r="55" spans="2:9" ht="12.75" customHeight="1" x14ac:dyDescent="0.2">
      <c r="B55" s="232" t="s">
        <v>36</v>
      </c>
      <c r="C55" s="233"/>
      <c r="D55" s="233"/>
      <c r="E55" s="233"/>
      <c r="F55" s="234"/>
      <c r="G55" s="143"/>
      <c r="H55" s="144"/>
      <c r="I55" s="118"/>
    </row>
    <row r="56" spans="2:9" x14ac:dyDescent="0.2">
      <c r="B56" s="95" t="s">
        <v>39</v>
      </c>
      <c r="C56" s="192" t="s">
        <v>40</v>
      </c>
      <c r="D56" s="193"/>
      <c r="E56" s="193"/>
      <c r="F56" s="193"/>
      <c r="G56" s="82"/>
      <c r="H56" s="95" t="s">
        <v>48</v>
      </c>
      <c r="I56" s="100"/>
    </row>
    <row r="57" spans="2:9" ht="12.75" customHeight="1" x14ac:dyDescent="0.2">
      <c r="B57" s="13" t="s">
        <v>4</v>
      </c>
      <c r="C57" s="93" t="s">
        <v>46</v>
      </c>
      <c r="D57" s="166" t="s">
        <v>214</v>
      </c>
      <c r="E57" s="167"/>
      <c r="F57" s="167"/>
      <c r="G57" s="168"/>
      <c r="H57" s="37">
        <f>IF((TRUNC((8.55*2*15)-(H$25*6%),2))&lt;0,"0,00",(TRUNC((8.55*2*15)-(H$25*6%),2)))</f>
        <v>118.33</v>
      </c>
      <c r="I57" s="119"/>
    </row>
    <row r="58" spans="2:9" ht="12.75" customHeight="1" x14ac:dyDescent="0.2">
      <c r="B58" s="13" t="s">
        <v>5</v>
      </c>
      <c r="C58" s="93" t="s">
        <v>47</v>
      </c>
      <c r="D58" s="166" t="s">
        <v>215</v>
      </c>
      <c r="E58" s="167"/>
      <c r="F58" s="167"/>
      <c r="G58" s="168"/>
      <c r="H58" s="37">
        <f>((37.85*15)*80%)</f>
        <v>454.20000000000005</v>
      </c>
      <c r="I58" s="119"/>
    </row>
    <row r="59" spans="2:9" x14ac:dyDescent="0.2">
      <c r="B59" s="13" t="s">
        <v>6</v>
      </c>
      <c r="C59" s="93" t="s">
        <v>234</v>
      </c>
      <c r="D59" s="166"/>
      <c r="E59" s="167"/>
      <c r="F59" s="167"/>
      <c r="G59" s="168"/>
      <c r="H59" s="37">
        <v>14.02</v>
      </c>
      <c r="I59" s="119"/>
    </row>
    <row r="60" spans="2:9" x14ac:dyDescent="0.2">
      <c r="B60" s="13" t="s">
        <v>7</v>
      </c>
      <c r="C60" s="93" t="s">
        <v>209</v>
      </c>
      <c r="D60" s="166"/>
      <c r="E60" s="167"/>
      <c r="F60" s="167"/>
      <c r="G60" s="168"/>
      <c r="H60" s="37">
        <v>63.99</v>
      </c>
      <c r="I60" s="119"/>
    </row>
    <row r="61" spans="2:9" s="74" customFormat="1" x14ac:dyDescent="0.2">
      <c r="B61" s="13" t="s">
        <v>8</v>
      </c>
      <c r="C61" s="93" t="s">
        <v>233</v>
      </c>
      <c r="D61" s="166"/>
      <c r="E61" s="167"/>
      <c r="F61" s="167"/>
      <c r="G61" s="168"/>
      <c r="H61" s="37">
        <v>31.07</v>
      </c>
      <c r="I61" s="119"/>
    </row>
    <row r="62" spans="2:9" x14ac:dyDescent="0.2">
      <c r="B62" s="13" t="s">
        <v>142</v>
      </c>
      <c r="C62" s="192" t="s">
        <v>58</v>
      </c>
      <c r="D62" s="193"/>
      <c r="E62" s="193"/>
      <c r="F62" s="193"/>
      <c r="G62" s="82"/>
      <c r="H62" s="16">
        <f>SUM(H57:H61)</f>
        <v>681.61000000000013</v>
      </c>
      <c r="I62" s="17"/>
    </row>
    <row r="63" spans="2:9" x14ac:dyDescent="0.2">
      <c r="B63" s="235"/>
      <c r="C63" s="228"/>
      <c r="D63" s="228"/>
      <c r="E63" s="228"/>
      <c r="F63" s="228"/>
      <c r="G63" s="228"/>
      <c r="H63" s="236"/>
      <c r="I63" s="99"/>
    </row>
    <row r="64" spans="2:9" x14ac:dyDescent="0.2">
      <c r="B64" s="222" t="s">
        <v>68</v>
      </c>
      <c r="C64" s="223"/>
      <c r="D64" s="223"/>
      <c r="E64" s="223"/>
      <c r="F64" s="223"/>
      <c r="G64" s="147"/>
      <c r="H64" s="147"/>
      <c r="I64" s="99"/>
    </row>
    <row r="65" spans="2:9" x14ac:dyDescent="0.2">
      <c r="B65" s="95">
        <v>2</v>
      </c>
      <c r="C65" s="192" t="s">
        <v>67</v>
      </c>
      <c r="D65" s="193"/>
      <c r="E65" s="193"/>
      <c r="F65" s="193"/>
      <c r="G65" s="82"/>
      <c r="H65" s="95" t="s">
        <v>48</v>
      </c>
      <c r="I65" s="100"/>
    </row>
    <row r="66" spans="2:9" x14ac:dyDescent="0.2">
      <c r="B66" s="13" t="s">
        <v>37</v>
      </c>
      <c r="C66" s="83" t="s">
        <v>26</v>
      </c>
      <c r="D66" s="166" t="s">
        <v>131</v>
      </c>
      <c r="E66" s="167"/>
      <c r="F66" s="167"/>
      <c r="G66" s="168"/>
      <c r="H66" s="19">
        <f>H40</f>
        <v>582.09</v>
      </c>
      <c r="I66" s="106"/>
    </row>
    <row r="67" spans="2:9" x14ac:dyDescent="0.2">
      <c r="B67" s="13" t="s">
        <v>38</v>
      </c>
      <c r="C67" s="83" t="s">
        <v>27</v>
      </c>
      <c r="D67" s="166" t="s">
        <v>141</v>
      </c>
      <c r="E67" s="167"/>
      <c r="F67" s="167"/>
      <c r="G67" s="168"/>
      <c r="H67" s="19">
        <f>H53</f>
        <v>1423.1200000000001</v>
      </c>
      <c r="I67" s="106"/>
    </row>
    <row r="68" spans="2:9" x14ac:dyDescent="0.2">
      <c r="B68" s="13" t="s">
        <v>39</v>
      </c>
      <c r="C68" s="83" t="s">
        <v>40</v>
      </c>
      <c r="D68" s="166" t="s">
        <v>142</v>
      </c>
      <c r="E68" s="167"/>
      <c r="F68" s="167"/>
      <c r="G68" s="168"/>
      <c r="H68" s="19">
        <f>H62</f>
        <v>681.61000000000013</v>
      </c>
      <c r="I68" s="106"/>
    </row>
    <row r="69" spans="2:9" x14ac:dyDescent="0.2">
      <c r="B69" s="13" t="s">
        <v>143</v>
      </c>
      <c r="C69" s="192" t="s">
        <v>58</v>
      </c>
      <c r="D69" s="193"/>
      <c r="E69" s="193"/>
      <c r="F69" s="193"/>
      <c r="G69" s="82"/>
      <c r="H69" s="16">
        <f>SUM(H66:H68)</f>
        <v>2686.82</v>
      </c>
      <c r="I69" s="17"/>
    </row>
    <row r="70" spans="2:9" x14ac:dyDescent="0.2">
      <c r="B70" s="228"/>
      <c r="C70" s="228"/>
      <c r="D70" s="228"/>
      <c r="E70" s="228"/>
      <c r="F70" s="228"/>
      <c r="G70" s="228"/>
      <c r="H70" s="228"/>
      <c r="I70" s="100"/>
    </row>
    <row r="71" spans="2:9" x14ac:dyDescent="0.2">
      <c r="B71" s="99"/>
      <c r="C71" s="99"/>
      <c r="D71" s="99"/>
      <c r="E71" s="99"/>
      <c r="F71" s="99"/>
      <c r="G71" s="99"/>
      <c r="H71" s="99"/>
      <c r="I71" s="100"/>
    </row>
    <row r="72" spans="2:9" x14ac:dyDescent="0.2">
      <c r="B72" s="209" t="s">
        <v>69</v>
      </c>
      <c r="C72" s="210"/>
      <c r="D72" s="210"/>
      <c r="E72" s="210"/>
      <c r="F72" s="218"/>
      <c r="G72" s="140"/>
      <c r="H72" s="141"/>
      <c r="I72" s="100"/>
    </row>
    <row r="73" spans="2:9" x14ac:dyDescent="0.2">
      <c r="B73" s="95">
        <v>3</v>
      </c>
      <c r="C73" s="192" t="s">
        <v>59</v>
      </c>
      <c r="D73" s="193"/>
      <c r="E73" s="193"/>
      <c r="F73" s="194"/>
      <c r="G73" s="95" t="s">
        <v>1</v>
      </c>
      <c r="H73" s="95" t="s">
        <v>48</v>
      </c>
      <c r="I73" s="100"/>
    </row>
    <row r="74" spans="2:9" x14ac:dyDescent="0.2">
      <c r="B74" s="13" t="s">
        <v>4</v>
      </c>
      <c r="C74" s="84" t="s">
        <v>95</v>
      </c>
      <c r="D74" s="166" t="s">
        <v>160</v>
      </c>
      <c r="E74" s="167"/>
      <c r="F74" s="168"/>
      <c r="G74" s="38">
        <v>1</v>
      </c>
      <c r="H74" s="22">
        <f>TRUNC((H$75+H$76)*$G74,2)</f>
        <v>483.17</v>
      </c>
      <c r="I74" s="17"/>
    </row>
    <row r="75" spans="2:9" x14ac:dyDescent="0.2">
      <c r="B75" s="13" t="s">
        <v>5</v>
      </c>
      <c r="C75" s="93" t="s">
        <v>96</v>
      </c>
      <c r="D75" s="166" t="s">
        <v>179</v>
      </c>
      <c r="E75" s="167"/>
      <c r="F75" s="168"/>
      <c r="G75" s="23"/>
      <c r="H75" s="19">
        <f>TRUNC((H$30+H$40+H$52+H$62-H57)/12,2)</f>
        <v>368.75</v>
      </c>
      <c r="I75" s="106"/>
    </row>
    <row r="76" spans="2:9" x14ac:dyDescent="0.2">
      <c r="B76" s="13" t="s">
        <v>6</v>
      </c>
      <c r="C76" s="93" t="s">
        <v>97</v>
      </c>
      <c r="D76" s="215" t="s">
        <v>172</v>
      </c>
      <c r="E76" s="217"/>
      <c r="F76" s="40">
        <v>0.4</v>
      </c>
      <c r="G76" s="23"/>
      <c r="H76" s="19">
        <f>TRUNC(H$52*$F76,2)</f>
        <v>114.42</v>
      </c>
      <c r="I76" s="106"/>
    </row>
    <row r="77" spans="2:9" x14ac:dyDescent="0.2">
      <c r="B77" s="13" t="s">
        <v>7</v>
      </c>
      <c r="C77" s="84" t="s">
        <v>98</v>
      </c>
      <c r="D77" s="166" t="s">
        <v>161</v>
      </c>
      <c r="E77" s="167"/>
      <c r="F77" s="168"/>
      <c r="G77" s="38">
        <v>1</v>
      </c>
      <c r="H77" s="87">
        <f>IF($G77&gt;=1,(TRUNC(H$78*$G77,2)),"ERRO")</f>
        <v>114.42</v>
      </c>
      <c r="I77" s="108"/>
    </row>
    <row r="78" spans="2:9" x14ac:dyDescent="0.2">
      <c r="B78" s="13" t="s">
        <v>8</v>
      </c>
      <c r="C78" s="93" t="s">
        <v>99</v>
      </c>
      <c r="D78" s="215" t="s">
        <v>172</v>
      </c>
      <c r="E78" s="217"/>
      <c r="F78" s="40">
        <v>0.4</v>
      </c>
      <c r="G78" s="23"/>
      <c r="H78" s="19">
        <f>TRUNC(H$52*$F78,2)</f>
        <v>114.42</v>
      </c>
      <c r="I78" s="106"/>
    </row>
    <row r="79" spans="2:9" x14ac:dyDescent="0.2">
      <c r="B79" s="13" t="s">
        <v>9</v>
      </c>
      <c r="C79" s="84" t="s">
        <v>177</v>
      </c>
      <c r="D79" s="224" t="s">
        <v>196</v>
      </c>
      <c r="E79" s="225"/>
      <c r="F79" s="39">
        <v>12</v>
      </c>
      <c r="G79" s="39">
        <v>3</v>
      </c>
      <c r="H79" s="19">
        <f>TRUNC(((H$30+H$40+H$53)/30)*$G79/$F79,2)</f>
        <v>41.65</v>
      </c>
      <c r="I79" s="106"/>
    </row>
    <row r="80" spans="2:9" x14ac:dyDescent="0.2">
      <c r="B80" s="13" t="s">
        <v>147</v>
      </c>
      <c r="C80" s="192" t="s">
        <v>58</v>
      </c>
      <c r="D80" s="193"/>
      <c r="E80" s="193"/>
      <c r="F80" s="193"/>
      <c r="G80" s="82"/>
      <c r="H80" s="16">
        <f>H$74+H$77+H$79</f>
        <v>639.24</v>
      </c>
      <c r="I80" s="17"/>
    </row>
    <row r="81" spans="2:9" x14ac:dyDescent="0.2">
      <c r="B81" s="96"/>
      <c r="C81" s="96"/>
      <c r="D81" s="96"/>
      <c r="E81" s="96"/>
      <c r="F81" s="96"/>
      <c r="G81" s="96"/>
      <c r="H81" s="96"/>
      <c r="I81" s="96"/>
    </row>
    <row r="82" spans="2:9" x14ac:dyDescent="0.2">
      <c r="B82" s="99"/>
      <c r="C82" s="99"/>
      <c r="D82" s="99"/>
      <c r="E82" s="99"/>
      <c r="F82" s="99"/>
      <c r="G82" s="99"/>
      <c r="H82" s="99"/>
      <c r="I82" s="100"/>
    </row>
    <row r="83" spans="2:9" x14ac:dyDescent="0.2">
      <c r="B83" s="209" t="s">
        <v>70</v>
      </c>
      <c r="C83" s="210"/>
      <c r="D83" s="210"/>
      <c r="E83" s="210"/>
      <c r="F83" s="218"/>
      <c r="G83" s="140"/>
      <c r="H83" s="141"/>
      <c r="I83" s="100"/>
    </row>
    <row r="84" spans="2:9" x14ac:dyDescent="0.2">
      <c r="B84" s="226" t="s">
        <v>88</v>
      </c>
      <c r="C84" s="227"/>
      <c r="D84" s="227"/>
      <c r="E84" s="227"/>
      <c r="F84" s="227"/>
      <c r="G84" s="148"/>
      <c r="H84" s="149"/>
      <c r="I84" s="100"/>
    </row>
    <row r="85" spans="2:9" x14ac:dyDescent="0.2">
      <c r="B85" s="95" t="s">
        <v>14</v>
      </c>
      <c r="C85" s="192" t="s">
        <v>89</v>
      </c>
      <c r="D85" s="193"/>
      <c r="E85" s="193"/>
      <c r="F85" s="194"/>
      <c r="G85" s="95" t="s">
        <v>103</v>
      </c>
      <c r="H85" s="95" t="s">
        <v>48</v>
      </c>
      <c r="I85" s="100"/>
    </row>
    <row r="86" spans="2:9" x14ac:dyDescent="0.2">
      <c r="B86" s="13" t="s">
        <v>4</v>
      </c>
      <c r="C86" s="93" t="s">
        <v>108</v>
      </c>
      <c r="D86" s="166" t="s">
        <v>153</v>
      </c>
      <c r="E86" s="167"/>
      <c r="F86" s="168"/>
      <c r="G86" s="39">
        <v>30</v>
      </c>
      <c r="H86" s="19">
        <f>TRUNC((H$88*$G86)/12,2)</f>
        <v>526.62</v>
      </c>
      <c r="I86" s="106"/>
    </row>
    <row r="87" spans="2:9" ht="22.5" x14ac:dyDescent="0.2">
      <c r="B87" s="13" t="s">
        <v>5</v>
      </c>
      <c r="C87" s="85" t="s">
        <v>159</v>
      </c>
      <c r="D87" s="169" t="s">
        <v>162</v>
      </c>
      <c r="E87" s="170"/>
      <c r="F87" s="171"/>
      <c r="G87" s="61">
        <v>8</v>
      </c>
      <c r="H87" s="19">
        <f>TRUNC((H$88*$G87)/12,2)</f>
        <v>140.43</v>
      </c>
      <c r="I87" s="106"/>
    </row>
    <row r="88" spans="2:9" x14ac:dyDescent="0.2">
      <c r="B88" s="13" t="s">
        <v>6</v>
      </c>
      <c r="C88" s="93" t="s">
        <v>110</v>
      </c>
      <c r="D88" s="166" t="s">
        <v>146</v>
      </c>
      <c r="E88" s="167"/>
      <c r="F88" s="167"/>
      <c r="G88" s="168"/>
      <c r="H88" s="19">
        <f>TRUNC((H$30+H$69+H$80)/30,2)</f>
        <v>210.65</v>
      </c>
      <c r="I88" s="106"/>
    </row>
    <row r="89" spans="2:9" x14ac:dyDescent="0.2">
      <c r="B89" s="13" t="s">
        <v>148</v>
      </c>
      <c r="C89" s="192" t="s">
        <v>58</v>
      </c>
      <c r="D89" s="193"/>
      <c r="E89" s="193"/>
      <c r="F89" s="193"/>
      <c r="G89" s="82"/>
      <c r="H89" s="16">
        <f>TRUNC(H$86+H$87,2)</f>
        <v>667.05</v>
      </c>
      <c r="I89" s="17"/>
    </row>
    <row r="90" spans="2:9" x14ac:dyDescent="0.2">
      <c r="B90" s="75"/>
      <c r="C90" s="76"/>
      <c r="D90" s="76"/>
      <c r="E90" s="76"/>
      <c r="F90" s="76"/>
      <c r="G90" s="76"/>
      <c r="H90" s="77"/>
      <c r="I90" s="24"/>
    </row>
    <row r="91" spans="2:9" x14ac:dyDescent="0.2">
      <c r="B91" s="222" t="s">
        <v>90</v>
      </c>
      <c r="C91" s="223"/>
      <c r="D91" s="223"/>
      <c r="E91" s="223"/>
      <c r="F91" s="223"/>
      <c r="G91" s="150"/>
      <c r="H91" s="151"/>
      <c r="I91" s="100"/>
    </row>
    <row r="92" spans="2:9" x14ac:dyDescent="0.2">
      <c r="B92" s="95" t="s">
        <v>15</v>
      </c>
      <c r="C92" s="192" t="s">
        <v>91</v>
      </c>
      <c r="D92" s="193"/>
      <c r="E92" s="193"/>
      <c r="F92" s="194"/>
      <c r="G92" s="95" t="s">
        <v>103</v>
      </c>
      <c r="H92" s="95" t="s">
        <v>48</v>
      </c>
      <c r="I92" s="100"/>
    </row>
    <row r="93" spans="2:9" ht="22.5" x14ac:dyDescent="0.2">
      <c r="B93" s="13" t="s">
        <v>4</v>
      </c>
      <c r="C93" s="85" t="s">
        <v>92</v>
      </c>
      <c r="D93" s="166" t="s">
        <v>181</v>
      </c>
      <c r="E93" s="167"/>
      <c r="F93" s="167"/>
      <c r="G93" s="39"/>
      <c r="H93" s="19">
        <f>TRUNC(((H$30+H69+H80)/220)*(1+50%)*G93,2)</f>
        <v>0</v>
      </c>
      <c r="I93" s="106"/>
    </row>
    <row r="94" spans="2:9" x14ac:dyDescent="0.2">
      <c r="B94" s="13" t="s">
        <v>149</v>
      </c>
      <c r="C94" s="192" t="s">
        <v>58</v>
      </c>
      <c r="D94" s="193"/>
      <c r="E94" s="193"/>
      <c r="F94" s="193"/>
      <c r="G94" s="125"/>
      <c r="H94" s="16">
        <f>H93</f>
        <v>0</v>
      </c>
      <c r="I94" s="106"/>
    </row>
    <row r="95" spans="2:9" x14ac:dyDescent="0.2">
      <c r="B95" s="98"/>
      <c r="C95" s="97"/>
      <c r="D95" s="97"/>
      <c r="E95" s="97"/>
      <c r="F95" s="97"/>
      <c r="G95" s="99"/>
      <c r="H95" s="165"/>
      <c r="I95" s="122"/>
    </row>
    <row r="96" spans="2:9" x14ac:dyDescent="0.2">
      <c r="B96" s="222" t="s">
        <v>71</v>
      </c>
      <c r="C96" s="223"/>
      <c r="D96" s="223"/>
      <c r="E96" s="223"/>
      <c r="F96" s="223"/>
      <c r="G96" s="150"/>
      <c r="H96" s="151"/>
      <c r="I96" s="100"/>
    </row>
    <row r="97" spans="2:9" x14ac:dyDescent="0.2">
      <c r="B97" s="95">
        <v>4</v>
      </c>
      <c r="C97" s="192" t="s">
        <v>72</v>
      </c>
      <c r="D97" s="193"/>
      <c r="E97" s="193"/>
      <c r="F97" s="193"/>
      <c r="G97" s="194"/>
      <c r="H97" s="95" t="s">
        <v>48</v>
      </c>
      <c r="I97" s="100"/>
    </row>
    <row r="98" spans="2:9" x14ac:dyDescent="0.2">
      <c r="B98" s="13" t="s">
        <v>14</v>
      </c>
      <c r="C98" s="93" t="s">
        <v>41</v>
      </c>
      <c r="D98" s="166" t="s">
        <v>148</v>
      </c>
      <c r="E98" s="167"/>
      <c r="F98" s="167"/>
      <c r="G98" s="168"/>
      <c r="H98" s="19">
        <f>H89</f>
        <v>667.05</v>
      </c>
      <c r="I98" s="106"/>
    </row>
    <row r="99" spans="2:9" x14ac:dyDescent="0.2">
      <c r="B99" s="13" t="s">
        <v>15</v>
      </c>
      <c r="C99" s="93" t="s">
        <v>43</v>
      </c>
      <c r="D99" s="166" t="s">
        <v>149</v>
      </c>
      <c r="E99" s="167"/>
      <c r="F99" s="167"/>
      <c r="G99" s="168"/>
      <c r="H99" s="19">
        <f>H94</f>
        <v>0</v>
      </c>
      <c r="I99" s="106"/>
    </row>
    <row r="100" spans="2:9" x14ac:dyDescent="0.2">
      <c r="B100" s="13" t="s">
        <v>150</v>
      </c>
      <c r="C100" s="192" t="s">
        <v>58</v>
      </c>
      <c r="D100" s="193"/>
      <c r="E100" s="193"/>
      <c r="F100" s="193"/>
      <c r="G100" s="82"/>
      <c r="H100" s="16">
        <f>SUM(H98:H99)</f>
        <v>667.05</v>
      </c>
      <c r="I100" s="17"/>
    </row>
    <row r="101" spans="2:9" x14ac:dyDescent="0.2">
      <c r="B101" s="99"/>
      <c r="C101" s="99"/>
      <c r="D101" s="99"/>
      <c r="E101" s="99"/>
      <c r="F101" s="99"/>
      <c r="G101" s="99"/>
      <c r="H101" s="99"/>
      <c r="I101" s="100"/>
    </row>
    <row r="102" spans="2:9" x14ac:dyDescent="0.2">
      <c r="B102" s="99"/>
      <c r="C102" s="99"/>
      <c r="D102" s="99"/>
      <c r="E102" s="99"/>
      <c r="F102" s="99"/>
      <c r="G102" s="99"/>
      <c r="H102" s="99"/>
      <c r="I102" s="100"/>
    </row>
    <row r="103" spans="2:9" x14ac:dyDescent="0.2">
      <c r="B103" s="209" t="s">
        <v>73</v>
      </c>
      <c r="C103" s="210"/>
      <c r="D103" s="210"/>
      <c r="E103" s="210"/>
      <c r="F103" s="218"/>
      <c r="G103" s="140"/>
      <c r="H103" s="141"/>
      <c r="I103" s="100"/>
    </row>
    <row r="104" spans="2:9" x14ac:dyDescent="0.2">
      <c r="B104" s="95">
        <v>5</v>
      </c>
      <c r="C104" s="219" t="s">
        <v>60</v>
      </c>
      <c r="D104" s="220"/>
      <c r="E104" s="220"/>
      <c r="F104" s="220"/>
      <c r="G104" s="221"/>
      <c r="H104" s="95" t="s">
        <v>48</v>
      </c>
      <c r="I104" s="100"/>
    </row>
    <row r="105" spans="2:9" x14ac:dyDescent="0.2">
      <c r="B105" s="13" t="s">
        <v>4</v>
      </c>
      <c r="C105" s="69" t="s">
        <v>44</v>
      </c>
      <c r="D105" s="70"/>
      <c r="E105" s="70"/>
      <c r="F105" s="70"/>
      <c r="G105" s="71"/>
      <c r="H105" s="72">
        <f>Insumos!G11</f>
        <v>680.03</v>
      </c>
      <c r="I105" s="106"/>
    </row>
    <row r="106" spans="2:9" x14ac:dyDescent="0.2">
      <c r="B106" s="13" t="s">
        <v>5</v>
      </c>
      <c r="C106" s="69" t="s">
        <v>12</v>
      </c>
      <c r="D106" s="70"/>
      <c r="E106" s="70"/>
      <c r="F106" s="70"/>
      <c r="G106" s="71"/>
      <c r="H106" s="72"/>
      <c r="I106" s="106"/>
    </row>
    <row r="107" spans="2:9" x14ac:dyDescent="0.2">
      <c r="B107" s="13" t="s">
        <v>6</v>
      </c>
      <c r="C107" s="69" t="s">
        <v>13</v>
      </c>
      <c r="D107" s="70"/>
      <c r="E107" s="70"/>
      <c r="F107" s="70"/>
      <c r="G107" s="71"/>
      <c r="H107" s="72">
        <f>Insumos!H26</f>
        <v>29.31</v>
      </c>
      <c r="I107" s="106"/>
    </row>
    <row r="108" spans="2:9" x14ac:dyDescent="0.2">
      <c r="B108" s="13" t="s">
        <v>7</v>
      </c>
      <c r="C108" s="69" t="s">
        <v>2</v>
      </c>
      <c r="D108" s="70"/>
      <c r="E108" s="70"/>
      <c r="F108" s="70"/>
      <c r="G108" s="71"/>
      <c r="H108" s="72"/>
      <c r="I108" s="106"/>
    </row>
    <row r="109" spans="2:9" x14ac:dyDescent="0.2">
      <c r="B109" s="13" t="s">
        <v>151</v>
      </c>
      <c r="C109" s="192" t="s">
        <v>58</v>
      </c>
      <c r="D109" s="193"/>
      <c r="E109" s="193"/>
      <c r="F109" s="193"/>
      <c r="G109" s="82"/>
      <c r="H109" s="16">
        <f>SUM(H105:H108)</f>
        <v>709.33999999999992</v>
      </c>
      <c r="I109" s="17"/>
    </row>
    <row r="110" spans="2:9" x14ac:dyDescent="0.2">
      <c r="B110" s="99"/>
      <c r="C110" s="99"/>
      <c r="D110" s="99"/>
      <c r="E110" s="99"/>
      <c r="F110" s="99"/>
      <c r="G110" s="78"/>
      <c r="H110" s="73"/>
      <c r="I110" s="17"/>
    </row>
    <row r="111" spans="2:9" x14ac:dyDescent="0.2">
      <c r="B111" s="99"/>
      <c r="C111" s="99"/>
      <c r="D111" s="99"/>
      <c r="E111" s="99"/>
      <c r="F111" s="99"/>
      <c r="G111" s="99"/>
      <c r="H111" s="99"/>
      <c r="I111" s="100"/>
    </row>
    <row r="112" spans="2:9" x14ac:dyDescent="0.2">
      <c r="B112" s="209" t="s">
        <v>74</v>
      </c>
      <c r="C112" s="210"/>
      <c r="D112" s="210"/>
      <c r="E112" s="210"/>
      <c r="F112" s="218"/>
      <c r="G112" s="140"/>
      <c r="H112" s="141"/>
      <c r="I112" s="100"/>
    </row>
    <row r="113" spans="2:9" x14ac:dyDescent="0.2">
      <c r="B113" s="95">
        <v>6</v>
      </c>
      <c r="C113" s="192" t="s">
        <v>61</v>
      </c>
      <c r="D113" s="193"/>
      <c r="E113" s="193"/>
      <c r="F113" s="194"/>
      <c r="G113" s="95" t="s">
        <v>1</v>
      </c>
      <c r="H113" s="95" t="s">
        <v>48</v>
      </c>
      <c r="I113" s="100"/>
    </row>
    <row r="114" spans="2:9" x14ac:dyDescent="0.2">
      <c r="B114" s="13" t="s">
        <v>4</v>
      </c>
      <c r="C114" s="93" t="s">
        <v>16</v>
      </c>
      <c r="D114" s="215" t="s">
        <v>163</v>
      </c>
      <c r="E114" s="216"/>
      <c r="F114" s="217"/>
      <c r="G114" s="50">
        <v>0.05</v>
      </c>
      <c r="H114" s="19">
        <f>TRUNC(H$131*$G114,2)</f>
        <v>384.8</v>
      </c>
      <c r="I114" s="106"/>
    </row>
    <row r="115" spans="2:9" x14ac:dyDescent="0.2">
      <c r="B115" s="13" t="s">
        <v>5</v>
      </c>
      <c r="C115" s="93" t="s">
        <v>3</v>
      </c>
      <c r="D115" s="215" t="s">
        <v>164</v>
      </c>
      <c r="E115" s="216"/>
      <c r="F115" s="217"/>
      <c r="G115" s="50">
        <v>0.1</v>
      </c>
      <c r="H115" s="19">
        <f>TRUNC((H$131+H$114)*$G115,2)</f>
        <v>808.09</v>
      </c>
      <c r="I115" s="106"/>
    </row>
    <row r="116" spans="2:9" x14ac:dyDescent="0.2">
      <c r="B116" s="13" t="s">
        <v>6</v>
      </c>
      <c r="C116" s="93" t="s">
        <v>117</v>
      </c>
      <c r="D116" s="215" t="s">
        <v>165</v>
      </c>
      <c r="E116" s="216"/>
      <c r="F116" s="217"/>
      <c r="G116" s="52">
        <f>1-(G117+G118+G119)</f>
        <v>0.85749999999999993</v>
      </c>
      <c r="H116" s="25">
        <f>TRUNC(((H$131+H$114+H$115)/$G116),2)</f>
        <v>10366.18</v>
      </c>
      <c r="I116" s="109"/>
    </row>
    <row r="117" spans="2:9" x14ac:dyDescent="0.2">
      <c r="B117" s="13" t="s">
        <v>21</v>
      </c>
      <c r="C117" s="93" t="s">
        <v>18</v>
      </c>
      <c r="D117" s="215" t="s">
        <v>166</v>
      </c>
      <c r="E117" s="216"/>
      <c r="F117" s="217"/>
      <c r="G117" s="51">
        <v>1.6500000000000001E-2</v>
      </c>
      <c r="H117" s="19">
        <f>TRUNC(H$116*$G117,2)</f>
        <v>171.04</v>
      </c>
      <c r="I117" s="106"/>
    </row>
    <row r="118" spans="2:9" x14ac:dyDescent="0.2">
      <c r="B118" s="13" t="s">
        <v>22</v>
      </c>
      <c r="C118" s="93" t="s">
        <v>19</v>
      </c>
      <c r="D118" s="215" t="s">
        <v>166</v>
      </c>
      <c r="E118" s="216"/>
      <c r="F118" s="217"/>
      <c r="G118" s="51">
        <v>7.5999999999999998E-2</v>
      </c>
      <c r="H118" s="19">
        <f>TRUNC(H$116*$G118,2)</f>
        <v>787.82</v>
      </c>
      <c r="I118" s="106"/>
    </row>
    <row r="119" spans="2:9" x14ac:dyDescent="0.2">
      <c r="B119" s="13" t="s">
        <v>23</v>
      </c>
      <c r="C119" s="93" t="s">
        <v>20</v>
      </c>
      <c r="D119" s="215" t="s">
        <v>166</v>
      </c>
      <c r="E119" s="216"/>
      <c r="F119" s="217"/>
      <c r="G119" s="51">
        <v>0.05</v>
      </c>
      <c r="H119" s="19">
        <f>TRUNC(H$116*$G119,2)</f>
        <v>518.29999999999995</v>
      </c>
      <c r="I119" s="106"/>
    </row>
    <row r="120" spans="2:9" x14ac:dyDescent="0.2">
      <c r="B120" s="13" t="s">
        <v>152</v>
      </c>
      <c r="C120" s="89" t="s">
        <v>58</v>
      </c>
      <c r="D120" s="207" t="s">
        <v>154</v>
      </c>
      <c r="E120" s="207"/>
      <c r="F120" s="207"/>
      <c r="G120" s="164"/>
      <c r="H120" s="16">
        <f>SUM(H114:H119)-H116</f>
        <v>2670.0499999999993</v>
      </c>
      <c r="I120" s="17"/>
    </row>
    <row r="121" spans="2:9" x14ac:dyDescent="0.2">
      <c r="B121" s="67"/>
      <c r="C121" s="67"/>
      <c r="D121" s="67"/>
      <c r="E121" s="67"/>
      <c r="F121" s="67"/>
      <c r="G121" s="67"/>
      <c r="H121" s="79"/>
      <c r="I121" s="26"/>
    </row>
    <row r="122" spans="2:9" x14ac:dyDescent="0.2">
      <c r="B122" s="208" t="s">
        <v>190</v>
      </c>
      <c r="C122" s="208"/>
      <c r="D122" s="208"/>
      <c r="E122" s="208"/>
      <c r="F122" s="208"/>
      <c r="G122" s="208"/>
      <c r="H122" s="208"/>
      <c r="I122" s="116"/>
    </row>
    <row r="123" spans="2:9" x14ac:dyDescent="0.2">
      <c r="B123" s="92"/>
      <c r="C123" s="92"/>
      <c r="D123" s="92"/>
      <c r="E123" s="92"/>
      <c r="F123" s="92"/>
      <c r="G123" s="92"/>
      <c r="H123" s="92"/>
      <c r="I123" s="116"/>
    </row>
    <row r="124" spans="2:9" x14ac:dyDescent="0.2">
      <c r="B124" s="209" t="s">
        <v>191</v>
      </c>
      <c r="C124" s="210"/>
      <c r="D124" s="210"/>
      <c r="E124" s="210"/>
      <c r="F124" s="210"/>
      <c r="G124" s="158"/>
      <c r="H124" s="141"/>
      <c r="I124" s="100"/>
    </row>
    <row r="125" spans="2:9" ht="12.75" customHeight="1" x14ac:dyDescent="0.2">
      <c r="B125" s="156"/>
      <c r="C125" s="211" t="s">
        <v>118</v>
      </c>
      <c r="D125" s="212"/>
      <c r="E125" s="212"/>
      <c r="F125" s="212"/>
      <c r="G125" s="157"/>
      <c r="H125" s="139" t="s">
        <v>48</v>
      </c>
      <c r="I125" s="100"/>
    </row>
    <row r="126" spans="2:9" x14ac:dyDescent="0.2">
      <c r="B126" s="13" t="s">
        <v>4</v>
      </c>
      <c r="C126" s="85" t="s">
        <v>76</v>
      </c>
      <c r="D126" s="166" t="s">
        <v>129</v>
      </c>
      <c r="E126" s="167"/>
      <c r="F126" s="167"/>
      <c r="G126" s="168"/>
      <c r="H126" s="19">
        <f>H30</f>
        <v>2993.6600000000003</v>
      </c>
      <c r="I126" s="106"/>
    </row>
    <row r="127" spans="2:9" ht="22.5" x14ac:dyDescent="0.2">
      <c r="B127" s="13" t="s">
        <v>5</v>
      </c>
      <c r="C127" s="85" t="s">
        <v>77</v>
      </c>
      <c r="D127" s="166" t="s">
        <v>143</v>
      </c>
      <c r="E127" s="167"/>
      <c r="F127" s="167"/>
      <c r="G127" s="168"/>
      <c r="H127" s="19">
        <f>H69</f>
        <v>2686.82</v>
      </c>
      <c r="I127" s="106"/>
    </row>
    <row r="128" spans="2:9" x14ac:dyDescent="0.2">
      <c r="B128" s="13" t="s">
        <v>6</v>
      </c>
      <c r="C128" s="85" t="s">
        <v>78</v>
      </c>
      <c r="D128" s="166" t="s">
        <v>147</v>
      </c>
      <c r="E128" s="167"/>
      <c r="F128" s="167"/>
      <c r="G128" s="168"/>
      <c r="H128" s="19">
        <f>H80</f>
        <v>639.24</v>
      </c>
      <c r="I128" s="106"/>
    </row>
    <row r="129" spans="2:9" ht="22.5" x14ac:dyDescent="0.2">
      <c r="B129" s="13" t="s">
        <v>7</v>
      </c>
      <c r="C129" s="85" t="s">
        <v>42</v>
      </c>
      <c r="D129" s="166" t="s">
        <v>150</v>
      </c>
      <c r="E129" s="167"/>
      <c r="F129" s="167"/>
      <c r="G129" s="168"/>
      <c r="H129" s="19">
        <f>H100</f>
        <v>667.05</v>
      </c>
      <c r="I129" s="106"/>
    </row>
    <row r="130" spans="2:9" x14ac:dyDescent="0.2">
      <c r="B130" s="13" t="s">
        <v>8</v>
      </c>
      <c r="C130" s="85" t="s">
        <v>79</v>
      </c>
      <c r="D130" s="166" t="s">
        <v>151</v>
      </c>
      <c r="E130" s="167"/>
      <c r="F130" s="167"/>
      <c r="G130" s="168"/>
      <c r="H130" s="19">
        <f>H109</f>
        <v>709.33999999999992</v>
      </c>
      <c r="I130" s="106"/>
    </row>
    <row r="131" spans="2:9" x14ac:dyDescent="0.2">
      <c r="B131" s="91" t="s">
        <v>9</v>
      </c>
      <c r="C131" s="84" t="s">
        <v>45</v>
      </c>
      <c r="D131" s="172" t="s">
        <v>170</v>
      </c>
      <c r="E131" s="173"/>
      <c r="F131" s="173"/>
      <c r="G131" s="174"/>
      <c r="H131" s="22">
        <f>SUM(H126:H130)</f>
        <v>7696.1100000000006</v>
      </c>
      <c r="I131" s="17"/>
    </row>
    <row r="132" spans="2:9" x14ac:dyDescent="0.2">
      <c r="B132" s="13" t="s">
        <v>10</v>
      </c>
      <c r="C132" s="93" t="s">
        <v>80</v>
      </c>
      <c r="D132" s="166" t="s">
        <v>152</v>
      </c>
      <c r="E132" s="167"/>
      <c r="F132" s="167"/>
      <c r="G132" s="168"/>
      <c r="H132" s="19">
        <f>H120</f>
        <v>2670.0499999999993</v>
      </c>
      <c r="I132" s="106"/>
    </row>
    <row r="133" spans="2:9" x14ac:dyDescent="0.2">
      <c r="B133" s="13" t="s">
        <v>155</v>
      </c>
      <c r="C133" s="88" t="s">
        <v>75</v>
      </c>
      <c r="D133" s="175" t="s">
        <v>169</v>
      </c>
      <c r="E133" s="163"/>
      <c r="F133" s="163"/>
      <c r="G133" s="164"/>
      <c r="H133" s="28">
        <f>SUM(H131:H132)</f>
        <v>10366.16</v>
      </c>
      <c r="I133" s="120"/>
    </row>
    <row r="134" spans="2:9" x14ac:dyDescent="0.2">
      <c r="B134" s="100"/>
      <c r="C134" s="88" t="s">
        <v>241</v>
      </c>
      <c r="D134" s="175" t="s">
        <v>239</v>
      </c>
      <c r="E134" s="163"/>
      <c r="F134" s="163"/>
      <c r="G134" s="164"/>
      <c r="H134" s="28">
        <f>H133*2</f>
        <v>20732.32</v>
      </c>
      <c r="I134" s="120"/>
    </row>
    <row r="135" spans="2:9" ht="12.75" customHeight="1" x14ac:dyDescent="0.2">
      <c r="B135" s="11"/>
      <c r="C135" s="11"/>
      <c r="D135" s="11"/>
      <c r="E135" s="11"/>
      <c r="F135" s="11"/>
      <c r="G135" s="11"/>
      <c r="H135" s="29"/>
      <c r="I135" s="29"/>
    </row>
    <row r="136" spans="2:9" x14ac:dyDescent="0.2">
      <c r="B136" s="208" t="s">
        <v>192</v>
      </c>
      <c r="C136" s="208"/>
      <c r="D136" s="208"/>
      <c r="E136" s="208"/>
      <c r="F136" s="208"/>
      <c r="I136" s="11"/>
    </row>
    <row r="137" spans="2:9" x14ac:dyDescent="0.2">
      <c r="B137" s="80"/>
      <c r="C137" s="80"/>
      <c r="D137" s="80"/>
      <c r="E137" s="74"/>
      <c r="F137" s="74"/>
      <c r="I137" s="11"/>
    </row>
    <row r="138" spans="2:9" x14ac:dyDescent="0.2">
      <c r="B138" s="213" t="s">
        <v>193</v>
      </c>
      <c r="C138" s="214"/>
      <c r="D138" s="214"/>
      <c r="E138" s="214"/>
      <c r="F138" s="214"/>
      <c r="G138" s="158"/>
      <c r="H138" s="141"/>
      <c r="I138" s="117"/>
    </row>
    <row r="139" spans="2:9" x14ac:dyDescent="0.2">
      <c r="B139" s="126" t="s">
        <v>4</v>
      </c>
      <c r="C139" s="159" t="s">
        <v>104</v>
      </c>
      <c r="D139" s="200" t="s">
        <v>155</v>
      </c>
      <c r="E139" s="201"/>
      <c r="F139" s="201"/>
      <c r="G139" s="160"/>
      <c r="H139" s="161">
        <f>H133</f>
        <v>10366.16</v>
      </c>
      <c r="I139" s="115"/>
    </row>
    <row r="140" spans="2:9" ht="22.5" x14ac:dyDescent="0.2">
      <c r="B140" s="13" t="s">
        <v>5</v>
      </c>
      <c r="C140" s="86" t="s">
        <v>157</v>
      </c>
      <c r="D140" s="202" t="s">
        <v>158</v>
      </c>
      <c r="E140" s="203"/>
      <c r="F140" s="203"/>
      <c r="G140" s="154"/>
      <c r="H140" s="9">
        <f>H40+H80+H98</f>
        <v>1888.3799999999999</v>
      </c>
      <c r="I140" s="110"/>
    </row>
    <row r="141" spans="2:9" ht="22.5" x14ac:dyDescent="0.2">
      <c r="B141" s="13" t="s">
        <v>6</v>
      </c>
      <c r="C141" s="86" t="s">
        <v>173</v>
      </c>
      <c r="D141" s="202" t="s">
        <v>180</v>
      </c>
      <c r="E141" s="203"/>
      <c r="F141" s="203"/>
      <c r="G141" s="155"/>
      <c r="H141" s="114">
        <f>TRUNC((H$40*$G53),2)</f>
        <v>231.67</v>
      </c>
      <c r="I141" s="115"/>
    </row>
    <row r="142" spans="2:9" ht="12.75" customHeight="1" x14ac:dyDescent="0.2">
      <c r="B142" s="13" t="s">
        <v>7</v>
      </c>
      <c r="C142" s="86" t="s">
        <v>16</v>
      </c>
      <c r="D142" s="204" t="s">
        <v>167</v>
      </c>
      <c r="E142" s="205"/>
      <c r="F142" s="206"/>
      <c r="G142" s="10">
        <f>G114</f>
        <v>0.05</v>
      </c>
      <c r="H142" s="9">
        <f>TRUNC((H$140+H$141)*$G142,2)</f>
        <v>106</v>
      </c>
      <c r="I142" s="110"/>
    </row>
    <row r="143" spans="2:9" ht="12.75" customHeight="1" x14ac:dyDescent="0.2">
      <c r="B143" s="13" t="s">
        <v>8</v>
      </c>
      <c r="C143" s="86" t="s">
        <v>3</v>
      </c>
      <c r="D143" s="204" t="s">
        <v>168</v>
      </c>
      <c r="E143" s="205"/>
      <c r="F143" s="206"/>
      <c r="G143" s="10">
        <f>G115</f>
        <v>0.1</v>
      </c>
      <c r="H143" s="9">
        <f>TRUNC((H$140+H$141+H$142)*$G143,2)</f>
        <v>222.6</v>
      </c>
      <c r="I143" s="110"/>
    </row>
    <row r="144" spans="2:9" ht="12.75" customHeight="1" x14ac:dyDescent="0.2">
      <c r="B144" s="13" t="s">
        <v>9</v>
      </c>
      <c r="C144" s="86" t="s">
        <v>105</v>
      </c>
      <c r="D144" s="204" t="s">
        <v>175</v>
      </c>
      <c r="E144" s="205"/>
      <c r="F144" s="206"/>
      <c r="G144" s="10">
        <f>G117+G118+G119</f>
        <v>0.14250000000000002</v>
      </c>
      <c r="H144" s="9">
        <f>TRUNC((H$140+H$141+H$142+H$143)/(1-$G144)-(H$140+H$141+H$142+H$143),2)</f>
        <v>406.91</v>
      </c>
      <c r="I144" s="110"/>
    </row>
    <row r="145" spans="2:9" ht="22.5" x14ac:dyDescent="0.2">
      <c r="B145" s="13" t="s">
        <v>10</v>
      </c>
      <c r="C145" s="127" t="s">
        <v>106</v>
      </c>
      <c r="D145" s="152" t="s">
        <v>176</v>
      </c>
      <c r="E145" s="153"/>
      <c r="F145" s="153"/>
      <c r="G145" s="154"/>
      <c r="H145" s="128">
        <f>SUM(H140:H144)</f>
        <v>2855.5599999999995</v>
      </c>
      <c r="I145" s="111"/>
    </row>
    <row r="146" spans="2:9" x14ac:dyDescent="0.2">
      <c r="B146" s="13" t="s">
        <v>156</v>
      </c>
      <c r="C146" s="90" t="s">
        <v>126</v>
      </c>
      <c r="D146" s="198" t="s">
        <v>174</v>
      </c>
      <c r="E146" s="199"/>
      <c r="F146" s="199"/>
      <c r="G146" s="162"/>
      <c r="H146" s="30">
        <f>H139-H145</f>
        <v>7510.6</v>
      </c>
      <c r="I146" s="121"/>
    </row>
    <row r="147" spans="2:9" ht="45" customHeight="1" x14ac:dyDescent="0.2">
      <c r="B147" s="195" t="s">
        <v>125</v>
      </c>
      <c r="C147" s="196"/>
      <c r="D147" s="196"/>
      <c r="E147" s="196"/>
      <c r="F147" s="196"/>
      <c r="G147" s="197"/>
      <c r="H147" s="138"/>
      <c r="I147" s="112"/>
    </row>
  </sheetData>
  <mergeCells count="103">
    <mergeCell ref="B11:B12"/>
    <mergeCell ref="C11:F11"/>
    <mergeCell ref="C12:F12"/>
    <mergeCell ref="B13:B14"/>
    <mergeCell ref="C13:F13"/>
    <mergeCell ref="C14:F14"/>
    <mergeCell ref="B2:H2"/>
    <mergeCell ref="B3:H3"/>
    <mergeCell ref="D6:F6"/>
    <mergeCell ref="B8:F8"/>
    <mergeCell ref="B9:B10"/>
    <mergeCell ref="C9:F9"/>
    <mergeCell ref="C10:F10"/>
    <mergeCell ref="B19:B20"/>
    <mergeCell ref="C19:F19"/>
    <mergeCell ref="C20:F20"/>
    <mergeCell ref="B23:F23"/>
    <mergeCell ref="C24:F24"/>
    <mergeCell ref="D25:F25"/>
    <mergeCell ref="B15:B16"/>
    <mergeCell ref="C15:F15"/>
    <mergeCell ref="C16:F16"/>
    <mergeCell ref="B17:B18"/>
    <mergeCell ref="C17:F17"/>
    <mergeCell ref="C18:F18"/>
    <mergeCell ref="B35:F35"/>
    <mergeCell ref="B36:F36"/>
    <mergeCell ref="C37:F37"/>
    <mergeCell ref="D38:F38"/>
    <mergeCell ref="D39:F39"/>
    <mergeCell ref="C40:F40"/>
    <mergeCell ref="D26:F26"/>
    <mergeCell ref="D28:F28"/>
    <mergeCell ref="D29:F29"/>
    <mergeCell ref="C30:F30"/>
    <mergeCell ref="C31:F32"/>
    <mergeCell ref="B34:F34"/>
    <mergeCell ref="D48:F48"/>
    <mergeCell ref="D49:F49"/>
    <mergeCell ref="D50:F50"/>
    <mergeCell ref="D51:F51"/>
    <mergeCell ref="D52:F52"/>
    <mergeCell ref="C53:F53"/>
    <mergeCell ref="B41:H41"/>
    <mergeCell ref="B42:F42"/>
    <mergeCell ref="C43:F43"/>
    <mergeCell ref="D44:F44"/>
    <mergeCell ref="D45:F45"/>
    <mergeCell ref="B46:B47"/>
    <mergeCell ref="C46:C47"/>
    <mergeCell ref="D46:D47"/>
    <mergeCell ref="G46:G47"/>
    <mergeCell ref="H46:H47"/>
    <mergeCell ref="C65:F65"/>
    <mergeCell ref="C69:F69"/>
    <mergeCell ref="B70:H70"/>
    <mergeCell ref="B72:F72"/>
    <mergeCell ref="C73:F73"/>
    <mergeCell ref="D76:E76"/>
    <mergeCell ref="B54:H54"/>
    <mergeCell ref="B55:F55"/>
    <mergeCell ref="C56:F56"/>
    <mergeCell ref="C62:F62"/>
    <mergeCell ref="B63:H63"/>
    <mergeCell ref="B64:F64"/>
    <mergeCell ref="C89:F89"/>
    <mergeCell ref="B91:F91"/>
    <mergeCell ref="C92:F92"/>
    <mergeCell ref="C94:F94"/>
    <mergeCell ref="B96:F96"/>
    <mergeCell ref="C97:G97"/>
    <mergeCell ref="D78:E78"/>
    <mergeCell ref="D79:E79"/>
    <mergeCell ref="C80:F80"/>
    <mergeCell ref="B83:F83"/>
    <mergeCell ref="B84:F84"/>
    <mergeCell ref="C85:F85"/>
    <mergeCell ref="D114:F114"/>
    <mergeCell ref="D115:F115"/>
    <mergeCell ref="D116:F116"/>
    <mergeCell ref="D117:F117"/>
    <mergeCell ref="D118:F118"/>
    <mergeCell ref="D119:F119"/>
    <mergeCell ref="C100:F100"/>
    <mergeCell ref="B103:F103"/>
    <mergeCell ref="C104:G104"/>
    <mergeCell ref="C109:F109"/>
    <mergeCell ref="B112:F112"/>
    <mergeCell ref="C113:F113"/>
    <mergeCell ref="D146:F146"/>
    <mergeCell ref="B147:G147"/>
    <mergeCell ref="D139:F139"/>
    <mergeCell ref="D140:F140"/>
    <mergeCell ref="D141:F141"/>
    <mergeCell ref="D142:F142"/>
    <mergeCell ref="D143:F143"/>
    <mergeCell ref="D144:F144"/>
    <mergeCell ref="D120:F120"/>
    <mergeCell ref="B122:H122"/>
    <mergeCell ref="B124:F124"/>
    <mergeCell ref="C125:F125"/>
    <mergeCell ref="B136:F136"/>
    <mergeCell ref="B138:F138"/>
  </mergeCells>
  <dataValidations count="10">
    <dataValidation type="list" allowBlank="1" showInputMessage="1" showErrorMessage="1" sqref="G26" xr:uid="{DAF38770-1FBD-47A5-8BD4-799FB6EB3B6D}">
      <formula1>"0%, 30%"</formula1>
    </dataValidation>
    <dataValidation type="list" allowBlank="1" showInputMessage="1" showErrorMessage="1" sqref="G27" xr:uid="{72FF86AB-E339-4242-A899-64B94AA788A9}">
      <formula1>"0%, 10%, 20%, 40%"</formula1>
    </dataValidation>
    <dataValidation type="list" allowBlank="1" showInputMessage="1" showErrorMessage="1" sqref="E47" xr:uid="{BA6A47AB-52EA-447D-AD6E-9BEECB3D8295}">
      <formula1>"1%, 2%, 3%"</formula1>
    </dataValidation>
    <dataValidation type="list" allowBlank="1" showInputMessage="1" showErrorMessage="1" sqref="G28" xr:uid="{ECE277AB-F845-45DA-87D8-E83BDE5EABAC}">
      <formula1>"0, 20%"</formula1>
    </dataValidation>
    <dataValidation type="list" allowBlank="1" showInputMessage="1" showErrorMessage="1" sqref="G118" xr:uid="{36774D83-4925-46CE-B089-80595CD6F093}">
      <mc:AlternateContent xmlns:x12ac="http://schemas.microsoft.com/office/spreadsheetml/2011/1/ac" xmlns:mc="http://schemas.openxmlformats.org/markup-compatibility/2006">
        <mc:Choice Requires="x12ac">
          <x12ac:list>3%," 7,6%"</x12ac:list>
        </mc:Choice>
        <mc:Fallback>
          <formula1>"3%, 7,6%"</formula1>
        </mc:Fallback>
      </mc:AlternateContent>
    </dataValidation>
    <dataValidation type="list" allowBlank="1" showInputMessage="1" showErrorMessage="1" sqref="G117" xr:uid="{F7A9900F-DD97-4BAD-B0EE-527A364D438F}">
      <mc:AlternateContent xmlns:x12ac="http://schemas.microsoft.com/office/spreadsheetml/2011/1/ac" xmlns:mc="http://schemas.openxmlformats.org/markup-compatibility/2006">
        <mc:Choice Requires="x12ac">
          <x12ac:list>"0,65%","1,65%"</x12ac:list>
        </mc:Choice>
        <mc:Fallback>
          <formula1>"0,65%,1,65%"</formula1>
        </mc:Fallback>
      </mc:AlternateContent>
    </dataValidation>
    <dataValidation type="whole" allowBlank="1" showInputMessage="1" showErrorMessage="1" errorTitle="Valor errado" error="Quantidade fixa de dias. Prencher com 30" sqref="G86" xr:uid="{7650304E-8FA6-4919-9592-9843B1E3AAC4}">
      <formula1>30</formula1>
      <formula2>30</formula2>
    </dataValidation>
    <dataValidation type="list" operator="equal" allowBlank="1" showInputMessage="1" showErrorMessage="1" errorTitle="Valor errado" error="Percentual fixo. Preencher com 40%." sqref="F76 F78" xr:uid="{079E5DA2-A611-4371-818F-98DA8FC3CBF5}">
      <formula1>"40%"</formula1>
    </dataValidation>
    <dataValidation type="custom" allowBlank="1" showInputMessage="1" showErrorMessage="1" sqref="G116" xr:uid="{234B9C2C-B8A6-4A97-8654-0CA02C34DC38}">
      <formula1>1-(G117+G118+G119)</formula1>
    </dataValidation>
    <dataValidation type="list" allowBlank="1" showInputMessage="1" showErrorMessage="1" sqref="G79" xr:uid="{BAA341BE-9905-40D1-8316-E43E67507AC7}">
      <formula1>"3,6,9,12,15"</formula1>
    </dataValidation>
  </dataValidations>
  <pageMargins left="0.511811024" right="0.511811024" top="0.78740157499999996" bottom="0.78740157499999996" header="0.31496062000000002" footer="0.31496062000000002"/>
  <pageSetup paperSize="9" scale="69" fitToHeight="0" orientation="portrait" verticalDpi="300" r:id="rId1"/>
  <rowBreaks count="1" manualBreakCount="1">
    <brk id="70" max="16383" man="1"/>
  </rowBreaks>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pageSetUpPr fitToPage="1"/>
  </sheetPr>
  <dimension ref="A1:L26"/>
  <sheetViews>
    <sheetView showGridLines="0" zoomScaleNormal="100" workbookViewId="0">
      <selection activeCell="N22" sqref="N22"/>
    </sheetView>
  </sheetViews>
  <sheetFormatPr defaultColWidth="9.140625" defaultRowHeight="11.25" x14ac:dyDescent="0.2"/>
  <cols>
    <col min="1" max="1" width="3.7109375" style="43" customWidth="1"/>
    <col min="2" max="2" width="25.7109375" style="43" customWidth="1"/>
    <col min="3" max="3" width="14.140625" style="43" customWidth="1"/>
    <col min="4" max="4" width="15.42578125" style="43" customWidth="1"/>
    <col min="5" max="5" width="14" style="43" customWidth="1"/>
    <col min="6" max="6" width="11.42578125" style="43" customWidth="1"/>
    <col min="7" max="7" width="13.140625" style="43" customWidth="1"/>
    <col min="8" max="10" width="15.7109375" style="43" customWidth="1"/>
    <col min="11" max="16384" width="9.140625" style="43"/>
  </cols>
  <sheetData>
    <row r="1" spans="1:12" ht="12" thickBot="1" x14ac:dyDescent="0.25"/>
    <row r="2" spans="1:12" ht="18.75" customHeight="1" thickBot="1" x14ac:dyDescent="0.25">
      <c r="A2" s="263" t="s">
        <v>81</v>
      </c>
      <c r="B2" s="264"/>
      <c r="C2" s="264"/>
      <c r="D2" s="264"/>
      <c r="E2" s="264"/>
      <c r="F2" s="264"/>
      <c r="G2" s="265"/>
      <c r="H2" s="133"/>
      <c r="I2" s="133"/>
    </row>
    <row r="4" spans="1:12" s="44" customFormat="1" ht="30" customHeight="1" x14ac:dyDescent="0.2">
      <c r="A4" s="268" t="s">
        <v>82</v>
      </c>
      <c r="B4" s="268"/>
      <c r="C4" s="41" t="s">
        <v>83</v>
      </c>
      <c r="D4" s="41" t="s">
        <v>242</v>
      </c>
      <c r="E4" s="41" t="s">
        <v>111</v>
      </c>
      <c r="F4" s="41" t="s">
        <v>243</v>
      </c>
      <c r="G4" s="41" t="s">
        <v>115</v>
      </c>
      <c r="H4" s="129"/>
      <c r="I4" s="129"/>
      <c r="K4" s="43"/>
      <c r="L4" s="43"/>
    </row>
    <row r="5" spans="1:12" ht="22.5" customHeight="1" x14ac:dyDescent="0.2">
      <c r="A5" s="3">
        <v>1</v>
      </c>
      <c r="B5" s="134" t="s">
        <v>218</v>
      </c>
      <c r="C5" s="48">
        <v>898.63</v>
      </c>
      <c r="D5" s="135">
        <v>2</v>
      </c>
      <c r="E5" s="135">
        <v>6</v>
      </c>
      <c r="F5" s="132">
        <f>IF(B5="","",TRUNC(C5*D5*(12/E5),2))</f>
        <v>3594.52</v>
      </c>
      <c r="G5" s="132">
        <f>IF(B5="","",TRUNC(F5/12,2))</f>
        <v>299.54000000000002</v>
      </c>
      <c r="H5" s="130"/>
      <c r="I5" s="130"/>
    </row>
    <row r="6" spans="1:12" ht="22.5" customHeight="1" x14ac:dyDescent="0.2">
      <c r="A6" s="3">
        <f>A5+1</f>
        <v>2</v>
      </c>
      <c r="B6" s="134" t="s">
        <v>219</v>
      </c>
      <c r="C6" s="48">
        <v>196.3</v>
      </c>
      <c r="D6" s="135">
        <v>4</v>
      </c>
      <c r="E6" s="135">
        <v>6</v>
      </c>
      <c r="F6" s="132">
        <f>IF(B6="","",TRUNC(C6*D6*(12/E6),2))</f>
        <v>1570.4</v>
      </c>
      <c r="G6" s="132">
        <f>IF(B6="","",TRUNC(F6/12,2))</f>
        <v>130.86000000000001</v>
      </c>
      <c r="H6" s="130"/>
      <c r="I6" s="130"/>
    </row>
    <row r="7" spans="1:12" ht="22.5" customHeight="1" x14ac:dyDescent="0.2">
      <c r="A7" s="3">
        <f t="shared" ref="A7:A10" si="0">A6+1</f>
        <v>3</v>
      </c>
      <c r="B7" s="134" t="s">
        <v>220</v>
      </c>
      <c r="C7" s="48">
        <v>183.23</v>
      </c>
      <c r="D7" s="135">
        <v>2</v>
      </c>
      <c r="E7" s="135">
        <v>6</v>
      </c>
      <c r="F7" s="132">
        <f t="shared" ref="F7:F10" si="1">IF(B7="","",TRUNC(C7*D7*(12/E7),2))</f>
        <v>732.92</v>
      </c>
      <c r="G7" s="132">
        <f t="shared" ref="G7:G10" si="2">IF(B7="","",TRUNC(F7/12,2))</f>
        <v>61.07</v>
      </c>
      <c r="H7" s="131"/>
      <c r="I7" s="131"/>
    </row>
    <row r="8" spans="1:12" ht="22.5" customHeight="1" x14ac:dyDescent="0.2">
      <c r="A8" s="3">
        <f t="shared" si="0"/>
        <v>4</v>
      </c>
      <c r="B8" s="134" t="s">
        <v>221</v>
      </c>
      <c r="C8" s="48">
        <v>33.26</v>
      </c>
      <c r="D8" s="135">
        <v>4</v>
      </c>
      <c r="E8" s="135">
        <v>6</v>
      </c>
      <c r="F8" s="132">
        <f t="shared" si="1"/>
        <v>266.08</v>
      </c>
      <c r="G8" s="132">
        <f t="shared" si="2"/>
        <v>22.17</v>
      </c>
      <c r="H8" s="131"/>
      <c r="I8" s="131"/>
    </row>
    <row r="9" spans="1:12" ht="22.5" customHeight="1" x14ac:dyDescent="0.2">
      <c r="A9" s="3">
        <f t="shared" si="0"/>
        <v>5</v>
      </c>
      <c r="B9" s="134" t="s">
        <v>222</v>
      </c>
      <c r="C9" s="48">
        <v>356.27</v>
      </c>
      <c r="D9" s="135">
        <v>2</v>
      </c>
      <c r="E9" s="135">
        <v>6</v>
      </c>
      <c r="F9" s="132">
        <f t="shared" si="1"/>
        <v>1425.08</v>
      </c>
      <c r="G9" s="132">
        <f t="shared" si="2"/>
        <v>118.75</v>
      </c>
      <c r="H9" s="131"/>
      <c r="I9" s="131"/>
    </row>
    <row r="10" spans="1:12" ht="22.5" customHeight="1" x14ac:dyDescent="0.2">
      <c r="A10" s="3">
        <f t="shared" si="0"/>
        <v>6</v>
      </c>
      <c r="B10" s="134" t="s">
        <v>223</v>
      </c>
      <c r="C10" s="48">
        <v>142.93</v>
      </c>
      <c r="D10" s="135">
        <v>2</v>
      </c>
      <c r="E10" s="135">
        <v>6</v>
      </c>
      <c r="F10" s="132">
        <f t="shared" si="1"/>
        <v>571.72</v>
      </c>
      <c r="G10" s="132">
        <f t="shared" si="2"/>
        <v>47.64</v>
      </c>
      <c r="H10" s="131"/>
      <c r="I10" s="131"/>
    </row>
    <row r="11" spans="1:12" ht="22.5" customHeight="1" x14ac:dyDescent="0.2">
      <c r="B11" s="44"/>
      <c r="C11" s="47"/>
      <c r="D11" s="47"/>
      <c r="E11" s="266" t="s">
        <v>112</v>
      </c>
      <c r="F11" s="267"/>
      <c r="G11" s="42">
        <f>SUM(G5:G10)</f>
        <v>680.03</v>
      </c>
    </row>
    <row r="15" spans="1:12" ht="12" thickBot="1" x14ac:dyDescent="0.25"/>
    <row r="16" spans="1:12" ht="18.75" customHeight="1" thickBot="1" x14ac:dyDescent="0.25">
      <c r="A16" s="263" t="s">
        <v>113</v>
      </c>
      <c r="B16" s="264"/>
      <c r="C16" s="264"/>
      <c r="D16" s="264"/>
      <c r="E16" s="264"/>
      <c r="F16" s="264"/>
      <c r="G16" s="264"/>
      <c r="H16" s="265"/>
      <c r="I16" s="133"/>
      <c r="J16" s="133"/>
    </row>
    <row r="19" spans="1:10" s="44" customFormat="1" ht="48" customHeight="1" x14ac:dyDescent="0.2">
      <c r="A19" s="266" t="s">
        <v>82</v>
      </c>
      <c r="B19" s="267"/>
      <c r="C19" s="41" t="s">
        <v>114</v>
      </c>
      <c r="D19" s="41" t="s">
        <v>194</v>
      </c>
      <c r="E19" s="41" t="s">
        <v>121</v>
      </c>
      <c r="F19" s="41" t="s">
        <v>120</v>
      </c>
      <c r="G19" s="41" t="s">
        <v>116</v>
      </c>
      <c r="H19" s="41" t="s">
        <v>115</v>
      </c>
      <c r="I19" s="129"/>
      <c r="J19" s="129"/>
    </row>
    <row r="20" spans="1:10" ht="22.5" customHeight="1" x14ac:dyDescent="0.2">
      <c r="A20" s="3">
        <v>1</v>
      </c>
      <c r="B20" s="134" t="s">
        <v>224</v>
      </c>
      <c r="C20" s="48">
        <v>34.97</v>
      </c>
      <c r="D20" s="49">
        <v>30</v>
      </c>
      <c r="E20" s="46">
        <v>9</v>
      </c>
      <c r="F20" s="46">
        <v>9</v>
      </c>
      <c r="G20" s="45">
        <f>IF(B20="","",TRUNC(E20/F20,2))</f>
        <v>1</v>
      </c>
      <c r="H20" s="45">
        <f>IF(B20="","",TRUNC(C20/D20*G20,2))</f>
        <v>1.1599999999999999</v>
      </c>
      <c r="I20" s="131"/>
      <c r="J20" s="131"/>
    </row>
    <row r="21" spans="1:10" ht="22.5" customHeight="1" x14ac:dyDescent="0.2">
      <c r="A21" s="3">
        <f>A20+1</f>
        <v>2</v>
      </c>
      <c r="B21" s="134" t="s">
        <v>225</v>
      </c>
      <c r="C21" s="48">
        <v>48.66</v>
      </c>
      <c r="D21" s="49">
        <v>30</v>
      </c>
      <c r="E21" s="46">
        <v>9</v>
      </c>
      <c r="F21" s="46">
        <v>9</v>
      </c>
      <c r="G21" s="45">
        <f>IF(B21="","",TRUNC(E21/F21,2))</f>
        <v>1</v>
      </c>
      <c r="H21" s="45">
        <f>IF(B21="","",TRUNC(C21/D21*G21,2))</f>
        <v>1.62</v>
      </c>
      <c r="I21" s="131"/>
      <c r="J21" s="131"/>
    </row>
    <row r="22" spans="1:10" ht="22.5" customHeight="1" x14ac:dyDescent="0.2">
      <c r="A22" s="3">
        <f t="shared" ref="A22:A25" si="3">A21+1</f>
        <v>3</v>
      </c>
      <c r="B22" s="134" t="s">
        <v>226</v>
      </c>
      <c r="C22" s="48">
        <v>43.82</v>
      </c>
      <c r="D22" s="49">
        <v>30</v>
      </c>
      <c r="E22" s="46">
        <v>9</v>
      </c>
      <c r="F22" s="46">
        <v>9</v>
      </c>
      <c r="G22" s="45">
        <f>IF(B22="","",TRUNC(E22/F22,2))</f>
        <v>1</v>
      </c>
      <c r="H22" s="45">
        <f>IF(B22="","",TRUNC(C22/D22*G22,2))</f>
        <v>1.46</v>
      </c>
      <c r="I22" s="131"/>
      <c r="J22" s="131"/>
    </row>
    <row r="23" spans="1:10" ht="22.5" customHeight="1" x14ac:dyDescent="0.2">
      <c r="A23" s="3">
        <f>A22+1</f>
        <v>4</v>
      </c>
      <c r="B23" s="134" t="s">
        <v>227</v>
      </c>
      <c r="C23" s="48">
        <v>665.08</v>
      </c>
      <c r="D23" s="49">
        <v>30</v>
      </c>
      <c r="E23" s="46">
        <v>6</v>
      </c>
      <c r="F23" s="46">
        <v>6</v>
      </c>
      <c r="G23" s="45">
        <f>IF(B23="","",TRUNC(E23/F23,2))</f>
        <v>1</v>
      </c>
      <c r="H23" s="45">
        <f>IF(B23="","",TRUNC(C23/D23*G23,2))</f>
        <v>22.16</v>
      </c>
      <c r="I23" s="131"/>
      <c r="J23" s="131"/>
    </row>
    <row r="24" spans="1:10" ht="22.5" customHeight="1" x14ac:dyDescent="0.2">
      <c r="A24" s="3">
        <f t="shared" si="3"/>
        <v>5</v>
      </c>
      <c r="B24" s="134" t="s">
        <v>228</v>
      </c>
      <c r="C24" s="48">
        <v>15.46</v>
      </c>
      <c r="D24" s="49">
        <v>30</v>
      </c>
      <c r="E24" s="46">
        <v>1</v>
      </c>
      <c r="F24" s="46">
        <v>9</v>
      </c>
      <c r="G24" s="45">
        <f>IF(B24="","",TRUNC(E24/F24,2))</f>
        <v>0.11</v>
      </c>
      <c r="H24" s="45">
        <f>IF(B24="","",TRUNC(C24/D24*G24,2))</f>
        <v>0.05</v>
      </c>
      <c r="I24" s="131"/>
      <c r="J24" s="131"/>
    </row>
    <row r="25" spans="1:10" ht="22.5" customHeight="1" x14ac:dyDescent="0.2">
      <c r="A25" s="3">
        <f t="shared" si="3"/>
        <v>6</v>
      </c>
      <c r="B25" s="134" t="s">
        <v>93</v>
      </c>
      <c r="C25" s="48">
        <v>781.66</v>
      </c>
      <c r="D25" s="49">
        <v>30</v>
      </c>
      <c r="E25" s="46">
        <v>1</v>
      </c>
      <c r="F25" s="46">
        <v>9</v>
      </c>
      <c r="G25" s="45">
        <f t="shared" ref="G25" si="4">IF(B25="","",TRUNC(E25/F25,2))</f>
        <v>0.11</v>
      </c>
      <c r="H25" s="45">
        <f t="shared" ref="H25" si="5">IF(B25="","",TRUNC(C25/D25*G25,2))</f>
        <v>2.86</v>
      </c>
      <c r="I25" s="131"/>
      <c r="J25" s="131"/>
    </row>
    <row r="26" spans="1:10" ht="22.5" customHeight="1" x14ac:dyDescent="0.2">
      <c r="B26" s="44"/>
      <c r="C26" s="47"/>
      <c r="D26" s="47"/>
      <c r="E26" s="47"/>
      <c r="F26" s="266" t="s">
        <v>112</v>
      </c>
      <c r="G26" s="267"/>
      <c r="H26" s="42">
        <f>SUM(H20:H25)</f>
        <v>29.31</v>
      </c>
    </row>
  </sheetData>
  <mergeCells count="6">
    <mergeCell ref="A2:G2"/>
    <mergeCell ref="A19:B19"/>
    <mergeCell ref="F26:G26"/>
    <mergeCell ref="A4:B4"/>
    <mergeCell ref="E11:F11"/>
    <mergeCell ref="A16:H16"/>
  </mergeCells>
  <pageMargins left="0.511811024" right="0.511811024" top="0.78740157499999996" bottom="0.78740157499999996" header="0.31496062000000002" footer="0.31496062000000002"/>
  <pageSetup paperSize="9" scale="57"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6</vt:i4>
      </vt:variant>
      <vt:variant>
        <vt:lpstr>Intervalos Nomeados</vt:lpstr>
      </vt:variant>
      <vt:variant>
        <vt:i4>1</vt:i4>
      </vt:variant>
    </vt:vector>
  </HeadingPairs>
  <TitlesOfParts>
    <vt:vector size="7" baseType="lpstr">
      <vt:lpstr>Quadro resumo</vt:lpstr>
      <vt:lpstr>Coordenador - Seg-Sex</vt:lpstr>
      <vt:lpstr>Diurno - Seg-Sex</vt:lpstr>
      <vt:lpstr>Noturno - Seg-Dom</vt:lpstr>
      <vt:lpstr>Diurno - Seg-Dom</vt:lpstr>
      <vt:lpstr>Insumos</vt:lpstr>
      <vt:lpstr>'Quadro resumo'!Area_de_impressao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Patrick</dc:creator>
  <cp:lastModifiedBy>Michelly de Souza Ferraz</cp:lastModifiedBy>
  <cp:lastPrinted>2025-06-17T19:17:26Z</cp:lastPrinted>
  <dcterms:created xsi:type="dcterms:W3CDTF">2010-12-08T17:56:29Z</dcterms:created>
  <dcterms:modified xsi:type="dcterms:W3CDTF">2025-07-08T13:18:53Z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ies>
</file>