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25\Pregão\1 - Processamento\Recepcionista e secretária SP - RC 6515\Pesquisa de preços\"/>
    </mc:Choice>
  </mc:AlternateContent>
  <xr:revisionPtr revIDLastSave="0" documentId="13_ncr:1_{42053211-327F-453A-9D05-9D1F2077DC85}" xr6:coauthVersionLast="47" xr6:coauthVersionMax="47" xr10:uidLastSave="{00000000-0000-0000-0000-000000000000}"/>
  <bookViews>
    <workbookView xWindow="-120" yWindow="-120" windowWidth="29040" windowHeight="15720" tabRatio="681" activeTab="1" xr2:uid="{00000000-000D-0000-FFFF-FFFF00000000}"/>
  </bookViews>
  <sheets>
    <sheet name="Quadro resumo" sheetId="7" r:id="rId1"/>
    <sheet name="Técnico de Secretariado" sheetId="28" r:id="rId2"/>
    <sheet name="Recepcionista" sheetId="27" r:id="rId3"/>
    <sheet name="Insumos" sheetId="23" r:id="rId4"/>
  </sheets>
  <definedNames>
    <definedName name="_xlnm.Print_Area" localSheetId="2">Recepcionista!$A$1:$I$151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27" l="1"/>
  <c r="H61" i="27"/>
  <c r="H61" i="28"/>
  <c r="H60" i="28"/>
  <c r="H60" i="27"/>
  <c r="G146" i="27"/>
  <c r="C8" i="23"/>
  <c r="F8" i="23" s="1"/>
  <c r="G8" i="23" s="1"/>
  <c r="C10" i="23"/>
  <c r="F10" i="23" s="1"/>
  <c r="G10" i="23" s="1"/>
  <c r="C9" i="23"/>
  <c r="F9" i="23" s="1"/>
  <c r="G9" i="23" s="1"/>
  <c r="C7" i="23"/>
  <c r="F7" i="23" s="1"/>
  <c r="G7" i="23" s="1"/>
  <c r="C6" i="23"/>
  <c r="F6" i="23" s="1"/>
  <c r="G6" i="23" s="1"/>
  <c r="C5" i="23"/>
  <c r="F5" i="23" s="1"/>
  <c r="G5" i="23" s="1"/>
  <c r="G144" i="28"/>
  <c r="G143" i="28"/>
  <c r="G142" i="28"/>
  <c r="G117" i="28"/>
  <c r="G49" i="28"/>
  <c r="G56" i="28" s="1"/>
  <c r="G42" i="28"/>
  <c r="G41" i="28"/>
  <c r="G43" i="28" s="1"/>
  <c r="H34" i="28"/>
  <c r="H30" i="28" s="1"/>
  <c r="H27" i="28"/>
  <c r="H26" i="28"/>
  <c r="H29" i="28" s="1"/>
  <c r="H63" i="28" l="1"/>
  <c r="H69" i="28" s="1"/>
  <c r="H110" i="28"/>
  <c r="H131" i="28" s="1"/>
  <c r="H28" i="28"/>
  <c r="H32" i="28" s="1"/>
  <c r="H127" i="28" l="1"/>
  <c r="H42" i="28"/>
  <c r="H41" i="28"/>
  <c r="H43" i="28" l="1"/>
  <c r="H54" i="28" s="1"/>
  <c r="H48" i="28" l="1"/>
  <c r="H49" i="28"/>
  <c r="H47" i="28"/>
  <c r="H67" i="28"/>
  <c r="H51" i="28"/>
  <c r="H55" i="28"/>
  <c r="H77" i="28" s="1"/>
  <c r="H52" i="28"/>
  <c r="H53" i="28"/>
  <c r="H141" i="28"/>
  <c r="H56" i="28" l="1"/>
  <c r="H80" i="28" s="1"/>
  <c r="H79" i="28"/>
  <c r="H78" i="28" s="1"/>
  <c r="H76" i="28"/>
  <c r="H75" i="28" s="1"/>
  <c r="H68" i="28" l="1"/>
  <c r="H70" i="28" s="1"/>
  <c r="H128" i="28" s="1"/>
  <c r="H81" i="28"/>
  <c r="H129" i="28"/>
  <c r="H94" i="28" l="1"/>
  <c r="H95" i="28" s="1"/>
  <c r="H100" i="28" s="1"/>
  <c r="H89" i="28"/>
  <c r="H88" i="28"/>
  <c r="H87" i="28"/>
  <c r="H90" i="28" l="1"/>
  <c r="H99" i="28" s="1"/>
  <c r="H101" i="28" s="1"/>
  <c r="H130" i="28" s="1"/>
  <c r="H132" i="28" s="1"/>
  <c r="H140" i="28" l="1"/>
  <c r="H142" i="28" s="1"/>
  <c r="H115" i="28"/>
  <c r="H116" i="28" s="1"/>
  <c r="H117" i="28" s="1"/>
  <c r="H119" i="28" l="1"/>
  <c r="H120" i="28"/>
  <c r="H118" i="28"/>
  <c r="H143" i="28"/>
  <c r="H144" i="28" s="1"/>
  <c r="H145" i="28" s="1"/>
  <c r="H121" i="28" l="1"/>
  <c r="H133" i="28" s="1"/>
  <c r="H134" i="28" s="1"/>
  <c r="H139" i="28" l="1"/>
  <c r="H146" i="28" s="1"/>
  <c r="E9" i="7"/>
  <c r="G9" i="7" s="1"/>
  <c r="H34" i="27"/>
  <c r="H30" i="27" l="1"/>
  <c r="G147" i="27" l="1"/>
  <c r="G145" i="27"/>
  <c r="G120" i="27"/>
  <c r="G49" i="27"/>
  <c r="G56" i="27" s="1"/>
  <c r="G42" i="27"/>
  <c r="G41" i="27"/>
  <c r="H27" i="27"/>
  <c r="H26" i="27"/>
  <c r="H29" i="27" s="1"/>
  <c r="H66" i="27" l="1"/>
  <c r="H72" i="27" s="1"/>
  <c r="H28" i="27"/>
  <c r="G43" i="27"/>
  <c r="H32" i="27" l="1"/>
  <c r="H42" i="27" l="1"/>
  <c r="H130" i="27"/>
  <c r="H41" i="27"/>
  <c r="H43" i="27" l="1"/>
  <c r="H144" i="27" s="1"/>
  <c r="H47" i="27" l="1"/>
  <c r="H70" i="27"/>
  <c r="H54" i="27"/>
  <c r="H55" i="27"/>
  <c r="H79" i="27" s="1"/>
  <c r="H49" i="27"/>
  <c r="H48" i="27"/>
  <c r="H52" i="27"/>
  <c r="H51" i="27"/>
  <c r="H53" i="27"/>
  <c r="H56" i="27" l="1"/>
  <c r="H83" i="27" s="1"/>
  <c r="H80" i="27"/>
  <c r="H78" i="27" s="1"/>
  <c r="H82" i="27"/>
  <c r="H81" i="27" s="1"/>
  <c r="H71" i="27"/>
  <c r="H73" i="27" s="1"/>
  <c r="H84" i="27" l="1"/>
  <c r="H97" i="27" s="1"/>
  <c r="H98" i="27" s="1"/>
  <c r="H103" i="27" s="1"/>
  <c r="H131" i="27"/>
  <c r="H132" i="27"/>
  <c r="H92" i="27" l="1"/>
  <c r="H91" i="27" s="1"/>
  <c r="H90" i="27" l="1"/>
  <c r="H93" i="27" s="1"/>
  <c r="H102" i="27" s="1"/>
  <c r="H143" i="27" s="1"/>
  <c r="H145" i="27" s="1"/>
  <c r="H104" i="27" l="1"/>
  <c r="H133" i="27" s="1"/>
  <c r="H146" i="27"/>
  <c r="H147" i="27" s="1"/>
  <c r="H148" i="27" l="1"/>
  <c r="A6" i="23" l="1"/>
  <c r="A7" i="23" s="1"/>
  <c r="A8" i="23" s="1"/>
  <c r="A10" i="23" s="1"/>
  <c r="G11" i="23" l="1"/>
  <c r="H109" i="27" s="1"/>
  <c r="H113" i="27" l="1"/>
  <c r="H134" i="27" s="1"/>
  <c r="H135" i="27" s="1"/>
  <c r="H118" i="27" l="1"/>
  <c r="H119" i="27" s="1"/>
  <c r="H120" i="27" l="1"/>
  <c r="H123" i="27" l="1"/>
  <c r="H121" i="27"/>
  <c r="H122" i="27"/>
  <c r="H124" i="27" l="1"/>
  <c r="H136" i="27" l="1"/>
  <c r="H137" i="27" l="1"/>
  <c r="C11" i="7"/>
  <c r="E10" i="7" l="1"/>
  <c r="H142" i="27"/>
  <c r="G10" i="7" l="1"/>
  <c r="G11" i="7" s="1"/>
  <c r="G12" i="7" s="1"/>
  <c r="F11" i="7"/>
  <c r="H149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FE12EB54-746D-425C-A878-C2E09284229B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34A2D29C-24B6-4125-B212-C51D1D5C324D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A07B3649-CB78-492F-8734-674657149671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0D8F4465-0B7B-4115-822F-095257363EE3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 xr:uid="{AF20EBCD-203B-4A26-BFC4-08C3EBA2E6AD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 xr:uid="{64228CFC-8311-4663-ACBD-9115460A954F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6D56F50B-709E-4647-8CE0-2BD98ECB2E16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4A26907A-762B-4E16-B0AF-C16FF2620551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45B148B7-0C2E-4FD9-ACC7-23E4A58C01DE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9EB58A16-F9A5-4E17-920E-4D0721DCC4ED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E5F6901B-2904-4B99-B2D3-B21685435A7A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D523E9D7-C66B-488F-8432-E5A473AD72CB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553F3C90-91D0-4D45-9697-8D05761EBFA8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5CBE4717-8727-4E8F-B926-EE383051A315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57933573-3B55-45B9-8156-DDCB7626FA07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5831D06A-36FA-4FF1-93C2-E4A278730BD6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F7CBBF8F-140D-43C5-80AE-9E3FBCB6C0FF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 xr:uid="{BBC1ED40-DC1C-4DA7-B82E-7844151EF4B7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6" authorId="1" shapeId="0" xr:uid="{DB5596C7-FA49-437D-B277-5F763F121ED6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7" authorId="1" shapeId="0" xr:uid="{21D10940-5C7C-46F4-BBF4-68B1AB3DF6C5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8" authorId="1" shapeId="0" xr:uid="{62911295-76A4-4B37-A19F-80620C03B138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79" authorId="1" shapeId="0" xr:uid="{03FB1CFD-9473-4D86-935D-18CE17688DF9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0" authorId="1" shapeId="0" xr:uid="{4D8899FF-15C9-4401-8A8F-2211A196FCA9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0" authorId="1" shapeId="0" xr:uid="{54659C77-E06C-46FD-A605-6F20A60DADAC}">
      <text>
        <r>
          <rPr>
            <sz val="9"/>
            <color indexed="81"/>
            <rFont val="Segoe UI"/>
            <family val="2"/>
          </rPr>
          <t>Valor fixo</t>
        </r>
      </text>
    </comment>
    <comment ref="G80" authorId="1" shapeId="0" xr:uid="{63F3DFC1-EFD9-4F0F-8290-85385BD3FB6E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4" authorId="0" shapeId="0" xr:uid="{347E8F25-9DEA-46E1-AE1F-87F41159DCCF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6" authorId="0" shapeId="0" xr:uid="{23B8E01A-9633-41BD-B394-56082E7FB62F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7" authorId="1" shapeId="0" xr:uid="{FEFC0FB0-78DB-421A-B114-CC368B230702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8" authorId="0" shapeId="0" xr:uid="{A8A4FF6D-AE84-4565-9683-536502E2FBBE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89" authorId="1" shapeId="0" xr:uid="{63AB5702-9812-41F6-A65C-E8D613261289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3" authorId="0" shapeId="0" xr:uid="{D16999B9-8B37-46DC-B151-3213DF4022D0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4" authorId="0" shapeId="0" xr:uid="{0B449E52-D0C2-4D8E-9767-4E5D6B862A2A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00000000-0006-0000-0100-000002000000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00000000-0006-0000-0100-000003000000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00000000-0006-0000-0100-000004000000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 xr:uid="{00000000-0006-0000-0100-000005000000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 xr:uid="{00000000-0006-0000-0100-000006000000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00000000-0006-0000-0100-000007000000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00000000-0006-0000-0100-000008000000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00000000-0006-0000-0100-000009000000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00000000-0006-0000-0100-00000A000000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00000000-0006-0000-0100-00000B000000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00000000-0006-0000-0100-00000C000000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00000000-0006-0000-0100-00000D000000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00000000-0006-0000-0100-00000E000000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00000000-0006-0000-0100-00000F000000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00000000-0006-0000-0100-000010000000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00000000-0006-0000-0100-000011000000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 xr:uid="{00000000-0006-0000-0100-000012000000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9" authorId="1" shapeId="0" xr:uid="{00000000-0006-0000-0100-000013000000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80" authorId="1" shapeId="0" xr:uid="{00000000-0006-0000-0100-000014000000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81" authorId="1" shapeId="0" xr:uid="{00000000-0006-0000-0100-000015000000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2" authorId="1" shapeId="0" xr:uid="{00000000-0006-0000-0100-000016000000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3" authorId="1" shapeId="0" xr:uid="{00000000-0006-0000-0100-000017000000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3" authorId="1" shapeId="0" xr:uid="{00000000-0006-0000-0100-000018000000}">
      <text>
        <r>
          <rPr>
            <sz val="9"/>
            <color indexed="81"/>
            <rFont val="Segoe UI"/>
            <family val="2"/>
          </rPr>
          <t>Valor fixo</t>
        </r>
      </text>
    </comment>
    <comment ref="G83" authorId="1" shapeId="0" xr:uid="{00000000-0006-0000-0100-000019000000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7" authorId="0" shapeId="0" xr:uid="{00000000-0006-0000-0100-00001A000000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9" authorId="0" shapeId="0" xr:uid="{00000000-0006-0000-0100-00001B000000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90" authorId="1" shapeId="0" xr:uid="{00000000-0006-0000-0100-00001C000000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1" authorId="0" shapeId="0" xr:uid="{00000000-0006-0000-0100-00001D000000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2" authorId="1" shapeId="0" xr:uid="{00000000-0006-0000-0100-00001E000000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6" authorId="0" shapeId="0" xr:uid="{00000000-0006-0000-0100-00001F000000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7" authorId="0" shapeId="0" xr:uid="{00000000-0006-0000-0100-000020000000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sharedStrings.xml><?xml version="1.0" encoding="utf-8"?>
<sst xmlns="http://schemas.openxmlformats.org/spreadsheetml/2006/main" count="595" uniqueCount="222">
  <si>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</si>
  <si>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</si>
  <si>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</si>
  <si>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</si>
  <si>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</si>
  <si>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</si>
  <si>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</si>
  <si>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</si>
  <si>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</si>
  <si>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</si>
  <si>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</si>
  <si>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</si>
  <si>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</si>
  <si>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</si>
  <si>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4.1</t>
  </si>
  <si>
    <t>4.2</t>
  </si>
  <si>
    <t>Custos Indiretos</t>
  </si>
  <si>
    <t>Salário Base</t>
  </si>
  <si>
    <t>PIS</t>
  </si>
  <si>
    <t>COFINS</t>
  </si>
  <si>
    <t>ISS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</si>
  <si>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</si>
  <si>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</si>
  <si>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</si>
  <si>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</si>
  <si>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</si>
  <si>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</si>
  <si>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</si>
  <si>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</si>
  <si>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</si>
  <si>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</si>
  <si>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</si>
  <si>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</si>
  <si>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</si>
  <si>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</si>
  <si>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</si>
  <si>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</si>
  <si>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</si>
  <si>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</si>
  <si>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</si>
  <si>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</si>
  <si>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</si>
  <si>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>Ausências Legais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</si>
  <si>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</si>
  <si>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</si>
  <si>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</si>
  <si>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</si>
  <si>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</si>
  <si>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</si>
  <si>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Valor (R$)</t>
  </si>
  <si>
    <t>PLANILHA DE CUSTOS E FORMAÇÃO DE PREÇOS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</si>
  <si>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</si>
  <si>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</si>
  <si>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</si>
  <si>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>dias</t>
  </si>
  <si>
    <t xml:space="preserve">Classificação Brasileira de Ocupações (CBO) </t>
  </si>
  <si>
    <t xml:space="preserve">Salário Normativo da Categoria Profissional </t>
  </si>
  <si>
    <t>Data-Base da Categoria (dia/mês/ano)</t>
  </si>
  <si>
    <t xml:space="preserve">Ano do Acordo, Convenção ou Dissídio Coletivo: </t>
  </si>
  <si>
    <t>Indicação dos sindicatos, acordos coletivos ou convenções coletivas</t>
  </si>
  <si>
    <t>Composição da Remuneração</t>
  </si>
  <si>
    <t>Total</t>
  </si>
  <si>
    <t>Provisão para Rescisão</t>
  </si>
  <si>
    <t>Insumos Diversos</t>
  </si>
  <si>
    <t>Custos Indiretos, Tributos e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</si>
  <si>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</si>
  <si>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</si>
  <si>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</si>
  <si>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</si>
  <si>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</si>
  <si>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</si>
  <si>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</si>
  <si>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Módulo 3 - PROVISÃO PARA RESCISÃO</t>
  </si>
  <si>
    <t>Módulo 4 - CUSTO DE REPOSIÇÃO DO PROFISSIONAL AUSENTE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</si>
  <si>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</si>
  <si>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</si>
  <si>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</si>
  <si>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</si>
  <si>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</si>
  <si>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</si>
  <si>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</si>
  <si>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</si>
  <si>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</si>
  <si>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</si>
  <si>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Item</t>
  </si>
  <si>
    <t>Custo Unitário</t>
  </si>
  <si>
    <t>Cargo</t>
  </si>
  <si>
    <t>Meses</t>
  </si>
  <si>
    <t>Valor Mensal</t>
  </si>
  <si>
    <t>Valor Total</t>
  </si>
  <si>
    <t>QUADRO RESUMO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</si>
  <si>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</si>
  <si>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</si>
  <si>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</si>
  <si>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</si>
  <si>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</si>
  <si>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Valor Unitário</t>
  </si>
  <si>
    <t>API com Probabilidade</t>
  </si>
  <si>
    <t>Aviso Prévio Indenizado - API</t>
  </si>
  <si>
    <t>Multa do FGTS do API</t>
  </si>
  <si>
    <t>APT com Probabilidade</t>
  </si>
  <si>
    <t>Multa do FGTS do APT</t>
  </si>
  <si>
    <t xml:space="preserve">FAP </t>
  </si>
  <si>
    <t>SAT - GIIL/RAT</t>
  </si>
  <si>
    <t xml:space="preserve">RAT </t>
  </si>
  <si>
    <t>Dias</t>
  </si>
  <si>
    <t>Valor Total por Empregado</t>
  </si>
  <si>
    <t>Tributos</t>
  </si>
  <si>
    <t>Total Custo Variável (Pagamento pelo Fato Gerador)</t>
  </si>
  <si>
    <t>Adicional de Hora Extra</t>
  </si>
  <si>
    <t>Quant. h/mês</t>
  </si>
  <si>
    <t>Férias</t>
  </si>
  <si>
    <r>
      <t>13º (Décimo-terceiro) salário</t>
    </r>
    <r>
      <rPr>
        <sz val="9"/>
        <color indexed="10"/>
        <rFont val="Tahoma"/>
        <family val="2"/>
      </rPr>
      <t xml:space="preserve"> </t>
    </r>
  </si>
  <si>
    <t>Custo diário do substituto</t>
  </si>
  <si>
    <t>Camisa</t>
  </si>
  <si>
    <t>CUSTO TOTAL MENSAL</t>
  </si>
  <si>
    <t>Custo anual por posto</t>
  </si>
  <si>
    <t>Custo mensal por posto</t>
  </si>
  <si>
    <t>BASE DE CÁLCULO DOS TRIBUTOS</t>
  </si>
  <si>
    <t>Mão de Obra vinculada à execução contratual (valor por posto)</t>
  </si>
  <si>
    <t>Memória de cálculo da hora extra</t>
  </si>
  <si>
    <t>VALOR TOTAL</t>
  </si>
  <si>
    <t>Valor da hora extra</t>
  </si>
  <si>
    <r>
      <t>Quantidade (</t>
    </r>
    <r>
      <rPr>
        <b/>
        <sz val="9"/>
        <color rgb="FFFF0000"/>
        <rFont val="Tahoma"/>
        <family val="2"/>
      </rPr>
      <t>Posto</t>
    </r>
    <r>
      <rPr>
        <b/>
        <sz val="9"/>
        <color theme="1"/>
        <rFont val="Tahoma"/>
        <family val="2"/>
      </rPr>
      <t xml:space="preserve">) </t>
    </r>
  </si>
  <si>
    <t>Anexo II</t>
  </si>
  <si>
    <r>
      <t xml:space="preserve">Ref.: Pregão eletrônico nº </t>
    </r>
    <r>
      <rPr>
        <b/>
        <sz val="9"/>
        <color rgb="FFFF0000"/>
        <rFont val="Tahoma"/>
        <family val="2"/>
      </rPr>
      <t>XX</t>
    </r>
    <r>
      <rPr>
        <b/>
        <sz val="9"/>
        <rFont val="Tahoma"/>
        <family val="2"/>
      </rPr>
      <t>/202</t>
    </r>
    <r>
      <rPr>
        <b/>
        <sz val="9"/>
        <color rgb="FFFF0000"/>
        <rFont val="Tahoma"/>
        <family val="2"/>
      </rPr>
      <t>X</t>
    </r>
  </si>
  <si>
    <t>Os valores destinados ao pagamento de férias, décimo terceiro salário, ausências legais e verbas rescisórias dos empregados da contratada que participarem da execução dos serviços contratados serão efetuados pela contratante à contratada somente na ocorrência do fato gerador</t>
  </si>
  <si>
    <t>Pagamento Mensal Sem Fato Gerador</t>
  </si>
  <si>
    <t>Categoria Profissional (nome do cargo)</t>
  </si>
  <si>
    <t>1.A x 30%</t>
  </si>
  <si>
    <t>Tot.1</t>
  </si>
  <si>
    <t>Tot.1 x 8,33%</t>
  </si>
  <si>
    <t>Tot.2.1</t>
  </si>
  <si>
    <t>Tot.1 x 11,11%</t>
  </si>
  <si>
    <t>(Tot.1 + Tot.2.1) x 20%</t>
  </si>
  <si>
    <t>(Tot.1 + Tot.2.1) x 2,5%</t>
  </si>
  <si>
    <t>(Tot.1 + Tot.2.1) x 1,5%</t>
  </si>
  <si>
    <t>(Tot.1 + Tot.2.1) x 1%</t>
  </si>
  <si>
    <t>(Tot.1 + Tot.2.1) x 0,6%</t>
  </si>
  <si>
    <t>(Tot.1 + Tot.2.1) x 0,2%</t>
  </si>
  <si>
    <t>(Tot.1 + Tot.2.1) x 8%</t>
  </si>
  <si>
    <t>(Tot.1 + Tot.2.1) x (RAT x FAP)</t>
  </si>
  <si>
    <t>Tot.2.2</t>
  </si>
  <si>
    <t>Tot.2.3</t>
  </si>
  <si>
    <t>Tot.2</t>
  </si>
  <si>
    <t>(VR/VA x 22 d.u.) - (Custo do empregado)</t>
  </si>
  <si>
    <t>(Tot.1 + Tot.2 + Tot.3) ÷ 30 dias</t>
  </si>
  <si>
    <t>Tot.3</t>
  </si>
  <si>
    <t>Tot.4.1</t>
  </si>
  <si>
    <t>Tot.4.2</t>
  </si>
  <si>
    <t>Tot.4</t>
  </si>
  <si>
    <t>Tot.5</t>
  </si>
  <si>
    <t>Tot.6</t>
  </si>
  <si>
    <t>(4.1.C x 30 dias) ÷ 12 meses</t>
  </si>
  <si>
    <t>6.A + 6.B + 6.C.1 + 6.C.2 + 6.C.3</t>
  </si>
  <si>
    <t>Tot.7</t>
  </si>
  <si>
    <t>Tot.8</t>
  </si>
  <si>
    <t>Provisão para férias, 13º salário , ausências legais, Rescisão</t>
  </si>
  <si>
    <t>Tot.2.1 + Tot.3 + Tot.4.1</t>
  </si>
  <si>
    <t>Outros (ausências legais, paternidade,  acidente de trabalho, maternidade, outros)</t>
  </si>
  <si>
    <r>
      <t xml:space="preserve">(3.B + 3.C)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</si>
  <si>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3.E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</si>
  <si>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(4.1.C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dias) ÷ 12 meses</t>
    </r>
  </si>
  <si>
    <r>
      <t xml:space="preserve">7.F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</si>
  <si>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</si>
  <si>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 + 6.B) ÷ </t>
    </r>
    <r>
      <rPr>
        <sz val="8"/>
        <color rgb="FFFF0000"/>
        <rFont val="Tahoma"/>
        <family val="2"/>
      </rPr>
      <t>XX</t>
    </r>
  </si>
  <si>
    <r>
      <t xml:space="preserve">6.C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</si>
  <si>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(8.B + 8.C)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</si>
  <si>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r>
      <t xml:space="preserve">(8.B + 8.C + 8.D)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</si>
  <si>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7.F + 7.G</t>
  </si>
  <si>
    <t>7.A + 7.B + 7.C + 7.D + 7.E</t>
  </si>
  <si>
    <r>
      <t xml:space="preserve">1.A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(10%, 20% ou 40%)</t>
    </r>
  </si>
  <si>
    <t>2.2.H x 40%</t>
  </si>
  <si>
    <t>Encargos Previdenciários, FGTS e outras contribuições</t>
  </si>
  <si>
    <t>8.A - 8.G</t>
  </si>
  <si>
    <r>
      <t xml:space="preserve">(8.B + 8.C + 8.D + 8.E)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</si>
  <si>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8.B + 8.C + 8.D + 8.E + 8.F</t>
  </si>
  <si>
    <t>Aviso Prévio - Lei nº 12.506/2011, Art. 1º</t>
  </si>
  <si>
    <t>[(1.A + 1.B) x 20%]/220h x 8h x nº dias trabalhados mês</t>
  </si>
  <si>
    <r>
      <t xml:space="preserve">{[(1.A + 1.B + 1.C) ÷ 220h]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h}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(50% ou 100%)</t>
    </r>
  </si>
  <si>
    <t>(Tot.1 + Tot.2.1 + 2.2.H + Tot.2.3 - 2.3.A) ÷ 12 meses</t>
  </si>
  <si>
    <t>Tot. 2.1 x Encargos % 2.2</t>
  </si>
  <si>
    <r>
      <t xml:space="preserve">(Tot.1 + Tot.2 + Tot.3) ÷ 220h x (1+50%)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</t>
    </r>
  </si>
  <si>
    <t>excluir, se for o caso</t>
  </si>
  <si>
    <r>
      <t>[Local]</t>
    </r>
    <r>
      <rPr>
        <sz val="9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rFont val="Tahoma"/>
        <family val="2"/>
      </rPr>
      <t>.</t>
    </r>
  </si>
  <si>
    <t>________________________________________</t>
  </si>
  <si>
    <t>[Assinatura do Representante legal]</t>
  </si>
  <si>
    <t xml:space="preserve"> Nome: ___________________</t>
  </si>
  <si>
    <t xml:space="preserve"> Cargo: ___________________</t>
  </si>
  <si>
    <t>CPF: ____________________</t>
  </si>
  <si>
    <t>RG: _____________________</t>
  </si>
  <si>
    <t>A contar do dia da sessão de recebimento da mesma (observar o subitem 5.5 do Edital).</t>
  </si>
  <si>
    <t>Preencher apenas as células em amarelo e substituir os caracteres em vermelho</t>
  </si>
  <si>
    <t>CUSTO POR EMPREGADO</t>
  </si>
  <si>
    <t>Módulo 7 - QUADRO-RESUMO DO CUSTO POR EMPREGADO</t>
  </si>
  <si>
    <t>PAGAMENTO MÍNIMO MENSAL SEM FATO GERADOR E/OU OUTRAS OCORRÊNCIAS</t>
  </si>
  <si>
    <t>Módulo 8- QUADRO-RESUMO DO PAGAMENTO MENSAL SEM FATO GERADOR E/OU OUTRAS OCORRÊNCIAS</t>
  </si>
  <si>
    <t>Contrato inicial</t>
  </si>
  <si>
    <t>{[(Tot.1+Tot.2.1+Tot.2.2)÷30 dias] x 3 dias} ÷ 12 meses</t>
  </si>
  <si>
    <t>Recepcionista</t>
  </si>
  <si>
    <t>Cesta básica</t>
  </si>
  <si>
    <t>Auxílio Saúde</t>
  </si>
  <si>
    <t>Benefício Social Sindical</t>
  </si>
  <si>
    <t xml:space="preserve">(VT diário x 22 d.u.) - (1.A x 6%) </t>
  </si>
  <si>
    <t>Dia do trabalhador</t>
  </si>
  <si>
    <t>Técnico de Secretariado</t>
  </si>
  <si>
    <t>(VT diário x 22 d.u.) - (1.A x 6%)</t>
  </si>
  <si>
    <t>Técnico em secretariado</t>
  </si>
  <si>
    <r>
      <t>OBJETO:</t>
    </r>
    <r>
      <rPr>
        <sz val="9"/>
        <rFont val="Tahoma"/>
        <family val="2"/>
      </rPr>
      <t xml:space="preserve"> Prestação de serviços continuados de recepcionistas e técnico de secretariado</t>
    </r>
  </si>
  <si>
    <t>Terno</t>
  </si>
  <si>
    <t>Cinto</t>
  </si>
  <si>
    <t>Pares de meia</t>
  </si>
  <si>
    <t>Sapato social</t>
  </si>
  <si>
    <t>UNIFORME RECEPCIONISTA</t>
  </si>
  <si>
    <t>Gravata/lenço</t>
  </si>
  <si>
    <t>Quantidade por conjunto</t>
  </si>
  <si>
    <t>Quantidade de conjunto por ano</t>
  </si>
  <si>
    <t>Cláusula 7ª</t>
  </si>
  <si>
    <t>Cláusula 8ª</t>
  </si>
  <si>
    <t>Cláusula 9ª</t>
  </si>
  <si>
    <t>Cláusula 10ª</t>
  </si>
  <si>
    <t>Cláusula 11ª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</si>
</sst>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_ ;\-#,##0.00\ "/>
    <numFmt numFmtId="166" formatCode="#,##0_ ;\-#,##0\ "/>
    <numFmt numFmtId="167" formatCode="&quot;R$&quot;\ #,##0.00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9"/>
      <color theme="3"/>
      <name val="Tahoma"/>
      <family val="2"/>
    </font>
    <font>
      <sz val="9"/>
      <color indexed="8"/>
      <name val="Tahoma"/>
      <family val="2"/>
    </font>
    <font>
      <b/>
      <sz val="8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Tahoma"/>
      <family val="2"/>
    </font>
    <font>
      <b/>
      <sz val="8"/>
      <color theme="1"/>
      <name val="Tahoma"/>
      <family val="2"/>
    </font>
    <font>
      <sz val="7.5"/>
      <name val="Tahoma"/>
      <family val="2"/>
    </font>
    <font>
      <sz val="9"/>
      <color theme="3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4">
    <xf numFmtId="0" fontId="0" fillId="0" borderId="0" xfId="0"/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8" fontId="14" fillId="0" borderId="1" xfId="0" applyNumberFormat="1" applyFont="1" applyBorder="1" applyAlignment="1">
      <alignment vertical="center" wrapText="1"/>
    </xf>
    <xf numFmtId="8" fontId="14" fillId="5" borderId="1" xfId="0" applyNumberFormat="1" applyFont="1" applyFill="1" applyBorder="1" applyAlignment="1">
      <alignment horizontal="right" vertical="center" wrapText="1"/>
    </xf>
    <xf numFmtId="8" fontId="15" fillId="0" borderId="1" xfId="0" applyNumberFormat="1" applyFont="1" applyBorder="1" applyAlignment="1">
      <alignment vertical="center"/>
    </xf>
    <xf numFmtId="8" fontId="6" fillId="0" borderId="1" xfId="0" applyNumberFormat="1" applyFont="1" applyBorder="1" applyAlignment="1">
      <alignment vertical="center"/>
    </xf>
    <xf numFmtId="0" fontId="20" fillId="6" borderId="17" xfId="0" applyFont="1" applyFill="1" applyBorder="1" applyAlignment="1">
      <alignment horizontal="center" vertical="center"/>
    </xf>
    <xf numFmtId="165" fontId="14" fillId="5" borderId="1" xfId="0" applyNumberFormat="1" applyFont="1" applyFill="1" applyBorder="1" applyAlignment="1">
      <alignment vertical="center"/>
    </xf>
    <xf numFmtId="10" fontId="14" fillId="0" borderId="1" xfId="2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43" fontId="7" fillId="0" borderId="1" xfId="3" applyFont="1" applyBorder="1" applyAlignment="1">
      <alignment vertical="center"/>
    </xf>
    <xf numFmtId="43" fontId="6" fillId="3" borderId="1" xfId="3" applyFont="1" applyFill="1" applyBorder="1" applyAlignment="1">
      <alignment vertical="center"/>
    </xf>
    <xf numFmtId="43" fontId="6" fillId="0" borderId="0" xfId="3" applyFont="1" applyFill="1" applyBorder="1" applyAlignment="1">
      <alignment vertical="center"/>
    </xf>
    <xf numFmtId="10" fontId="7" fillId="0" borderId="1" xfId="0" applyNumberFormat="1" applyFont="1" applyBorder="1" applyAlignment="1">
      <alignment horizontal="center" vertical="center"/>
    </xf>
    <xf numFmtId="43" fontId="7" fillId="0" borderId="1" xfId="3" applyFont="1" applyFill="1" applyBorder="1" applyAlignment="1">
      <alignment vertical="center"/>
    </xf>
    <xf numFmtId="10" fontId="6" fillId="3" borderId="1" xfId="0" applyNumberFormat="1" applyFont="1" applyFill="1" applyBorder="1" applyAlignment="1">
      <alignment horizontal="center" vertical="center"/>
    </xf>
    <xf numFmtId="10" fontId="6" fillId="3" borderId="13" xfId="0" applyNumberFormat="1" applyFont="1" applyFill="1" applyBorder="1" applyAlignment="1">
      <alignment horizontal="center" vertical="center"/>
    </xf>
    <xf numFmtId="43" fontId="6" fillId="0" borderId="1" xfId="3" applyFont="1" applyFill="1" applyBorder="1" applyAlignment="1">
      <alignment vertical="center"/>
    </xf>
    <xf numFmtId="10" fontId="11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43" fontId="7" fillId="0" borderId="1" xfId="3" applyFont="1" applyFill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vertical="center"/>
    </xf>
    <xf numFmtId="164" fontId="6" fillId="3" borderId="1" xfId="1" applyFont="1" applyFill="1" applyBorder="1" applyAlignment="1">
      <alignment vertical="center"/>
    </xf>
    <xf numFmtId="2" fontId="5" fillId="0" borderId="0" xfId="0" applyNumberFormat="1" applyFont="1" applyAlignment="1">
      <alignment vertical="center"/>
    </xf>
    <xf numFmtId="165" fontId="15" fillId="2" borderId="1" xfId="0" applyNumberFormat="1" applyFont="1" applyFill="1" applyBorder="1" applyAlignment="1">
      <alignment vertical="center"/>
    </xf>
    <xf numFmtId="43" fontId="7" fillId="7" borderId="1" xfId="3" applyFont="1" applyFill="1" applyBorder="1" applyAlignment="1">
      <alignment vertical="center"/>
    </xf>
    <xf numFmtId="9" fontId="7" fillId="7" borderId="1" xfId="2" applyFont="1" applyFill="1" applyBorder="1" applyAlignment="1">
      <alignment horizontal="center" vertical="center"/>
    </xf>
    <xf numFmtId="10" fontId="7" fillId="7" borderId="1" xfId="2" applyNumberFormat="1" applyFont="1" applyFill="1" applyBorder="1" applyAlignment="1">
      <alignment horizontal="center" vertical="center"/>
    </xf>
    <xf numFmtId="43" fontId="7" fillId="0" borderId="1" xfId="0" applyNumberFormat="1" applyFont="1" applyBorder="1" applyAlignment="1">
      <alignment vertical="center"/>
    </xf>
    <xf numFmtId="9" fontId="7" fillId="7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43" fontId="7" fillId="7" borderId="1" xfId="3" applyFont="1" applyFill="1" applyBorder="1" applyAlignment="1">
      <alignment horizontal="right" vertical="center"/>
    </xf>
    <xf numFmtId="10" fontId="7" fillId="7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4" fontId="15" fillId="5" borderId="0" xfId="0" applyNumberFormat="1" applyFont="1" applyFill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10" fontId="7" fillId="7" borderId="1" xfId="0" applyNumberFormat="1" applyFont="1" applyFill="1" applyBorder="1" applyAlignment="1">
      <alignment horizontal="right" vertical="center"/>
    </xf>
    <xf numFmtId="10" fontId="7" fillId="7" borderId="1" xfId="2" applyNumberFormat="1" applyFont="1" applyFill="1" applyBorder="1" applyAlignment="1">
      <alignment horizontal="right" vertical="center"/>
    </xf>
    <xf numFmtId="0" fontId="7" fillId="3" borderId="1" xfId="2" applyNumberFormat="1" applyFont="1" applyFill="1" applyBorder="1" applyAlignment="1">
      <alignment horizontal="right" vertical="center"/>
    </xf>
    <xf numFmtId="43" fontId="7" fillId="0" borderId="1" xfId="3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66" fontId="14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8" fontId="7" fillId="0" borderId="0" xfId="0" applyNumberFormat="1" applyFont="1" applyAlignment="1">
      <alignment vertical="center"/>
    </xf>
    <xf numFmtId="8" fontId="6" fillId="2" borderId="1" xfId="0" applyNumberFormat="1" applyFont="1" applyFill="1" applyBorder="1" applyAlignment="1">
      <alignment vertical="center"/>
    </xf>
    <xf numFmtId="2" fontId="7" fillId="7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0" fontId="7" fillId="5" borderId="9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43" fontId="7" fillId="5" borderId="1" xfId="3" applyFont="1" applyFill="1" applyBorder="1" applyAlignment="1">
      <alignment vertical="center"/>
    </xf>
    <xf numFmtId="43" fontId="6" fillId="5" borderId="0" xfId="3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16" fillId="5" borderId="14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16" fillId="5" borderId="18" xfId="0" applyFont="1" applyFill="1" applyBorder="1" applyAlignment="1">
      <alignment horizontal="left" vertical="center" wrapText="1"/>
    </xf>
    <xf numFmtId="10" fontId="6" fillId="5" borderId="0" xfId="0" applyNumberFormat="1" applyFont="1" applyFill="1" applyAlignment="1">
      <alignment horizontal="center" vertical="center"/>
    </xf>
    <xf numFmtId="2" fontId="6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14" fillId="7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3" fontId="6" fillId="0" borderId="1" xfId="3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9" fillId="5" borderId="0" xfId="0" applyFont="1" applyFill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left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3" fontId="7" fillId="0" borderId="0" xfId="3" applyFont="1" applyBorder="1" applyAlignment="1">
      <alignment vertical="center"/>
    </xf>
    <xf numFmtId="43" fontId="7" fillId="5" borderId="0" xfId="3" applyFont="1" applyFill="1" applyBorder="1" applyAlignment="1">
      <alignment vertical="center"/>
    </xf>
    <xf numFmtId="43" fontId="7" fillId="0" borderId="0" xfId="3" applyFont="1" applyBorder="1" applyAlignment="1">
      <alignment horizontal="center" vertical="center"/>
    </xf>
    <xf numFmtId="43" fontId="7" fillId="0" borderId="0" xfId="0" applyNumberFormat="1" applyFont="1" applyAlignment="1">
      <alignment vertical="center"/>
    </xf>
    <xf numFmtId="43" fontId="7" fillId="0" borderId="0" xfId="3" applyFont="1" applyFill="1" applyBorder="1" applyAlignment="1">
      <alignment vertical="center"/>
    </xf>
    <xf numFmtId="0" fontId="6" fillId="5" borderId="0" xfId="0" applyFont="1" applyFill="1" applyAlignment="1">
      <alignment horizontal="center" vertical="center" wrapText="1"/>
    </xf>
    <xf numFmtId="43" fontId="6" fillId="0" borderId="0" xfId="3" applyFont="1" applyFill="1" applyBorder="1" applyAlignment="1">
      <alignment horizontal="center" vertical="center"/>
    </xf>
    <xf numFmtId="43" fontId="7" fillId="0" borderId="0" xfId="3" applyFont="1" applyFill="1" applyBorder="1" applyAlignment="1">
      <alignment horizontal="center" vertical="center"/>
    </xf>
    <xf numFmtId="165" fontId="14" fillId="5" borderId="0" xfId="0" applyNumberFormat="1" applyFont="1" applyFill="1" applyAlignment="1">
      <alignment vertical="center"/>
    </xf>
    <xf numFmtId="165" fontId="11" fillId="0" borderId="0" xfId="1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65" fontId="14" fillId="0" borderId="1" xfId="0" applyNumberFormat="1" applyFont="1" applyBorder="1" applyAlignment="1">
      <alignment vertical="center"/>
    </xf>
    <xf numFmtId="165" fontId="14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7" fillId="0" borderId="0" xfId="3" applyFont="1" applyFill="1" applyBorder="1" applyAlignment="1">
      <alignment horizontal="right" vertical="center"/>
    </xf>
    <xf numFmtId="164" fontId="6" fillId="0" borderId="0" xfId="1" applyFont="1" applyFill="1" applyBorder="1" applyAlignment="1">
      <alignment vertical="center"/>
    </xf>
    <xf numFmtId="165" fontId="15" fillId="0" borderId="0" xfId="0" applyNumberFormat="1" applyFont="1" applyAlignment="1">
      <alignment vertical="center"/>
    </xf>
    <xf numFmtId="43" fontId="6" fillId="0" borderId="0" xfId="0" applyNumberFormat="1" applyFont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vertical="center"/>
    </xf>
    <xf numFmtId="10" fontId="7" fillId="8" borderId="1" xfId="2" applyNumberFormat="1" applyFont="1" applyFill="1" applyBorder="1" applyAlignment="1">
      <alignment horizontal="center" vertical="center"/>
    </xf>
    <xf numFmtId="43" fontId="7" fillId="8" borderId="1" xfId="3" applyFont="1" applyFill="1" applyBorder="1" applyAlignment="1">
      <alignment vertical="center"/>
    </xf>
    <xf numFmtId="43" fontId="11" fillId="5" borderId="0" xfId="3" applyFont="1" applyFill="1" applyBorder="1" applyAlignment="1">
      <alignment vertical="center"/>
    </xf>
    <xf numFmtId="0" fontId="6" fillId="8" borderId="13" xfId="0" applyFont="1" applyFill="1" applyBorder="1" applyAlignment="1">
      <alignment horizontal="center" vertical="center"/>
    </xf>
    <xf numFmtId="10" fontId="7" fillId="8" borderId="1" xfId="2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165" fontId="27" fillId="0" borderId="1" xfId="1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6" fillId="5" borderId="0" xfId="0" applyFont="1" applyFill="1" applyAlignment="1">
      <alignment vertical="center"/>
    </xf>
    <xf numFmtId="0" fontId="27" fillId="0" borderId="11" xfId="0" applyFont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8" fillId="9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vertical="center" wrapText="1"/>
    </xf>
    <xf numFmtId="0" fontId="6" fillId="5" borderId="16" xfId="0" applyFont="1" applyFill="1" applyBorder="1" applyAlignment="1">
      <alignment vertical="center" wrapText="1"/>
    </xf>
    <xf numFmtId="10" fontId="7" fillId="0" borderId="2" xfId="0" applyNumberFormat="1" applyFont="1" applyBorder="1" applyAlignment="1">
      <alignment horizontal="center" vertical="center"/>
    </xf>
    <xf numFmtId="43" fontId="7" fillId="0" borderId="2" xfId="3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0" fontId="13" fillId="5" borderId="9" xfId="0" applyFont="1" applyFill="1" applyBorder="1" applyAlignment="1">
      <alignment vertical="center"/>
    </xf>
    <xf numFmtId="0" fontId="13" fillId="5" borderId="3" xfId="0" applyFont="1" applyFill="1" applyBorder="1" applyAlignment="1">
      <alignment vertical="center"/>
    </xf>
    <xf numFmtId="0" fontId="13" fillId="5" borderId="10" xfId="0" applyFont="1" applyFill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14" fillId="5" borderId="2" xfId="0" applyFont="1" applyFill="1" applyBorder="1" applyAlignment="1">
      <alignment vertical="center" wrapText="1"/>
    </xf>
    <xf numFmtId="0" fontId="13" fillId="5" borderId="16" xfId="0" applyFont="1" applyFill="1" applyBorder="1" applyAlignment="1">
      <alignment vertical="center"/>
    </xf>
    <xf numFmtId="165" fontId="14" fillId="5" borderId="2" xfId="0" applyNumberFormat="1" applyFont="1" applyFill="1" applyBorder="1" applyAlignment="1">
      <alignment vertical="center"/>
    </xf>
    <xf numFmtId="0" fontId="25" fillId="2" borderId="10" xfId="0" applyFont="1" applyFill="1" applyBorder="1" applyAlignment="1">
      <alignment vertical="center"/>
    </xf>
    <xf numFmtId="0" fontId="21" fillId="3" borderId="3" xfId="0" applyFont="1" applyFill="1" applyBorder="1" applyAlignment="1">
      <alignment vertical="center"/>
    </xf>
    <xf numFmtId="0" fontId="21" fillId="3" borderId="10" xfId="0" applyFont="1" applyFill="1" applyBorder="1" applyAlignment="1">
      <alignment vertical="center"/>
    </xf>
    <xf numFmtId="0" fontId="6" fillId="5" borderId="18" xfId="0" applyFont="1" applyFill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21" fillId="0" borderId="9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3" borderId="9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164" fontId="3" fillId="0" borderId="0" xfId="1"/>
    <xf numFmtId="164" fontId="3" fillId="0" borderId="0" xfId="1" applyAlignment="1">
      <alignment vertical="center"/>
    </xf>
    <xf numFmtId="43" fontId="0" fillId="0" borderId="0" xfId="0" applyNumberFormat="1"/>
    <xf numFmtId="0" fontId="24" fillId="3" borderId="6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167" fontId="14" fillId="7" borderId="1" xfId="0" applyNumberFormat="1" applyFont="1" applyFill="1" applyBorder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left" vertical="center"/>
    </xf>
    <xf numFmtId="0" fontId="16" fillId="8" borderId="3" xfId="0" applyFont="1" applyFill="1" applyBorder="1" applyAlignment="1">
      <alignment horizontal="left" vertical="center"/>
    </xf>
    <xf numFmtId="0" fontId="16" fillId="8" borderId="10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10" fontId="7" fillId="0" borderId="15" xfId="0" applyNumberFormat="1" applyFont="1" applyBorder="1" applyAlignment="1">
      <alignment horizontal="center" vertical="center"/>
    </xf>
    <xf numFmtId="10" fontId="7" fillId="0" borderId="16" xfId="0" applyNumberFormat="1" applyFont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43" fontId="7" fillId="0" borderId="1" xfId="3" applyFont="1" applyFill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21" fillId="3" borderId="3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25" fillId="2" borderId="9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3" fillId="5" borderId="9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</cellXfs>
  <cellStyles count="14">
    <cellStyle name="Moeda" xfId="1" builtinId="4"/>
    <cellStyle name="Moeda 2" xfId="6" xr:uid="{00000000-0005-0000-0000-000001000000}"/>
    <cellStyle name="Moeda 3" xfId="11" xr:uid="{00000000-0005-0000-0000-000002000000}"/>
    <cellStyle name="Normal" xfId="0" builtinId="0"/>
    <cellStyle name="Normal 2" xfId="5" xr:uid="{00000000-0005-0000-0000-000004000000}"/>
    <cellStyle name="Normal 3" xfId="4" xr:uid="{00000000-0005-0000-0000-000005000000}"/>
    <cellStyle name="Normal 4" xfId="12" xr:uid="{00000000-0005-0000-0000-000006000000}"/>
    <cellStyle name="Porcentagem" xfId="2" builtinId="5"/>
    <cellStyle name="Porcentagem 2" xfId="7" xr:uid="{00000000-0005-0000-0000-000008000000}"/>
    <cellStyle name="Porcentagem 3" xfId="10" xr:uid="{00000000-0005-0000-0000-000009000000}"/>
    <cellStyle name="Vírgula" xfId="3" builtinId="3"/>
    <cellStyle name="Vírgula 2" xfId="8" xr:uid="{00000000-0005-0000-0000-00000B000000}"/>
    <cellStyle name="Vírgula 3" xfId="9" xr:uid="{00000000-0005-0000-0000-00000C000000}"/>
    <cellStyle name="Vírgula 4" xfId="13" xr:uid="{00000000-0005-0000-0000-00000D000000}"/>
  </cellStyles>
  <dxfs count="0"/>
  <tableStyles count="0" defaultTableStyle="TableStyleMedium9" defaultPivotStyle="PivotStyleLight16"/>
  <colors>
    <mruColors>
      <color rgb="FFFFFF99"/>
      <color rgb="FF00CC00"/>
      <color rgb="FF33C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B1:J25"/>
  <sheetViews>
    <sheetView showGridLines="0" zoomScaleNormal="100" workbookViewId="0">
      <selection activeCell="B6" sqref="B6:G12"/>
    </sheetView>
  </sheetViews>
  <sheetFormatPr defaultColWidth="9.140625" defaultRowHeight="22.5" customHeight="1" x14ac:dyDescent="0.2"/>
  <cols>
    <col min="1" max="1" width="3.28515625" style="58" customWidth="1"/>
    <col min="2" max="2" width="20.85546875" style="58" customWidth="1"/>
    <col min="3" max="4" width="13.28515625" style="58" customWidth="1"/>
    <col min="5" max="5" width="14.28515625" style="58" customWidth="1"/>
    <col min="6" max="6" width="13.7109375" style="58" customWidth="1"/>
    <col min="7" max="7" width="16.140625" style="58" bestFit="1" customWidth="1"/>
    <col min="8" max="8" width="14.7109375" style="58" bestFit="1" customWidth="1"/>
    <col min="9" max="9" width="9.140625" style="58"/>
    <col min="10" max="10" width="14.28515625" style="58" bestFit="1" customWidth="1"/>
    <col min="11" max="16384" width="9.140625" style="58"/>
  </cols>
  <sheetData>
    <row r="1" spans="2:10" ht="22.5" customHeight="1" x14ac:dyDescent="0.2">
      <c r="B1" s="193" t="s">
        <v>124</v>
      </c>
      <c r="C1" s="193"/>
      <c r="D1" s="193"/>
      <c r="E1" s="193"/>
      <c r="F1" s="193"/>
      <c r="G1" s="193"/>
    </row>
    <row r="3" spans="2:10" ht="22.5" customHeight="1" x14ac:dyDescent="0.2">
      <c r="B3" s="62" t="s">
        <v>125</v>
      </c>
    </row>
    <row r="4" spans="2:10" ht="22.5" customHeight="1" x14ac:dyDescent="0.2">
      <c r="B4" s="194" t="s">
        <v>208</v>
      </c>
      <c r="C4" s="194"/>
      <c r="D4" s="194"/>
      <c r="E4" s="194"/>
      <c r="F4" s="194"/>
      <c r="G4" s="194"/>
      <c r="H4" s="59"/>
    </row>
    <row r="5" spans="2:10" ht="22.5" customHeight="1" thickBot="1" x14ac:dyDescent="0.25"/>
    <row r="6" spans="2:10" ht="22.5" customHeight="1" thickBot="1" x14ac:dyDescent="0.25">
      <c r="B6" s="189" t="s">
        <v>90</v>
      </c>
      <c r="C6" s="190"/>
      <c r="D6" s="190"/>
      <c r="E6" s="190"/>
      <c r="F6" s="190"/>
      <c r="G6" s="191"/>
    </row>
    <row r="7" spans="2:10" ht="22.5" customHeight="1" x14ac:dyDescent="0.2">
      <c r="B7" s="13"/>
      <c r="C7" s="13"/>
      <c r="D7" s="13"/>
      <c r="E7" s="13"/>
      <c r="F7" s="13"/>
      <c r="G7" s="13"/>
    </row>
    <row r="8" spans="2:10" ht="22.5" customHeight="1" x14ac:dyDescent="0.2">
      <c r="B8" s="44" t="s">
        <v>86</v>
      </c>
      <c r="C8" s="44" t="s">
        <v>123</v>
      </c>
      <c r="D8" s="44" t="s">
        <v>87</v>
      </c>
      <c r="E8" s="44" t="s">
        <v>96</v>
      </c>
      <c r="F8" s="44" t="s">
        <v>88</v>
      </c>
      <c r="G8" s="44" t="s">
        <v>89</v>
      </c>
    </row>
    <row r="9" spans="2:10" ht="22.5" customHeight="1" x14ac:dyDescent="0.2">
      <c r="B9" s="183" t="s">
        <v>205</v>
      </c>
      <c r="C9" s="57">
        <v>1</v>
      </c>
      <c r="D9" s="5">
        <v>30</v>
      </c>
      <c r="E9" s="6">
        <f>'Técnico de Secretariado'!H134</f>
        <v>8147.1500000000005</v>
      </c>
      <c r="F9" s="7">
        <v>8147.15</v>
      </c>
      <c r="G9" s="7">
        <f>D9*F9</f>
        <v>244414.5</v>
      </c>
      <c r="J9" s="187"/>
    </row>
    <row r="10" spans="2:10" ht="22.5" customHeight="1" x14ac:dyDescent="0.2">
      <c r="B10" s="183" t="s">
        <v>199</v>
      </c>
      <c r="C10" s="57">
        <v>1</v>
      </c>
      <c r="D10" s="5">
        <v>30</v>
      </c>
      <c r="E10" s="6">
        <f>Recepcionista!H137</f>
        <v>6845.9272222222216</v>
      </c>
      <c r="F10" s="7">
        <v>6845.93</v>
      </c>
      <c r="G10" s="7">
        <f>F10*D10</f>
        <v>205377.90000000002</v>
      </c>
      <c r="J10" s="187"/>
    </row>
    <row r="11" spans="2:10" ht="22.5" customHeight="1" x14ac:dyDescent="0.2">
      <c r="B11" s="16" t="s">
        <v>61</v>
      </c>
      <c r="C11" s="57">
        <f>SUM(C10:C10)</f>
        <v>1</v>
      </c>
      <c r="D11" s="89"/>
      <c r="E11" s="133"/>
      <c r="F11" s="9">
        <f>SUM(F9:F10)</f>
        <v>14993.08</v>
      </c>
      <c r="G11" s="8">
        <f>SUM(G9:G10)</f>
        <v>449792.4</v>
      </c>
    </row>
    <row r="12" spans="2:10" ht="22.5" customHeight="1" x14ac:dyDescent="0.2">
      <c r="B12" s="192" t="s">
        <v>121</v>
      </c>
      <c r="C12" s="192"/>
      <c r="D12" s="192"/>
      <c r="E12" s="192"/>
      <c r="F12" s="192"/>
      <c r="G12" s="60">
        <f>G11</f>
        <v>449792.4</v>
      </c>
    </row>
    <row r="13" spans="2:10" ht="22.5" customHeight="1" x14ac:dyDescent="0.2">
      <c r="F13" s="1"/>
    </row>
    <row r="14" spans="2:10" ht="22.5" customHeight="1" x14ac:dyDescent="0.2">
      <c r="F14" s="1"/>
    </row>
    <row r="15" spans="2:10" ht="22.5" customHeight="1" x14ac:dyDescent="0.2">
      <c r="B15" s="2" t="s">
        <v>53</v>
      </c>
      <c r="C15" s="3"/>
      <c r="D15" s="81"/>
      <c r="E15" s="1" t="s">
        <v>54</v>
      </c>
      <c r="F15" s="1"/>
    </row>
    <row r="16" spans="2:10" ht="22.5" customHeight="1" x14ac:dyDescent="0.2">
      <c r="B16" s="58" t="s">
        <v>191</v>
      </c>
      <c r="F16" s="1"/>
    </row>
    <row r="17" spans="5:6" ht="22.5" customHeight="1" x14ac:dyDescent="0.2">
      <c r="F17" s="1"/>
    </row>
    <row r="18" spans="5:6" ht="22.5" customHeight="1" x14ac:dyDescent="0.2">
      <c r="E18" s="131" t="s">
        <v>184</v>
      </c>
      <c r="F18" s="1"/>
    </row>
    <row r="19" spans="5:6" ht="22.5" customHeight="1" x14ac:dyDescent="0.2">
      <c r="E19" s="132"/>
    </row>
    <row r="20" spans="5:6" ht="22.5" customHeight="1" x14ac:dyDescent="0.2">
      <c r="E20" s="132" t="s">
        <v>185</v>
      </c>
    </row>
    <row r="21" spans="5:6" ht="22.5" customHeight="1" x14ac:dyDescent="0.2">
      <c r="E21" s="132" t="s">
        <v>186</v>
      </c>
    </row>
    <row r="22" spans="5:6" ht="22.5" customHeight="1" x14ac:dyDescent="0.2">
      <c r="E22" s="132" t="s">
        <v>187</v>
      </c>
    </row>
    <row r="23" spans="5:6" ht="22.5" customHeight="1" x14ac:dyDescent="0.2">
      <c r="E23" s="132" t="s">
        <v>188</v>
      </c>
    </row>
    <row r="24" spans="5:6" ht="22.5" customHeight="1" x14ac:dyDescent="0.2">
      <c r="E24" s="132" t="s">
        <v>189</v>
      </c>
    </row>
    <row r="25" spans="5:6" ht="22.5" customHeight="1" x14ac:dyDescent="0.2">
      <c r="E25" s="132" t="s">
        <v>190</v>
      </c>
    </row>
  </sheetData>
  <mergeCells count="4">
    <mergeCell ref="B6:G6"/>
    <mergeCell ref="B12:F12"/>
    <mergeCell ref="B1:G1"/>
    <mergeCell ref="B4:G4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2D18C-EE1F-413F-A724-735DD2D50BD4}">
  <sheetPr>
    <pageSetUpPr fitToPage="1"/>
  </sheetPr>
  <dimension ref="B2:N149"/>
  <sheetViews>
    <sheetView tabSelected="1" topLeftCell="A28" workbookViewId="0">
      <selection activeCell="B58" sqref="B58:H63"/>
    </sheetView>
  </sheetViews>
  <sheetFormatPr defaultRowHeight="12.75" x14ac:dyDescent="0.2"/>
  <cols>
    <col min="3" max="3" width="39.140625" bestFit="1" customWidth="1"/>
    <col min="4" max="4" width="40.7109375" bestFit="1" customWidth="1"/>
    <col min="5" max="5" width="9.5703125" bestFit="1" customWidth="1"/>
    <col min="6" max="6" width="4.7109375" bestFit="1" customWidth="1"/>
    <col min="7" max="7" width="9.140625" customWidth="1"/>
    <col min="8" max="8" width="24" customWidth="1"/>
    <col min="13" max="13" width="12.140625" bestFit="1" customWidth="1"/>
  </cols>
  <sheetData>
    <row r="2" spans="2:9" x14ac:dyDescent="0.2">
      <c r="B2" s="199" t="s">
        <v>50</v>
      </c>
      <c r="C2" s="199"/>
      <c r="D2" s="199"/>
      <c r="E2" s="199"/>
      <c r="F2" s="199"/>
      <c r="G2" s="199"/>
      <c r="H2" s="199"/>
      <c r="I2" s="100"/>
    </row>
    <row r="3" spans="2:9" x14ac:dyDescent="0.2">
      <c r="B3" s="200" t="s">
        <v>192</v>
      </c>
      <c r="C3" s="200"/>
      <c r="D3" s="200"/>
      <c r="E3" s="200"/>
      <c r="F3" s="200"/>
      <c r="G3" s="200"/>
      <c r="H3" s="200"/>
      <c r="I3" s="102"/>
    </row>
    <row r="4" spans="2:9" x14ac:dyDescent="0.2">
      <c r="B4" s="65"/>
      <c r="C4" s="65"/>
      <c r="D4" s="65"/>
      <c r="E4" s="65"/>
      <c r="F4" s="65"/>
      <c r="G4" s="65"/>
      <c r="H4" s="65"/>
      <c r="I4" s="65"/>
    </row>
    <row r="5" spans="2:9" x14ac:dyDescent="0.2">
      <c r="B5" s="65"/>
      <c r="C5" s="65"/>
      <c r="D5" s="65"/>
      <c r="E5" s="65"/>
      <c r="F5" s="65"/>
      <c r="G5" s="65"/>
      <c r="H5" s="65"/>
      <c r="I5" s="65"/>
    </row>
    <row r="6" spans="2:9" x14ac:dyDescent="0.2">
      <c r="B6" s="143" t="s">
        <v>128</v>
      </c>
      <c r="C6" s="143"/>
      <c r="D6" s="201" t="s">
        <v>207</v>
      </c>
      <c r="E6" s="202"/>
      <c r="F6" s="203"/>
      <c r="G6" s="74"/>
      <c r="H6" s="74"/>
      <c r="I6" s="15"/>
    </row>
    <row r="7" spans="2:9" x14ac:dyDescent="0.2">
      <c r="B7" s="65"/>
      <c r="C7" s="65"/>
      <c r="D7" s="65"/>
      <c r="E7" s="65"/>
      <c r="F7" s="65"/>
      <c r="G7" s="65"/>
      <c r="H7" s="65"/>
      <c r="I7" s="184"/>
    </row>
    <row r="8" spans="2:9" x14ac:dyDescent="0.2">
      <c r="B8" s="204" t="s">
        <v>51</v>
      </c>
      <c r="C8" s="204"/>
      <c r="D8" s="204"/>
      <c r="E8" s="204"/>
      <c r="F8" s="204"/>
      <c r="G8" s="144"/>
      <c r="H8" s="144"/>
      <c r="I8" s="64"/>
    </row>
    <row r="9" spans="2:9" x14ac:dyDescent="0.2">
      <c r="B9" s="195">
        <v>1</v>
      </c>
      <c r="C9" s="196" t="s">
        <v>52</v>
      </c>
      <c r="D9" s="196"/>
      <c r="E9" s="196"/>
      <c r="F9" s="196"/>
      <c r="G9" s="144"/>
      <c r="H9" s="144"/>
      <c r="I9" s="64"/>
    </row>
    <row r="10" spans="2:9" x14ac:dyDescent="0.2">
      <c r="B10" s="195"/>
      <c r="C10" s="197"/>
      <c r="D10" s="197"/>
      <c r="E10" s="197"/>
      <c r="F10" s="197"/>
      <c r="G10" s="144"/>
      <c r="H10" s="144"/>
      <c r="I10" s="64"/>
    </row>
    <row r="11" spans="2:9" x14ac:dyDescent="0.2">
      <c r="B11" s="195">
        <v>2</v>
      </c>
      <c r="C11" s="196" t="s">
        <v>55</v>
      </c>
      <c r="D11" s="196"/>
      <c r="E11" s="196"/>
      <c r="F11" s="196"/>
      <c r="G11" s="144"/>
      <c r="H11" s="144"/>
      <c r="I11" s="64"/>
    </row>
    <row r="12" spans="2:9" x14ac:dyDescent="0.2">
      <c r="B12" s="195"/>
      <c r="C12" s="197"/>
      <c r="D12" s="197"/>
      <c r="E12" s="197"/>
      <c r="F12" s="197"/>
      <c r="G12" s="144"/>
      <c r="H12" s="144"/>
      <c r="I12" s="64"/>
    </row>
    <row r="13" spans="2:9" x14ac:dyDescent="0.2">
      <c r="B13" s="195">
        <v>3</v>
      </c>
      <c r="C13" s="196" t="s">
        <v>56</v>
      </c>
      <c r="D13" s="196"/>
      <c r="E13" s="196"/>
      <c r="F13" s="196"/>
      <c r="G13" s="144"/>
      <c r="H13" s="144"/>
      <c r="I13" s="64"/>
    </row>
    <row r="14" spans="2:9" x14ac:dyDescent="0.2">
      <c r="B14" s="195"/>
      <c r="C14" s="198"/>
      <c r="D14" s="198"/>
      <c r="E14" s="198"/>
      <c r="F14" s="198"/>
      <c r="G14" s="144"/>
      <c r="H14" s="144"/>
      <c r="I14" s="64"/>
    </row>
    <row r="15" spans="2:9" x14ac:dyDescent="0.2">
      <c r="B15" s="195">
        <v>4</v>
      </c>
      <c r="C15" s="196" t="s">
        <v>57</v>
      </c>
      <c r="D15" s="196"/>
      <c r="E15" s="196"/>
      <c r="F15" s="196"/>
      <c r="G15" s="144"/>
      <c r="H15" s="144"/>
      <c r="I15" s="64"/>
    </row>
    <row r="16" spans="2:9" x14ac:dyDescent="0.2">
      <c r="B16" s="195"/>
      <c r="C16" s="197"/>
      <c r="D16" s="197"/>
      <c r="E16" s="197"/>
      <c r="F16" s="197"/>
      <c r="G16" s="144"/>
      <c r="H16" s="144"/>
      <c r="I16" s="64"/>
    </row>
    <row r="17" spans="2:14" x14ac:dyDescent="0.2">
      <c r="B17" s="195">
        <v>5</v>
      </c>
      <c r="C17" s="196" t="s">
        <v>58</v>
      </c>
      <c r="D17" s="196"/>
      <c r="E17" s="196"/>
      <c r="F17" s="196"/>
      <c r="G17" s="144"/>
      <c r="H17" s="144"/>
      <c r="I17" s="64"/>
    </row>
    <row r="18" spans="2:14" x14ac:dyDescent="0.2">
      <c r="B18" s="195"/>
      <c r="C18" s="197"/>
      <c r="D18" s="197"/>
      <c r="E18" s="197"/>
      <c r="F18" s="197"/>
      <c r="G18" s="144"/>
      <c r="H18" s="144"/>
      <c r="I18" s="64"/>
    </row>
    <row r="19" spans="2:14" x14ac:dyDescent="0.2">
      <c r="B19" s="195">
        <v>6</v>
      </c>
      <c r="C19" s="196" t="s">
        <v>59</v>
      </c>
      <c r="D19" s="196"/>
      <c r="E19" s="196"/>
      <c r="F19" s="196"/>
      <c r="G19" s="144"/>
      <c r="H19" s="144"/>
      <c r="I19" s="64"/>
    </row>
    <row r="20" spans="2:14" x14ac:dyDescent="0.2">
      <c r="B20" s="195"/>
      <c r="C20" s="197"/>
      <c r="D20" s="197"/>
      <c r="E20" s="197"/>
      <c r="F20" s="197"/>
      <c r="G20" s="144"/>
      <c r="H20" s="144"/>
      <c r="I20" s="64"/>
    </row>
    <row r="21" spans="2:14" x14ac:dyDescent="0.2">
      <c r="B21" s="66"/>
      <c r="C21" s="66"/>
      <c r="D21" s="66"/>
      <c r="E21" s="66"/>
      <c r="F21" s="66"/>
      <c r="G21" s="67"/>
      <c r="H21" s="67"/>
      <c r="I21" s="64"/>
    </row>
    <row r="22" spans="2:14" x14ac:dyDescent="0.2">
      <c r="B22" s="68"/>
      <c r="C22" s="68"/>
      <c r="D22" s="68"/>
      <c r="E22" s="68"/>
      <c r="F22" s="68"/>
      <c r="G22" s="68"/>
      <c r="H22" s="149" t="s">
        <v>197</v>
      </c>
      <c r="I22" s="74"/>
    </row>
    <row r="23" spans="2:14" x14ac:dyDescent="0.2">
      <c r="B23" s="205" t="s">
        <v>66</v>
      </c>
      <c r="C23" s="206"/>
      <c r="D23" s="206"/>
      <c r="E23" s="206"/>
      <c r="F23" s="206"/>
      <c r="G23" s="147"/>
      <c r="H23" s="148"/>
      <c r="I23" s="101"/>
    </row>
    <row r="24" spans="2:14" x14ac:dyDescent="0.2">
      <c r="B24" s="96">
        <v>1</v>
      </c>
      <c r="C24" s="207" t="s">
        <v>60</v>
      </c>
      <c r="D24" s="208"/>
      <c r="E24" s="208"/>
      <c r="F24" s="209"/>
      <c r="G24" s="146" t="s">
        <v>1</v>
      </c>
      <c r="H24" s="146" t="s">
        <v>49</v>
      </c>
      <c r="I24" s="101"/>
    </row>
    <row r="25" spans="2:14" x14ac:dyDescent="0.2">
      <c r="B25" s="16" t="s">
        <v>4</v>
      </c>
      <c r="C25" s="94" t="s">
        <v>17</v>
      </c>
      <c r="D25" s="210"/>
      <c r="E25" s="211"/>
      <c r="F25" s="212"/>
      <c r="G25" s="17"/>
      <c r="H25" s="34">
        <v>2581.37</v>
      </c>
      <c r="I25" s="107"/>
      <c r="M25" s="186"/>
      <c r="N25" s="188"/>
    </row>
    <row r="26" spans="2:14" x14ac:dyDescent="0.2">
      <c r="B26" s="16" t="s">
        <v>5</v>
      </c>
      <c r="C26" s="94" t="s">
        <v>24</v>
      </c>
      <c r="D26" s="210" t="s">
        <v>129</v>
      </c>
      <c r="E26" s="211"/>
      <c r="F26" s="212"/>
      <c r="G26" s="35"/>
      <c r="H26" s="18">
        <f>TRUNC(H$25*$G26,2)</f>
        <v>0</v>
      </c>
      <c r="I26" s="103"/>
    </row>
    <row r="27" spans="2:14" x14ac:dyDescent="0.2">
      <c r="B27" s="16" t="s">
        <v>6</v>
      </c>
      <c r="C27" s="95" t="s">
        <v>25</v>
      </c>
      <c r="D27" s="210" t="s">
        <v>171</v>
      </c>
      <c r="E27" s="211"/>
      <c r="F27" s="212"/>
      <c r="G27" s="35"/>
      <c r="H27" s="18">
        <f>TRUNC(H$25*$G27,2)</f>
        <v>0</v>
      </c>
      <c r="I27" s="103"/>
    </row>
    <row r="28" spans="2:14" x14ac:dyDescent="0.2">
      <c r="B28" s="16" t="s">
        <v>7</v>
      </c>
      <c r="C28" s="95" t="s">
        <v>0</v>
      </c>
      <c r="D28" s="210" t="s">
        <v>178</v>
      </c>
      <c r="E28" s="211"/>
      <c r="F28" s="212"/>
      <c r="G28" s="36"/>
      <c r="H28" s="72">
        <f>TRUNC(((H$25+H26)*$G28)/220*8*15,2)</f>
        <v>0</v>
      </c>
      <c r="I28" s="104"/>
    </row>
    <row r="29" spans="2:14" x14ac:dyDescent="0.2">
      <c r="B29" s="124" t="s">
        <v>8</v>
      </c>
      <c r="C29" s="125" t="s">
        <v>26</v>
      </c>
      <c r="D29" s="220" t="s">
        <v>178</v>
      </c>
      <c r="E29" s="221"/>
      <c r="F29" s="222"/>
      <c r="G29" s="126"/>
      <c r="H29" s="127">
        <f>TRUNC(((H25+H26)*$G29)/220*1*15,2)</f>
        <v>0</v>
      </c>
      <c r="I29" s="128" t="s">
        <v>183</v>
      </c>
    </row>
    <row r="30" spans="2:14" x14ac:dyDescent="0.2">
      <c r="B30" s="129" t="s">
        <v>9</v>
      </c>
      <c r="C30" s="125" t="s">
        <v>109</v>
      </c>
      <c r="D30" s="220" t="s">
        <v>179</v>
      </c>
      <c r="E30" s="221"/>
      <c r="F30" s="222"/>
      <c r="G30" s="130"/>
      <c r="H30" s="127">
        <f>TRUNC($G$34*H34*(1+$G$30),2)</f>
        <v>0</v>
      </c>
      <c r="I30" s="128" t="s">
        <v>183</v>
      </c>
    </row>
    <row r="31" spans="2:14" x14ac:dyDescent="0.2">
      <c r="B31" s="16" t="s">
        <v>10</v>
      </c>
      <c r="C31" s="95" t="s">
        <v>2</v>
      </c>
      <c r="D31" s="210"/>
      <c r="E31" s="211"/>
      <c r="F31" s="212"/>
      <c r="G31" s="36"/>
      <c r="H31" s="53"/>
      <c r="I31" s="105"/>
    </row>
    <row r="32" spans="2:14" x14ac:dyDescent="0.2">
      <c r="B32" s="16" t="s">
        <v>130</v>
      </c>
      <c r="C32" s="207" t="s">
        <v>61</v>
      </c>
      <c r="D32" s="208"/>
      <c r="E32" s="208"/>
      <c r="F32" s="209"/>
      <c r="G32" s="30"/>
      <c r="H32" s="19">
        <f>SUM(H25:H31)</f>
        <v>2581.37</v>
      </c>
      <c r="I32" s="20"/>
    </row>
    <row r="33" spans="2:9" ht="22.5" x14ac:dyDescent="0.2">
      <c r="B33" s="100"/>
      <c r="C33" s="213" t="s">
        <v>120</v>
      </c>
      <c r="D33" s="213"/>
      <c r="E33" s="213"/>
      <c r="F33" s="213"/>
      <c r="G33" s="56" t="s">
        <v>110</v>
      </c>
      <c r="H33" s="55" t="s">
        <v>122</v>
      </c>
      <c r="I33" s="4"/>
    </row>
    <row r="34" spans="2:9" x14ac:dyDescent="0.2">
      <c r="B34" s="100"/>
      <c r="C34" s="213"/>
      <c r="D34" s="213"/>
      <c r="E34" s="213"/>
      <c r="F34" s="213"/>
      <c r="G34" s="54"/>
      <c r="H34" s="37">
        <f>IF($G$34="",0,TRUNC((H25+H26+H27)/220,2))</f>
        <v>0</v>
      </c>
      <c r="I34" s="106"/>
    </row>
    <row r="35" spans="2:9" x14ac:dyDescent="0.2">
      <c r="B35" s="100"/>
      <c r="C35" s="100"/>
      <c r="D35" s="100"/>
      <c r="E35" s="100"/>
      <c r="F35" s="100"/>
      <c r="G35" s="100"/>
      <c r="H35" s="73"/>
      <c r="I35" s="20"/>
    </row>
    <row r="36" spans="2:9" x14ac:dyDescent="0.2">
      <c r="B36" s="100"/>
      <c r="C36" s="100"/>
      <c r="D36" s="100"/>
      <c r="E36" s="100"/>
      <c r="F36" s="100"/>
      <c r="G36" s="100"/>
      <c r="H36" s="73"/>
      <c r="I36" s="20"/>
    </row>
    <row r="37" spans="2:9" x14ac:dyDescent="0.2">
      <c r="B37" s="205" t="s">
        <v>67</v>
      </c>
      <c r="C37" s="206"/>
      <c r="D37" s="206"/>
      <c r="E37" s="206"/>
      <c r="F37" s="206"/>
      <c r="G37" s="147"/>
      <c r="H37" s="148"/>
      <c r="I37" s="101"/>
    </row>
    <row r="38" spans="2:9" x14ac:dyDescent="0.2">
      <c r="B38" s="214"/>
      <c r="C38" s="215"/>
      <c r="D38" s="215"/>
      <c r="E38" s="215"/>
      <c r="F38" s="215"/>
      <c r="G38" s="62"/>
      <c r="H38" s="62"/>
      <c r="I38" s="101"/>
    </row>
    <row r="39" spans="2:9" x14ac:dyDescent="0.2">
      <c r="B39" s="216" t="s">
        <v>36</v>
      </c>
      <c r="C39" s="216"/>
      <c r="D39" s="216"/>
      <c r="E39" s="216"/>
      <c r="F39" s="216"/>
      <c r="G39" s="62"/>
      <c r="H39" s="62"/>
      <c r="I39" s="101"/>
    </row>
    <row r="40" spans="2:9" x14ac:dyDescent="0.2">
      <c r="B40" s="146" t="s">
        <v>38</v>
      </c>
      <c r="C40" s="217" t="s">
        <v>27</v>
      </c>
      <c r="D40" s="218"/>
      <c r="E40" s="218"/>
      <c r="F40" s="219"/>
      <c r="G40" s="96" t="s">
        <v>1</v>
      </c>
      <c r="H40" s="96" t="s">
        <v>49</v>
      </c>
      <c r="I40" s="101"/>
    </row>
    <row r="41" spans="2:9" x14ac:dyDescent="0.2">
      <c r="B41" s="16" t="s">
        <v>4</v>
      </c>
      <c r="C41" s="94" t="s">
        <v>112</v>
      </c>
      <c r="D41" s="210" t="s">
        <v>131</v>
      </c>
      <c r="E41" s="211"/>
      <c r="F41" s="212"/>
      <c r="G41" s="152">
        <f>1/12</f>
        <v>8.3333333333333329E-2</v>
      </c>
      <c r="H41" s="153">
        <f>TRUNC((H$32*$G41),2)</f>
        <v>215.11</v>
      </c>
      <c r="I41" s="107"/>
    </row>
    <row r="42" spans="2:9" x14ac:dyDescent="0.2">
      <c r="B42" s="16" t="s">
        <v>5</v>
      </c>
      <c r="C42" s="94" t="s">
        <v>65</v>
      </c>
      <c r="D42" s="210" t="s">
        <v>133</v>
      </c>
      <c r="E42" s="211"/>
      <c r="F42" s="212"/>
      <c r="G42" s="21">
        <f>(1/12)+(1/3/12)</f>
        <v>0.1111111111111111</v>
      </c>
      <c r="H42" s="22">
        <f>TRUNC((H$32*$G42),2)</f>
        <v>286.81</v>
      </c>
      <c r="I42" s="107"/>
    </row>
    <row r="43" spans="2:9" x14ac:dyDescent="0.2">
      <c r="B43" s="16" t="s">
        <v>132</v>
      </c>
      <c r="C43" s="207" t="s">
        <v>61</v>
      </c>
      <c r="D43" s="208"/>
      <c r="E43" s="208"/>
      <c r="F43" s="209"/>
      <c r="G43" s="23">
        <f>TRUNC(SUM(G41:G42),4)</f>
        <v>0.19439999999999999</v>
      </c>
      <c r="H43" s="19">
        <f>SUM(H41:H42)</f>
        <v>501.92</v>
      </c>
      <c r="I43" s="20"/>
    </row>
    <row r="44" spans="2:9" x14ac:dyDescent="0.2">
      <c r="B44" s="230"/>
      <c r="C44" s="231"/>
      <c r="D44" s="231"/>
      <c r="E44" s="231"/>
      <c r="F44" s="231"/>
      <c r="G44" s="231"/>
      <c r="H44" s="232"/>
      <c r="I44" s="100"/>
    </row>
    <row r="45" spans="2:9" x14ac:dyDescent="0.2">
      <c r="B45" s="233" t="s">
        <v>68</v>
      </c>
      <c r="C45" s="234"/>
      <c r="D45" s="234"/>
      <c r="E45" s="234"/>
      <c r="F45" s="235"/>
      <c r="G45" s="150"/>
      <c r="H45" s="151"/>
      <c r="I45" s="108"/>
    </row>
    <row r="46" spans="2:9" x14ac:dyDescent="0.2">
      <c r="B46" s="96" t="s">
        <v>39</v>
      </c>
      <c r="C46" s="207" t="s">
        <v>69</v>
      </c>
      <c r="D46" s="208"/>
      <c r="E46" s="208"/>
      <c r="F46" s="209"/>
      <c r="G46" s="96" t="s">
        <v>1</v>
      </c>
      <c r="H46" s="96" t="s">
        <v>49</v>
      </c>
      <c r="I46" s="101"/>
    </row>
    <row r="47" spans="2:9" x14ac:dyDescent="0.2">
      <c r="B47" s="16" t="s">
        <v>4</v>
      </c>
      <c r="C47" s="94" t="s">
        <v>30</v>
      </c>
      <c r="D47" s="210" t="s">
        <v>134</v>
      </c>
      <c r="E47" s="211"/>
      <c r="F47" s="212"/>
      <c r="G47" s="21">
        <v>0.2</v>
      </c>
      <c r="H47" s="22">
        <f>TRUNC((H$32+H$43)*$G47,2)</f>
        <v>616.65</v>
      </c>
      <c r="I47" s="107"/>
    </row>
    <row r="48" spans="2:9" x14ac:dyDescent="0.2">
      <c r="B48" s="16" t="s">
        <v>5</v>
      </c>
      <c r="C48" s="82" t="s">
        <v>31</v>
      </c>
      <c r="D48" s="210" t="s">
        <v>135</v>
      </c>
      <c r="E48" s="211"/>
      <c r="F48" s="212"/>
      <c r="G48" s="21">
        <v>2.5000000000000001E-2</v>
      </c>
      <c r="H48" s="22">
        <f>TRUNC((H$32+H$43)*$G48,2)</f>
        <v>77.08</v>
      </c>
      <c r="I48" s="107"/>
    </row>
    <row r="49" spans="2:9" x14ac:dyDescent="0.2">
      <c r="B49" s="223" t="s">
        <v>6</v>
      </c>
      <c r="C49" s="225" t="s">
        <v>103</v>
      </c>
      <c r="D49" s="227" t="s">
        <v>141</v>
      </c>
      <c r="E49" s="10" t="s">
        <v>104</v>
      </c>
      <c r="F49" s="10" t="s">
        <v>102</v>
      </c>
      <c r="G49" s="228">
        <f>E50*F50</f>
        <v>0.03</v>
      </c>
      <c r="H49" s="239">
        <f>TRUNC((H$32+H$43)*$G49,2)</f>
        <v>92.49</v>
      </c>
      <c r="I49" s="110"/>
    </row>
    <row r="50" spans="2:9" x14ac:dyDescent="0.2">
      <c r="B50" s="224"/>
      <c r="C50" s="226"/>
      <c r="D50" s="227"/>
      <c r="E50" s="38">
        <v>0.03</v>
      </c>
      <c r="F50" s="39">
        <v>1</v>
      </c>
      <c r="G50" s="229"/>
      <c r="H50" s="239"/>
      <c r="I50" s="110"/>
    </row>
    <row r="51" spans="2:9" x14ac:dyDescent="0.2">
      <c r="B51" s="16" t="s">
        <v>7</v>
      </c>
      <c r="C51" s="94" t="s">
        <v>29</v>
      </c>
      <c r="D51" s="210" t="s">
        <v>136</v>
      </c>
      <c r="E51" s="211"/>
      <c r="F51" s="212"/>
      <c r="G51" s="21">
        <v>1.4999999999999999E-2</v>
      </c>
      <c r="H51" s="22">
        <f>TRUNC((H$32+H$43)*$G51,2)</f>
        <v>46.24</v>
      </c>
      <c r="I51" s="107"/>
    </row>
    <row r="52" spans="2:9" x14ac:dyDescent="0.2">
      <c r="B52" s="16" t="s">
        <v>8</v>
      </c>
      <c r="C52" s="94" t="s">
        <v>32</v>
      </c>
      <c r="D52" s="210" t="s">
        <v>137</v>
      </c>
      <c r="E52" s="211"/>
      <c r="F52" s="212"/>
      <c r="G52" s="21">
        <v>0.01</v>
      </c>
      <c r="H52" s="22">
        <f>TRUNC((H$32+H$43)*$G52,2)</f>
        <v>30.83</v>
      </c>
      <c r="I52" s="107"/>
    </row>
    <row r="53" spans="2:9" x14ac:dyDescent="0.2">
      <c r="B53" s="16" t="s">
        <v>9</v>
      </c>
      <c r="C53" s="94" t="s">
        <v>33</v>
      </c>
      <c r="D53" s="210" t="s">
        <v>138</v>
      </c>
      <c r="E53" s="211"/>
      <c r="F53" s="212"/>
      <c r="G53" s="21">
        <v>6.0000000000000001E-3</v>
      </c>
      <c r="H53" s="22">
        <f>TRUNC((H$32+H$43)*$G53,2)</f>
        <v>18.489999999999998</v>
      </c>
      <c r="I53" s="107"/>
    </row>
    <row r="54" spans="2:9" x14ac:dyDescent="0.2">
      <c r="B54" s="16" t="s">
        <v>10</v>
      </c>
      <c r="C54" s="94" t="s">
        <v>34</v>
      </c>
      <c r="D54" s="210" t="s">
        <v>139</v>
      </c>
      <c r="E54" s="211"/>
      <c r="F54" s="212"/>
      <c r="G54" s="21">
        <v>2E-3</v>
      </c>
      <c r="H54" s="22">
        <f>TRUNC((H$32+H$43)*$G54,2)</f>
        <v>6.16</v>
      </c>
      <c r="I54" s="107"/>
    </row>
    <row r="55" spans="2:9" x14ac:dyDescent="0.2">
      <c r="B55" s="16" t="s">
        <v>11</v>
      </c>
      <c r="C55" s="94" t="s">
        <v>35</v>
      </c>
      <c r="D55" s="210" t="s">
        <v>140</v>
      </c>
      <c r="E55" s="211"/>
      <c r="F55" s="212"/>
      <c r="G55" s="21">
        <v>0.08</v>
      </c>
      <c r="H55" s="22">
        <f>TRUNC((H$32+H$43)*$G55,2)</f>
        <v>246.66</v>
      </c>
      <c r="I55" s="107"/>
    </row>
    <row r="56" spans="2:9" x14ac:dyDescent="0.2">
      <c r="B56" s="16" t="s">
        <v>142</v>
      </c>
      <c r="C56" s="207" t="s">
        <v>61</v>
      </c>
      <c r="D56" s="208"/>
      <c r="E56" s="208"/>
      <c r="F56" s="209"/>
      <c r="G56" s="24">
        <f>SUM(G47:G55)</f>
        <v>0.36800000000000005</v>
      </c>
      <c r="H56" s="19">
        <f>SUM(H47:H55)</f>
        <v>1134.6000000000001</v>
      </c>
      <c r="I56" s="20"/>
    </row>
    <row r="57" spans="2:9" x14ac:dyDescent="0.2">
      <c r="B57" s="236"/>
      <c r="C57" s="237"/>
      <c r="D57" s="237"/>
      <c r="E57" s="237"/>
      <c r="F57" s="237"/>
      <c r="G57" s="237"/>
      <c r="H57" s="238"/>
      <c r="I57" s="119"/>
    </row>
    <row r="58" spans="2:9" x14ac:dyDescent="0.2">
      <c r="B58" s="233" t="s">
        <v>37</v>
      </c>
      <c r="C58" s="234"/>
      <c r="D58" s="234"/>
      <c r="E58" s="234"/>
      <c r="F58" s="235"/>
      <c r="G58" s="150"/>
      <c r="H58" s="151"/>
      <c r="I58" s="119"/>
    </row>
    <row r="59" spans="2:9" x14ac:dyDescent="0.2">
      <c r="B59" s="96" t="s">
        <v>40</v>
      </c>
      <c r="C59" s="207" t="s">
        <v>41</v>
      </c>
      <c r="D59" s="208"/>
      <c r="E59" s="208"/>
      <c r="F59" s="208"/>
      <c r="G59" s="83"/>
      <c r="H59" s="96" t="s">
        <v>49</v>
      </c>
      <c r="I59" s="101"/>
    </row>
    <row r="60" spans="2:9" x14ac:dyDescent="0.2">
      <c r="B60" s="16" t="s">
        <v>4</v>
      </c>
      <c r="C60" s="94" t="s">
        <v>47</v>
      </c>
      <c r="D60" s="173" t="s">
        <v>206</v>
      </c>
      <c r="E60" s="174"/>
      <c r="F60" s="174"/>
      <c r="G60" s="175"/>
      <c r="H60" s="40">
        <f>TRUNC((10.71*2*22)-(H$25*6%),2)</f>
        <v>316.35000000000002</v>
      </c>
      <c r="I60" s="120"/>
    </row>
    <row r="61" spans="2:9" x14ac:dyDescent="0.2">
      <c r="B61" s="16" t="s">
        <v>5</v>
      </c>
      <c r="C61" s="94" t="s">
        <v>48</v>
      </c>
      <c r="D61" s="173" t="s">
        <v>145</v>
      </c>
      <c r="E61" s="174" t="s">
        <v>218</v>
      </c>
      <c r="F61" s="174"/>
      <c r="G61" s="175"/>
      <c r="H61" s="40">
        <f>(20.76-1.39)*22</f>
        <v>426.14000000000004</v>
      </c>
      <c r="I61" s="120"/>
    </row>
    <row r="62" spans="2:9" x14ac:dyDescent="0.2">
      <c r="B62" s="16" t="s">
        <v>6</v>
      </c>
      <c r="C62" s="94" t="s">
        <v>200</v>
      </c>
      <c r="D62" s="173" t="s">
        <v>217</v>
      </c>
      <c r="E62" s="174"/>
      <c r="F62" s="174"/>
      <c r="G62" s="175"/>
      <c r="H62" s="40">
        <v>144.68</v>
      </c>
      <c r="I62" s="120"/>
    </row>
    <row r="63" spans="2:9" x14ac:dyDescent="0.2">
      <c r="B63" s="16" t="s">
        <v>143</v>
      </c>
      <c r="C63" s="207" t="s">
        <v>61</v>
      </c>
      <c r="D63" s="208"/>
      <c r="E63" s="208"/>
      <c r="F63" s="208"/>
      <c r="G63" s="83"/>
      <c r="H63" s="19">
        <f>SUM(H60:H62)</f>
        <v>887.17000000000007</v>
      </c>
      <c r="I63" s="20"/>
    </row>
    <row r="64" spans="2:9" x14ac:dyDescent="0.2">
      <c r="B64" s="230"/>
      <c r="C64" s="231"/>
      <c r="D64" s="231"/>
      <c r="E64" s="231"/>
      <c r="F64" s="231"/>
      <c r="G64" s="231"/>
      <c r="H64" s="232"/>
      <c r="I64" s="100"/>
    </row>
    <row r="65" spans="2:9" x14ac:dyDescent="0.2">
      <c r="B65" s="245" t="s">
        <v>71</v>
      </c>
      <c r="C65" s="246"/>
      <c r="D65" s="246"/>
      <c r="E65" s="246"/>
      <c r="F65" s="246"/>
      <c r="G65" s="154"/>
      <c r="H65" s="154"/>
      <c r="I65" s="100"/>
    </row>
    <row r="66" spans="2:9" x14ac:dyDescent="0.2">
      <c r="B66" s="96">
        <v>2</v>
      </c>
      <c r="C66" s="207" t="s">
        <v>70</v>
      </c>
      <c r="D66" s="208"/>
      <c r="E66" s="208"/>
      <c r="F66" s="208"/>
      <c r="G66" s="83"/>
      <c r="H66" s="96" t="s">
        <v>49</v>
      </c>
      <c r="I66" s="101"/>
    </row>
    <row r="67" spans="2:9" x14ac:dyDescent="0.2">
      <c r="B67" s="16" t="s">
        <v>38</v>
      </c>
      <c r="C67" s="84" t="s">
        <v>27</v>
      </c>
      <c r="D67" s="173" t="s">
        <v>132</v>
      </c>
      <c r="E67" s="174"/>
      <c r="F67" s="174"/>
      <c r="G67" s="175"/>
      <c r="H67" s="22">
        <f>H43</f>
        <v>501.92</v>
      </c>
      <c r="I67" s="107"/>
    </row>
    <row r="68" spans="2:9" x14ac:dyDescent="0.2">
      <c r="B68" s="16" t="s">
        <v>39</v>
      </c>
      <c r="C68" s="84" t="s">
        <v>28</v>
      </c>
      <c r="D68" s="173" t="s">
        <v>142</v>
      </c>
      <c r="E68" s="174"/>
      <c r="F68" s="174"/>
      <c r="G68" s="175"/>
      <c r="H68" s="22">
        <f>H56</f>
        <v>1134.6000000000001</v>
      </c>
      <c r="I68" s="107"/>
    </row>
    <row r="69" spans="2:9" x14ac:dyDescent="0.2">
      <c r="B69" s="16" t="s">
        <v>40</v>
      </c>
      <c r="C69" s="84" t="s">
        <v>41</v>
      </c>
      <c r="D69" s="173" t="s">
        <v>143</v>
      </c>
      <c r="E69" s="174"/>
      <c r="F69" s="174"/>
      <c r="G69" s="175"/>
      <c r="H69" s="22">
        <f>H63</f>
        <v>887.17000000000007</v>
      </c>
      <c r="I69" s="107"/>
    </row>
    <row r="70" spans="2:9" x14ac:dyDescent="0.2">
      <c r="B70" s="16" t="s">
        <v>144</v>
      </c>
      <c r="C70" s="207" t="s">
        <v>61</v>
      </c>
      <c r="D70" s="208"/>
      <c r="E70" s="208"/>
      <c r="F70" s="208"/>
      <c r="G70" s="83"/>
      <c r="H70" s="19">
        <f>SUM(H67:H69)</f>
        <v>2523.6900000000005</v>
      </c>
      <c r="I70" s="20"/>
    </row>
    <row r="71" spans="2:9" x14ac:dyDescent="0.2">
      <c r="B71" s="231"/>
      <c r="C71" s="231"/>
      <c r="D71" s="231"/>
      <c r="E71" s="231"/>
      <c r="F71" s="231"/>
      <c r="G71" s="231"/>
      <c r="H71" s="231"/>
      <c r="I71" s="101"/>
    </row>
    <row r="72" spans="2:9" x14ac:dyDescent="0.2">
      <c r="B72" s="100"/>
      <c r="C72" s="100"/>
      <c r="D72" s="100"/>
      <c r="E72" s="100"/>
      <c r="F72" s="100"/>
      <c r="G72" s="100"/>
      <c r="H72" s="100"/>
      <c r="I72" s="101"/>
    </row>
    <row r="73" spans="2:9" x14ac:dyDescent="0.2">
      <c r="B73" s="205" t="s">
        <v>72</v>
      </c>
      <c r="C73" s="206"/>
      <c r="D73" s="206"/>
      <c r="E73" s="206"/>
      <c r="F73" s="242"/>
      <c r="G73" s="147"/>
      <c r="H73" s="148"/>
      <c r="I73" s="101"/>
    </row>
    <row r="74" spans="2:9" x14ac:dyDescent="0.2">
      <c r="B74" s="96">
        <v>3</v>
      </c>
      <c r="C74" s="207" t="s">
        <v>62</v>
      </c>
      <c r="D74" s="208"/>
      <c r="E74" s="208"/>
      <c r="F74" s="209"/>
      <c r="G74" s="96" t="s">
        <v>1</v>
      </c>
      <c r="H74" s="96" t="s">
        <v>49</v>
      </c>
      <c r="I74" s="101"/>
    </row>
    <row r="75" spans="2:9" x14ac:dyDescent="0.2">
      <c r="B75" s="16" t="s">
        <v>4</v>
      </c>
      <c r="C75" s="85" t="s">
        <v>97</v>
      </c>
      <c r="D75" s="173" t="s">
        <v>160</v>
      </c>
      <c r="E75" s="174"/>
      <c r="F75" s="175"/>
      <c r="G75" s="41">
        <v>1</v>
      </c>
      <c r="H75" s="25">
        <f>TRUNC((H$76+H$77)*$G75,2)</f>
        <v>423.72</v>
      </c>
      <c r="I75" s="20"/>
    </row>
    <row r="76" spans="2:9" x14ac:dyDescent="0.2">
      <c r="B76" s="16" t="s">
        <v>5</v>
      </c>
      <c r="C76" s="94" t="s">
        <v>98</v>
      </c>
      <c r="D76" s="173" t="s">
        <v>180</v>
      </c>
      <c r="E76" s="174"/>
      <c r="F76" s="175"/>
      <c r="G76" s="26"/>
      <c r="H76" s="22">
        <f>TRUNC((H$32+H$43+H$55+H$63-H60)/12,2)</f>
        <v>325.06</v>
      </c>
      <c r="I76" s="107"/>
    </row>
    <row r="77" spans="2:9" x14ac:dyDescent="0.2">
      <c r="B77" s="16" t="s">
        <v>6</v>
      </c>
      <c r="C77" s="94" t="s">
        <v>99</v>
      </c>
      <c r="D77" s="210" t="s">
        <v>172</v>
      </c>
      <c r="E77" s="212"/>
      <c r="F77" s="43">
        <v>0.4</v>
      </c>
      <c r="G77" s="26"/>
      <c r="H77" s="22">
        <f>TRUNC(H$55*$F77,2)</f>
        <v>98.66</v>
      </c>
      <c r="I77" s="107"/>
    </row>
    <row r="78" spans="2:9" x14ac:dyDescent="0.2">
      <c r="B78" s="16" t="s">
        <v>7</v>
      </c>
      <c r="C78" s="85" t="s">
        <v>100</v>
      </c>
      <c r="D78" s="173" t="s">
        <v>161</v>
      </c>
      <c r="E78" s="174"/>
      <c r="F78" s="175"/>
      <c r="G78" s="41">
        <v>1</v>
      </c>
      <c r="H78" s="88">
        <f>IF($G78&gt;=1,(TRUNC(H$79*$G78,2)),"ERRO")</f>
        <v>98.66</v>
      </c>
      <c r="I78" s="109"/>
    </row>
    <row r="79" spans="2:9" x14ac:dyDescent="0.2">
      <c r="B79" s="16" t="s">
        <v>8</v>
      </c>
      <c r="C79" s="94" t="s">
        <v>101</v>
      </c>
      <c r="D79" s="210" t="s">
        <v>172</v>
      </c>
      <c r="E79" s="212"/>
      <c r="F79" s="43">
        <v>0.4</v>
      </c>
      <c r="G79" s="26"/>
      <c r="H79" s="22">
        <f>TRUNC(H$55*$F79,2)</f>
        <v>98.66</v>
      </c>
      <c r="I79" s="107"/>
    </row>
    <row r="80" spans="2:9" x14ac:dyDescent="0.2">
      <c r="B80" s="16" t="s">
        <v>9</v>
      </c>
      <c r="C80" s="85" t="s">
        <v>177</v>
      </c>
      <c r="D80" s="240" t="s">
        <v>198</v>
      </c>
      <c r="E80" s="241"/>
      <c r="F80" s="42">
        <v>12</v>
      </c>
      <c r="G80" s="42">
        <v>3</v>
      </c>
      <c r="H80" s="22">
        <f>TRUNC(((H$32+H$43+H$56)/30)*$G80/$F80,2)</f>
        <v>35.14</v>
      </c>
      <c r="I80" s="107"/>
    </row>
    <row r="81" spans="2:9" x14ac:dyDescent="0.2">
      <c r="B81" s="16" t="s">
        <v>147</v>
      </c>
      <c r="C81" s="207" t="s">
        <v>61</v>
      </c>
      <c r="D81" s="208"/>
      <c r="E81" s="208"/>
      <c r="F81" s="208"/>
      <c r="G81" s="83"/>
      <c r="H81" s="19">
        <f>H$75+H$78+H$80</f>
        <v>557.52</v>
      </c>
      <c r="I81" s="20"/>
    </row>
    <row r="82" spans="2:9" x14ac:dyDescent="0.2">
      <c r="B82" s="97"/>
      <c r="C82" s="97"/>
      <c r="D82" s="97"/>
      <c r="E82" s="97"/>
      <c r="F82" s="97"/>
      <c r="G82" s="97"/>
      <c r="H82" s="97"/>
      <c r="I82" s="97"/>
    </row>
    <row r="83" spans="2:9" x14ac:dyDescent="0.2">
      <c r="B83" s="100"/>
      <c r="C83" s="100"/>
      <c r="D83" s="100"/>
      <c r="E83" s="100"/>
      <c r="F83" s="100"/>
      <c r="G83" s="100"/>
      <c r="H83" s="100"/>
      <c r="I83" s="101"/>
    </row>
    <row r="84" spans="2:9" x14ac:dyDescent="0.2">
      <c r="B84" s="205" t="s">
        <v>73</v>
      </c>
      <c r="C84" s="206"/>
      <c r="D84" s="206"/>
      <c r="E84" s="206"/>
      <c r="F84" s="242"/>
      <c r="G84" s="147"/>
      <c r="H84" s="148"/>
      <c r="I84" s="101"/>
    </row>
    <row r="85" spans="2:9" x14ac:dyDescent="0.2">
      <c r="B85" s="243" t="s">
        <v>91</v>
      </c>
      <c r="C85" s="244"/>
      <c r="D85" s="244"/>
      <c r="E85" s="244"/>
      <c r="F85" s="244"/>
      <c r="G85" s="155"/>
      <c r="H85" s="156"/>
      <c r="I85" s="101"/>
    </row>
    <row r="86" spans="2:9" x14ac:dyDescent="0.2">
      <c r="B86" s="96" t="s">
        <v>14</v>
      </c>
      <c r="C86" s="207" t="s">
        <v>92</v>
      </c>
      <c r="D86" s="208"/>
      <c r="E86" s="208"/>
      <c r="F86" s="209"/>
      <c r="G86" s="96" t="s">
        <v>105</v>
      </c>
      <c r="H86" s="96" t="s">
        <v>49</v>
      </c>
      <c r="I86" s="101"/>
    </row>
    <row r="87" spans="2:9" x14ac:dyDescent="0.2">
      <c r="B87" s="16" t="s">
        <v>4</v>
      </c>
      <c r="C87" s="94" t="s">
        <v>111</v>
      </c>
      <c r="D87" s="173" t="s">
        <v>153</v>
      </c>
      <c r="E87" s="174"/>
      <c r="F87" s="175"/>
      <c r="G87" s="42">
        <v>30</v>
      </c>
      <c r="H87" s="22">
        <f>TRUNC((H$89*$G87)/12,2)</f>
        <v>471.87</v>
      </c>
      <c r="I87" s="107"/>
    </row>
    <row r="88" spans="2:9" ht="22.5" x14ac:dyDescent="0.2">
      <c r="B88" s="16" t="s">
        <v>5</v>
      </c>
      <c r="C88" s="86" t="s">
        <v>159</v>
      </c>
      <c r="D88" s="176" t="s">
        <v>162</v>
      </c>
      <c r="E88" s="177"/>
      <c r="F88" s="178"/>
      <c r="G88" s="61">
        <v>8</v>
      </c>
      <c r="H88" s="22">
        <f>TRUNC((H$89*$G88)/12,2)</f>
        <v>125.83</v>
      </c>
      <c r="I88" s="107"/>
    </row>
    <row r="89" spans="2:9" x14ac:dyDescent="0.2">
      <c r="B89" s="16" t="s">
        <v>6</v>
      </c>
      <c r="C89" s="94" t="s">
        <v>113</v>
      </c>
      <c r="D89" s="173" t="s">
        <v>146</v>
      </c>
      <c r="E89" s="174"/>
      <c r="F89" s="174"/>
      <c r="G89" s="175"/>
      <c r="H89" s="22">
        <f>TRUNC((H$32+H$70+H$81)/30,2)</f>
        <v>188.75</v>
      </c>
      <c r="I89" s="107"/>
    </row>
    <row r="90" spans="2:9" x14ac:dyDescent="0.2">
      <c r="B90" s="16" t="s">
        <v>148</v>
      </c>
      <c r="C90" s="207" t="s">
        <v>61</v>
      </c>
      <c r="D90" s="208"/>
      <c r="E90" s="208"/>
      <c r="F90" s="208"/>
      <c r="G90" s="83"/>
      <c r="H90" s="19">
        <f>TRUNC(H$87+H$88,2)</f>
        <v>597.70000000000005</v>
      </c>
      <c r="I90" s="20"/>
    </row>
    <row r="91" spans="2:9" x14ac:dyDescent="0.2">
      <c r="B91" s="75"/>
      <c r="C91" s="76"/>
      <c r="D91" s="76"/>
      <c r="E91" s="76"/>
      <c r="F91" s="76"/>
      <c r="G91" s="76"/>
      <c r="H91" s="77"/>
      <c r="I91" s="27"/>
    </row>
    <row r="92" spans="2:9" x14ac:dyDescent="0.2">
      <c r="B92" s="245" t="s">
        <v>93</v>
      </c>
      <c r="C92" s="246"/>
      <c r="D92" s="246"/>
      <c r="E92" s="246"/>
      <c r="F92" s="246"/>
      <c r="G92" s="157"/>
      <c r="H92" s="158"/>
      <c r="I92" s="101"/>
    </row>
    <row r="93" spans="2:9" x14ac:dyDescent="0.2">
      <c r="B93" s="96" t="s">
        <v>15</v>
      </c>
      <c r="C93" s="207" t="s">
        <v>94</v>
      </c>
      <c r="D93" s="208"/>
      <c r="E93" s="208"/>
      <c r="F93" s="209"/>
      <c r="G93" s="96" t="s">
        <v>105</v>
      </c>
      <c r="H93" s="96" t="s">
        <v>49</v>
      </c>
      <c r="I93" s="101"/>
    </row>
    <row r="94" spans="2:9" ht="22.5" x14ac:dyDescent="0.2">
      <c r="B94" s="16" t="s">
        <v>4</v>
      </c>
      <c r="C94" s="86" t="s">
        <v>95</v>
      </c>
      <c r="D94" s="173" t="s">
        <v>182</v>
      </c>
      <c r="E94" s="174"/>
      <c r="F94" s="174"/>
      <c r="G94" s="42"/>
      <c r="H94" s="22">
        <f>TRUNC(((H$32+H70+H81)/220)*(1+50%)*G94,2)</f>
        <v>0</v>
      </c>
      <c r="I94" s="107"/>
    </row>
    <row r="95" spans="2:9" x14ac:dyDescent="0.2">
      <c r="B95" s="16" t="s">
        <v>149</v>
      </c>
      <c r="C95" s="207" t="s">
        <v>61</v>
      </c>
      <c r="D95" s="208"/>
      <c r="E95" s="208"/>
      <c r="F95" s="208"/>
      <c r="G95" s="133"/>
      <c r="H95" s="19">
        <f>H94</f>
        <v>0</v>
      </c>
      <c r="I95" s="107"/>
    </row>
    <row r="96" spans="2:9" x14ac:dyDescent="0.2">
      <c r="B96" s="99"/>
      <c r="C96" s="98"/>
      <c r="D96" s="98"/>
      <c r="E96" s="98"/>
      <c r="F96" s="98"/>
      <c r="G96" s="100"/>
      <c r="H96" s="172"/>
      <c r="I96" s="123"/>
    </row>
    <row r="97" spans="2:9" x14ac:dyDescent="0.2">
      <c r="B97" s="245" t="s">
        <v>74</v>
      </c>
      <c r="C97" s="246"/>
      <c r="D97" s="246"/>
      <c r="E97" s="246"/>
      <c r="F97" s="246"/>
      <c r="G97" s="157"/>
      <c r="H97" s="158"/>
      <c r="I97" s="101"/>
    </row>
    <row r="98" spans="2:9" x14ac:dyDescent="0.2">
      <c r="B98" s="96">
        <v>4</v>
      </c>
      <c r="C98" s="207" t="s">
        <v>75</v>
      </c>
      <c r="D98" s="208"/>
      <c r="E98" s="208"/>
      <c r="F98" s="208"/>
      <c r="G98" s="209"/>
      <c r="H98" s="96" t="s">
        <v>49</v>
      </c>
      <c r="I98" s="101"/>
    </row>
    <row r="99" spans="2:9" x14ac:dyDescent="0.2">
      <c r="B99" s="16" t="s">
        <v>14</v>
      </c>
      <c r="C99" s="94" t="s">
        <v>42</v>
      </c>
      <c r="D99" s="173" t="s">
        <v>148</v>
      </c>
      <c r="E99" s="174"/>
      <c r="F99" s="174"/>
      <c r="G99" s="175"/>
      <c r="H99" s="22">
        <f>H90</f>
        <v>597.70000000000005</v>
      </c>
      <c r="I99" s="107"/>
    </row>
    <row r="100" spans="2:9" x14ac:dyDescent="0.2">
      <c r="B100" s="16" t="s">
        <v>15</v>
      </c>
      <c r="C100" s="94" t="s">
        <v>44</v>
      </c>
      <c r="D100" s="173" t="s">
        <v>149</v>
      </c>
      <c r="E100" s="174"/>
      <c r="F100" s="174"/>
      <c r="G100" s="175"/>
      <c r="H100" s="22">
        <f>H95</f>
        <v>0</v>
      </c>
      <c r="I100" s="107"/>
    </row>
    <row r="101" spans="2:9" x14ac:dyDescent="0.2">
      <c r="B101" s="16" t="s">
        <v>150</v>
      </c>
      <c r="C101" s="207" t="s">
        <v>61</v>
      </c>
      <c r="D101" s="208"/>
      <c r="E101" s="208"/>
      <c r="F101" s="208"/>
      <c r="G101" s="83"/>
      <c r="H101" s="19">
        <f>SUM(H99:H100)</f>
        <v>597.70000000000005</v>
      </c>
      <c r="I101" s="20"/>
    </row>
    <row r="102" spans="2:9" x14ac:dyDescent="0.2">
      <c r="B102" s="100"/>
      <c r="C102" s="100"/>
      <c r="D102" s="100"/>
      <c r="E102" s="100"/>
      <c r="F102" s="100"/>
      <c r="G102" s="100"/>
      <c r="H102" s="100"/>
      <c r="I102" s="101"/>
    </row>
    <row r="103" spans="2:9" x14ac:dyDescent="0.2">
      <c r="B103" s="100"/>
      <c r="C103" s="100"/>
      <c r="D103" s="100"/>
      <c r="E103" s="100"/>
      <c r="F103" s="100"/>
      <c r="G103" s="100"/>
      <c r="H103" s="100"/>
      <c r="I103" s="101"/>
    </row>
    <row r="104" spans="2:9" x14ac:dyDescent="0.2">
      <c r="B104" s="205" t="s">
        <v>76</v>
      </c>
      <c r="C104" s="206"/>
      <c r="D104" s="206"/>
      <c r="E104" s="206"/>
      <c r="F104" s="242"/>
      <c r="G104" s="147"/>
      <c r="H104" s="148"/>
      <c r="I104" s="101"/>
    </row>
    <row r="105" spans="2:9" x14ac:dyDescent="0.2">
      <c r="B105" s="96">
        <v>5</v>
      </c>
      <c r="C105" s="247" t="s">
        <v>63</v>
      </c>
      <c r="D105" s="248"/>
      <c r="E105" s="248"/>
      <c r="F105" s="248"/>
      <c r="G105" s="249"/>
      <c r="H105" s="96" t="s">
        <v>49</v>
      </c>
      <c r="I105" s="101"/>
    </row>
    <row r="106" spans="2:9" x14ac:dyDescent="0.2">
      <c r="B106" s="16" t="s">
        <v>4</v>
      </c>
      <c r="C106" s="69" t="s">
        <v>45</v>
      </c>
      <c r="D106" s="70"/>
      <c r="E106" s="70"/>
      <c r="F106" s="70"/>
      <c r="G106" s="71"/>
      <c r="H106" s="72">
        <v>0</v>
      </c>
      <c r="I106" s="107"/>
    </row>
    <row r="107" spans="2:9" x14ac:dyDescent="0.2">
      <c r="B107" s="16" t="s">
        <v>5</v>
      </c>
      <c r="C107" s="69" t="s">
        <v>12</v>
      </c>
      <c r="D107" s="70"/>
      <c r="E107" s="70"/>
      <c r="F107" s="70"/>
      <c r="G107" s="71"/>
      <c r="H107" s="72">
        <v>0</v>
      </c>
      <c r="I107" s="107"/>
    </row>
    <row r="108" spans="2:9" x14ac:dyDescent="0.2">
      <c r="B108" s="16" t="s">
        <v>6</v>
      </c>
      <c r="C108" s="69" t="s">
        <v>13</v>
      </c>
      <c r="D108" s="70"/>
      <c r="E108" s="70"/>
      <c r="F108" s="70"/>
      <c r="G108" s="71"/>
      <c r="H108" s="72">
        <v>0</v>
      </c>
      <c r="I108" s="107"/>
    </row>
    <row r="109" spans="2:9" x14ac:dyDescent="0.2">
      <c r="B109" s="16" t="s">
        <v>7</v>
      </c>
      <c r="C109" s="69" t="s">
        <v>2</v>
      </c>
      <c r="D109" s="70"/>
      <c r="E109" s="70"/>
      <c r="F109" s="70"/>
      <c r="G109" s="71"/>
      <c r="H109" s="72"/>
      <c r="I109" s="107"/>
    </row>
    <row r="110" spans="2:9" x14ac:dyDescent="0.2">
      <c r="B110" s="16" t="s">
        <v>151</v>
      </c>
      <c r="C110" s="207" t="s">
        <v>61</v>
      </c>
      <c r="D110" s="208"/>
      <c r="E110" s="208"/>
      <c r="F110" s="208"/>
      <c r="G110" s="83"/>
      <c r="H110" s="19">
        <f>SUM(H106:H109)</f>
        <v>0</v>
      </c>
      <c r="I110" s="20"/>
    </row>
    <row r="111" spans="2:9" x14ac:dyDescent="0.2">
      <c r="B111" s="100"/>
      <c r="C111" s="100"/>
      <c r="D111" s="100"/>
      <c r="E111" s="100"/>
      <c r="F111" s="100"/>
      <c r="G111" s="78"/>
      <c r="H111" s="73"/>
      <c r="I111" s="20"/>
    </row>
    <row r="112" spans="2:9" x14ac:dyDescent="0.2">
      <c r="B112" s="100"/>
      <c r="C112" s="100"/>
      <c r="D112" s="100"/>
      <c r="E112" s="100"/>
      <c r="F112" s="100"/>
      <c r="G112" s="100"/>
      <c r="H112" s="100"/>
      <c r="I112" s="101"/>
    </row>
    <row r="113" spans="2:9" x14ac:dyDescent="0.2">
      <c r="B113" s="205" t="s">
        <v>77</v>
      </c>
      <c r="C113" s="206"/>
      <c r="D113" s="206"/>
      <c r="E113" s="206"/>
      <c r="F113" s="242"/>
      <c r="G113" s="147"/>
      <c r="H113" s="148"/>
      <c r="I113" s="101"/>
    </row>
    <row r="114" spans="2:9" x14ac:dyDescent="0.2">
      <c r="B114" s="96">
        <v>6</v>
      </c>
      <c r="C114" s="207" t="s">
        <v>64</v>
      </c>
      <c r="D114" s="208"/>
      <c r="E114" s="208"/>
      <c r="F114" s="209"/>
      <c r="G114" s="96" t="s">
        <v>1</v>
      </c>
      <c r="H114" s="96" t="s">
        <v>49</v>
      </c>
      <c r="I114" s="101"/>
    </row>
    <row r="115" spans="2:9" x14ac:dyDescent="0.2">
      <c r="B115" s="16" t="s">
        <v>4</v>
      </c>
      <c r="C115" s="94" t="s">
        <v>16</v>
      </c>
      <c r="D115" s="210" t="s">
        <v>163</v>
      </c>
      <c r="E115" s="211"/>
      <c r="F115" s="212"/>
      <c r="G115" s="50">
        <v>0.05</v>
      </c>
      <c r="H115" s="22">
        <f>TRUNC(H$132*$G115,2)</f>
        <v>313.01</v>
      </c>
      <c r="I115" s="107"/>
    </row>
    <row r="116" spans="2:9" x14ac:dyDescent="0.2">
      <c r="B116" s="16" t="s">
        <v>5</v>
      </c>
      <c r="C116" s="94" t="s">
        <v>3</v>
      </c>
      <c r="D116" s="210" t="s">
        <v>164</v>
      </c>
      <c r="E116" s="211"/>
      <c r="F116" s="212"/>
      <c r="G116" s="50">
        <v>0.1</v>
      </c>
      <c r="H116" s="22">
        <f>TRUNC((H$132+H$115)*$G116,2)</f>
        <v>657.32</v>
      </c>
      <c r="I116" s="107"/>
    </row>
    <row r="117" spans="2:9" x14ac:dyDescent="0.2">
      <c r="B117" s="16" t="s">
        <v>6</v>
      </c>
      <c r="C117" s="94" t="s">
        <v>118</v>
      </c>
      <c r="D117" s="210" t="s">
        <v>165</v>
      </c>
      <c r="E117" s="211"/>
      <c r="F117" s="212"/>
      <c r="G117" s="52">
        <f>1-(G118+G119+G120)</f>
        <v>0.88749999999999996</v>
      </c>
      <c r="H117" s="28">
        <f>TRUNC(((H$132+H$115+H$116)/$G117),2)</f>
        <v>8147.16</v>
      </c>
      <c r="I117" s="110"/>
    </row>
    <row r="118" spans="2:9" x14ac:dyDescent="0.2">
      <c r="B118" s="16" t="s">
        <v>21</v>
      </c>
      <c r="C118" s="94" t="s">
        <v>18</v>
      </c>
      <c r="D118" s="210" t="s">
        <v>166</v>
      </c>
      <c r="E118" s="211"/>
      <c r="F118" s="212"/>
      <c r="G118" s="51">
        <v>1.6500000000000001E-2</v>
      </c>
      <c r="H118" s="22">
        <f>TRUNC(H$117*$G118,2)</f>
        <v>134.41999999999999</v>
      </c>
      <c r="I118" s="107"/>
    </row>
    <row r="119" spans="2:9" x14ac:dyDescent="0.2">
      <c r="B119" s="16" t="s">
        <v>22</v>
      </c>
      <c r="C119" s="94" t="s">
        <v>19</v>
      </c>
      <c r="D119" s="210" t="s">
        <v>166</v>
      </c>
      <c r="E119" s="211"/>
      <c r="F119" s="212"/>
      <c r="G119" s="51">
        <v>7.5999999999999998E-2</v>
      </c>
      <c r="H119" s="22">
        <f>TRUNC(H$117*$G119,2)</f>
        <v>619.17999999999995</v>
      </c>
      <c r="I119" s="107"/>
    </row>
    <row r="120" spans="2:9" x14ac:dyDescent="0.2">
      <c r="B120" s="16" t="s">
        <v>23</v>
      </c>
      <c r="C120" s="94" t="s">
        <v>20</v>
      </c>
      <c r="D120" s="210" t="s">
        <v>166</v>
      </c>
      <c r="E120" s="211"/>
      <c r="F120" s="212"/>
      <c r="G120" s="51">
        <v>0.02</v>
      </c>
      <c r="H120" s="22">
        <f>TRUNC(H$117*$G120,2)</f>
        <v>162.94</v>
      </c>
      <c r="I120" s="107"/>
    </row>
    <row r="121" spans="2:9" x14ac:dyDescent="0.2">
      <c r="B121" s="16" t="s">
        <v>152</v>
      </c>
      <c r="C121" s="90" t="s">
        <v>61</v>
      </c>
      <c r="D121" s="250" t="s">
        <v>154</v>
      </c>
      <c r="E121" s="250"/>
      <c r="F121" s="250"/>
      <c r="G121" s="171"/>
      <c r="H121" s="19">
        <f>SUM(H115:H120)-H117</f>
        <v>1886.8700000000008</v>
      </c>
      <c r="I121" s="20"/>
    </row>
    <row r="122" spans="2:9" x14ac:dyDescent="0.2">
      <c r="B122" s="67"/>
      <c r="C122" s="67"/>
      <c r="D122" s="67"/>
      <c r="E122" s="67"/>
      <c r="F122" s="67"/>
      <c r="G122" s="67"/>
      <c r="H122" s="79"/>
      <c r="I122" s="29"/>
    </row>
    <row r="123" spans="2:9" x14ac:dyDescent="0.2">
      <c r="B123" s="251" t="s">
        <v>193</v>
      </c>
      <c r="C123" s="251"/>
      <c r="D123" s="251"/>
      <c r="E123" s="251"/>
      <c r="F123" s="251"/>
      <c r="G123" s="251"/>
      <c r="H123" s="251"/>
      <c r="I123" s="117"/>
    </row>
    <row r="124" spans="2:9" x14ac:dyDescent="0.2">
      <c r="B124" s="93"/>
      <c r="C124" s="93"/>
      <c r="D124" s="93"/>
      <c r="E124" s="93"/>
      <c r="F124" s="93"/>
      <c r="G124" s="93"/>
      <c r="H124" s="93"/>
      <c r="I124" s="117"/>
    </row>
    <row r="125" spans="2:9" x14ac:dyDescent="0.2">
      <c r="B125" s="205" t="s">
        <v>194</v>
      </c>
      <c r="C125" s="206"/>
      <c r="D125" s="206"/>
      <c r="E125" s="206"/>
      <c r="F125" s="206"/>
      <c r="G125" s="165"/>
      <c r="H125" s="148"/>
      <c r="I125" s="101"/>
    </row>
    <row r="126" spans="2:9" x14ac:dyDescent="0.2">
      <c r="B126" s="163"/>
      <c r="C126" s="252" t="s">
        <v>119</v>
      </c>
      <c r="D126" s="253"/>
      <c r="E126" s="253"/>
      <c r="F126" s="253"/>
      <c r="G126" s="164"/>
      <c r="H126" s="146" t="s">
        <v>49</v>
      </c>
      <c r="I126" s="101"/>
    </row>
    <row r="127" spans="2:9" x14ac:dyDescent="0.2">
      <c r="B127" s="16" t="s">
        <v>4</v>
      </c>
      <c r="C127" s="86" t="s">
        <v>79</v>
      </c>
      <c r="D127" s="173" t="s">
        <v>130</v>
      </c>
      <c r="E127" s="174"/>
      <c r="F127" s="174"/>
      <c r="G127" s="175"/>
      <c r="H127" s="22">
        <f>H32</f>
        <v>2581.37</v>
      </c>
      <c r="I127" s="107"/>
    </row>
    <row r="128" spans="2:9" ht="22.5" x14ac:dyDescent="0.2">
      <c r="B128" s="16" t="s">
        <v>5</v>
      </c>
      <c r="C128" s="86" t="s">
        <v>80</v>
      </c>
      <c r="D128" s="173" t="s">
        <v>144</v>
      </c>
      <c r="E128" s="174"/>
      <c r="F128" s="174"/>
      <c r="G128" s="175"/>
      <c r="H128" s="22">
        <f>H70</f>
        <v>2523.6900000000005</v>
      </c>
      <c r="I128" s="107"/>
    </row>
    <row r="129" spans="2:9" x14ac:dyDescent="0.2">
      <c r="B129" s="16" t="s">
        <v>6</v>
      </c>
      <c r="C129" s="86" t="s">
        <v>81</v>
      </c>
      <c r="D129" s="173" t="s">
        <v>147</v>
      </c>
      <c r="E129" s="174"/>
      <c r="F129" s="174"/>
      <c r="G129" s="175"/>
      <c r="H129" s="22">
        <f>H81</f>
        <v>557.52</v>
      </c>
      <c r="I129" s="107"/>
    </row>
    <row r="130" spans="2:9" ht="22.5" x14ac:dyDescent="0.2">
      <c r="B130" s="16" t="s">
        <v>7</v>
      </c>
      <c r="C130" s="86" t="s">
        <v>43</v>
      </c>
      <c r="D130" s="173" t="s">
        <v>150</v>
      </c>
      <c r="E130" s="174"/>
      <c r="F130" s="174"/>
      <c r="G130" s="175"/>
      <c r="H130" s="22">
        <f>H101</f>
        <v>597.70000000000005</v>
      </c>
      <c r="I130" s="107"/>
    </row>
    <row r="131" spans="2:9" x14ac:dyDescent="0.2">
      <c r="B131" s="16" t="s">
        <v>8</v>
      </c>
      <c r="C131" s="86" t="s">
        <v>82</v>
      </c>
      <c r="D131" s="173" t="s">
        <v>151</v>
      </c>
      <c r="E131" s="174"/>
      <c r="F131" s="174"/>
      <c r="G131" s="175"/>
      <c r="H131" s="22">
        <f>H110</f>
        <v>0</v>
      </c>
      <c r="I131" s="107"/>
    </row>
    <row r="132" spans="2:9" x14ac:dyDescent="0.2">
      <c r="B132" s="92" t="s">
        <v>9</v>
      </c>
      <c r="C132" s="85" t="s">
        <v>46</v>
      </c>
      <c r="D132" s="179" t="s">
        <v>170</v>
      </c>
      <c r="E132" s="180"/>
      <c r="F132" s="180"/>
      <c r="G132" s="181"/>
      <c r="H132" s="25">
        <f>SUM(H127:H131)</f>
        <v>6260.28</v>
      </c>
      <c r="I132" s="20"/>
    </row>
    <row r="133" spans="2:9" x14ac:dyDescent="0.2">
      <c r="B133" s="16" t="s">
        <v>10</v>
      </c>
      <c r="C133" s="94" t="s">
        <v>83</v>
      </c>
      <c r="D133" s="173" t="s">
        <v>152</v>
      </c>
      <c r="E133" s="174"/>
      <c r="F133" s="174"/>
      <c r="G133" s="175"/>
      <c r="H133" s="22">
        <f>H121</f>
        <v>1886.8700000000008</v>
      </c>
      <c r="I133" s="107"/>
    </row>
    <row r="134" spans="2:9" x14ac:dyDescent="0.2">
      <c r="B134" s="16" t="s">
        <v>155</v>
      </c>
      <c r="C134" s="89" t="s">
        <v>78</v>
      </c>
      <c r="D134" s="182" t="s">
        <v>169</v>
      </c>
      <c r="E134" s="170"/>
      <c r="F134" s="170"/>
      <c r="G134" s="171"/>
      <c r="H134" s="31">
        <f>SUM(H132:H133)</f>
        <v>8147.1500000000005</v>
      </c>
      <c r="I134" s="121"/>
    </row>
    <row r="135" spans="2:9" x14ac:dyDescent="0.2">
      <c r="B135" s="184"/>
      <c r="C135" s="184"/>
      <c r="D135" s="184"/>
      <c r="E135" s="184"/>
      <c r="F135" s="184"/>
      <c r="G135" s="184"/>
      <c r="H135" s="185"/>
      <c r="I135" s="185"/>
    </row>
    <row r="136" spans="2:9" x14ac:dyDescent="0.2">
      <c r="B136" s="251" t="s">
        <v>195</v>
      </c>
      <c r="C136" s="251"/>
      <c r="D136" s="251"/>
      <c r="E136" s="251"/>
      <c r="F136" s="251"/>
      <c r="G136" s="74"/>
      <c r="H136" s="74"/>
      <c r="I136" s="184"/>
    </row>
    <row r="137" spans="2:9" x14ac:dyDescent="0.2">
      <c r="B137" s="80"/>
      <c r="C137" s="80"/>
      <c r="D137" s="80"/>
      <c r="E137" s="74"/>
      <c r="F137" s="74"/>
      <c r="G137" s="74"/>
      <c r="H137" s="74"/>
      <c r="I137" s="184"/>
    </row>
    <row r="138" spans="2:9" x14ac:dyDescent="0.2">
      <c r="B138" s="262" t="s">
        <v>196</v>
      </c>
      <c r="C138" s="263"/>
      <c r="D138" s="263"/>
      <c r="E138" s="263"/>
      <c r="F138" s="263"/>
      <c r="G138" s="165"/>
      <c r="H138" s="148"/>
      <c r="I138" s="118"/>
    </row>
    <row r="139" spans="2:9" x14ac:dyDescent="0.2">
      <c r="B139" s="134" t="s">
        <v>4</v>
      </c>
      <c r="C139" s="166" t="s">
        <v>106</v>
      </c>
      <c r="D139" s="264" t="s">
        <v>155</v>
      </c>
      <c r="E139" s="265"/>
      <c r="F139" s="265"/>
      <c r="G139" s="167"/>
      <c r="H139" s="168">
        <f>H134</f>
        <v>8147.1500000000005</v>
      </c>
      <c r="I139" s="116"/>
    </row>
    <row r="140" spans="2:9" ht="22.5" x14ac:dyDescent="0.2">
      <c r="B140" s="16" t="s">
        <v>5</v>
      </c>
      <c r="C140" s="87" t="s">
        <v>157</v>
      </c>
      <c r="D140" s="266" t="s">
        <v>158</v>
      </c>
      <c r="E140" s="267"/>
      <c r="F140" s="267"/>
      <c r="G140" s="161"/>
      <c r="H140" s="11">
        <f>H43+H81+H99</f>
        <v>1657.14</v>
      </c>
      <c r="I140" s="111"/>
    </row>
    <row r="141" spans="2:9" ht="22.5" x14ac:dyDescent="0.2">
      <c r="B141" s="16" t="s">
        <v>6</v>
      </c>
      <c r="C141" s="87" t="s">
        <v>173</v>
      </c>
      <c r="D141" s="266" t="s">
        <v>181</v>
      </c>
      <c r="E141" s="267"/>
      <c r="F141" s="267"/>
      <c r="G141" s="162"/>
      <c r="H141" s="115">
        <f>TRUNC((H$43*$G56),2)</f>
        <v>184.7</v>
      </c>
      <c r="I141" s="116"/>
    </row>
    <row r="142" spans="2:9" x14ac:dyDescent="0.2">
      <c r="B142" s="16" t="s">
        <v>7</v>
      </c>
      <c r="C142" s="87" t="s">
        <v>16</v>
      </c>
      <c r="D142" s="254" t="s">
        <v>167</v>
      </c>
      <c r="E142" s="255"/>
      <c r="F142" s="256"/>
      <c r="G142" s="12">
        <f>G115</f>
        <v>0.05</v>
      </c>
      <c r="H142" s="11">
        <f>TRUNC((H$140+H$141)*$G142,2)</f>
        <v>92.09</v>
      </c>
      <c r="I142" s="111"/>
    </row>
    <row r="143" spans="2:9" x14ac:dyDescent="0.2">
      <c r="B143" s="16" t="s">
        <v>8</v>
      </c>
      <c r="C143" s="87" t="s">
        <v>3</v>
      </c>
      <c r="D143" s="254" t="s">
        <v>168</v>
      </c>
      <c r="E143" s="255"/>
      <c r="F143" s="256"/>
      <c r="G143" s="12">
        <f>G116</f>
        <v>0.1</v>
      </c>
      <c r="H143" s="11">
        <f>TRUNC((H$140+H$141+H$142)*$G143,2)</f>
        <v>193.39</v>
      </c>
      <c r="I143" s="111"/>
    </row>
    <row r="144" spans="2:9" x14ac:dyDescent="0.2">
      <c r="B144" s="16" t="s">
        <v>9</v>
      </c>
      <c r="C144" s="87" t="s">
        <v>107</v>
      </c>
      <c r="D144" s="254" t="s">
        <v>175</v>
      </c>
      <c r="E144" s="255"/>
      <c r="F144" s="256"/>
      <c r="G144" s="12">
        <f>G118+G119+G120</f>
        <v>0.1125</v>
      </c>
      <c r="H144" s="11">
        <f>TRUNC((H$140+H$141+H$142+H$143)/(1-$G144)-(H$140+H$141+H$142+H$143),2)</f>
        <v>269.66000000000003</v>
      </c>
      <c r="I144" s="111"/>
    </row>
    <row r="145" spans="2:9" ht="22.5" x14ac:dyDescent="0.2">
      <c r="B145" s="16" t="s">
        <v>10</v>
      </c>
      <c r="C145" s="135" t="s">
        <v>108</v>
      </c>
      <c r="D145" s="159" t="s">
        <v>176</v>
      </c>
      <c r="E145" s="160"/>
      <c r="F145" s="160"/>
      <c r="G145" s="161"/>
      <c r="H145" s="136">
        <f>SUM(H140:H144)</f>
        <v>2396.98</v>
      </c>
      <c r="I145" s="112"/>
    </row>
    <row r="146" spans="2:9" x14ac:dyDescent="0.2">
      <c r="B146" s="16" t="s">
        <v>156</v>
      </c>
      <c r="C146" s="91" t="s">
        <v>127</v>
      </c>
      <c r="D146" s="257" t="s">
        <v>174</v>
      </c>
      <c r="E146" s="258"/>
      <c r="F146" s="258"/>
      <c r="G146" s="169"/>
      <c r="H146" s="33">
        <f>H139-H145</f>
        <v>5750.17</v>
      </c>
      <c r="I146" s="122"/>
    </row>
    <row r="147" spans="2:9" ht="42" customHeight="1" x14ac:dyDescent="0.2">
      <c r="B147" s="259" t="s">
        <v>126</v>
      </c>
      <c r="C147" s="260"/>
      <c r="D147" s="260"/>
      <c r="E147" s="260"/>
      <c r="F147" s="260"/>
      <c r="G147" s="261"/>
      <c r="H147" s="145"/>
      <c r="I147" s="113"/>
    </row>
    <row r="148" spans="2:9" x14ac:dyDescent="0.2">
      <c r="B148" s="74"/>
      <c r="C148" s="74"/>
      <c r="D148" s="74"/>
      <c r="E148" s="74"/>
      <c r="F148" s="74"/>
      <c r="G148" s="74"/>
      <c r="H148" s="74"/>
      <c r="I148" s="74"/>
    </row>
    <row r="149" spans="2:9" x14ac:dyDescent="0.2">
      <c r="B149" s="74"/>
      <c r="C149" s="74"/>
      <c r="D149" s="74"/>
      <c r="E149" s="74"/>
      <c r="F149" s="74"/>
      <c r="G149" s="74"/>
      <c r="H149" s="74"/>
      <c r="I149" s="74"/>
    </row>
  </sheetData>
  <mergeCells count="106">
    <mergeCell ref="D144:F144"/>
    <mergeCell ref="D146:F146"/>
    <mergeCell ref="B147:G147"/>
    <mergeCell ref="B138:F138"/>
    <mergeCell ref="D139:F139"/>
    <mergeCell ref="D140:F140"/>
    <mergeCell ref="D141:F141"/>
    <mergeCell ref="D142:F142"/>
    <mergeCell ref="D143:F143"/>
    <mergeCell ref="D120:F120"/>
    <mergeCell ref="D121:F121"/>
    <mergeCell ref="B123:H123"/>
    <mergeCell ref="B125:F125"/>
    <mergeCell ref="C126:F126"/>
    <mergeCell ref="B136:F136"/>
    <mergeCell ref="C114:F114"/>
    <mergeCell ref="D115:F115"/>
    <mergeCell ref="D116:F116"/>
    <mergeCell ref="D117:F117"/>
    <mergeCell ref="D118:F118"/>
    <mergeCell ref="D119:F119"/>
    <mergeCell ref="C98:G98"/>
    <mergeCell ref="C101:F101"/>
    <mergeCell ref="B104:F104"/>
    <mergeCell ref="C105:G105"/>
    <mergeCell ref="C110:F110"/>
    <mergeCell ref="B113:F113"/>
    <mergeCell ref="C86:F86"/>
    <mergeCell ref="C90:F90"/>
    <mergeCell ref="B92:F92"/>
    <mergeCell ref="C93:F93"/>
    <mergeCell ref="C95:F95"/>
    <mergeCell ref="B97:F97"/>
    <mergeCell ref="D77:E77"/>
    <mergeCell ref="D79:E79"/>
    <mergeCell ref="D80:E80"/>
    <mergeCell ref="C81:F81"/>
    <mergeCell ref="B84:F84"/>
    <mergeCell ref="B85:F85"/>
    <mergeCell ref="B65:F65"/>
    <mergeCell ref="C66:F66"/>
    <mergeCell ref="C70:F70"/>
    <mergeCell ref="B71:H71"/>
    <mergeCell ref="B73:F73"/>
    <mergeCell ref="C74:F74"/>
    <mergeCell ref="C56:F56"/>
    <mergeCell ref="B57:H57"/>
    <mergeCell ref="B58:F58"/>
    <mergeCell ref="C59:F59"/>
    <mergeCell ref="C63:F63"/>
    <mergeCell ref="B64:H64"/>
    <mergeCell ref="H49:H50"/>
    <mergeCell ref="D51:F51"/>
    <mergeCell ref="D52:F52"/>
    <mergeCell ref="D53:F53"/>
    <mergeCell ref="D54:F54"/>
    <mergeCell ref="D55:F55"/>
    <mergeCell ref="D47:F47"/>
    <mergeCell ref="D48:F48"/>
    <mergeCell ref="B49:B50"/>
    <mergeCell ref="C49:C50"/>
    <mergeCell ref="D49:D50"/>
    <mergeCell ref="G49:G50"/>
    <mergeCell ref="D41:F41"/>
    <mergeCell ref="D42:F42"/>
    <mergeCell ref="C43:F43"/>
    <mergeCell ref="B44:H44"/>
    <mergeCell ref="B45:F45"/>
    <mergeCell ref="C46:F46"/>
    <mergeCell ref="C32:F32"/>
    <mergeCell ref="C33:F34"/>
    <mergeCell ref="B37:F37"/>
    <mergeCell ref="B38:F38"/>
    <mergeCell ref="B39:F39"/>
    <mergeCell ref="C40:F40"/>
    <mergeCell ref="D26:F26"/>
    <mergeCell ref="D27:F27"/>
    <mergeCell ref="D28:F28"/>
    <mergeCell ref="D29:F29"/>
    <mergeCell ref="D30:F30"/>
    <mergeCell ref="D31:F31"/>
    <mergeCell ref="B19:B20"/>
    <mergeCell ref="C19:F19"/>
    <mergeCell ref="C20:F20"/>
    <mergeCell ref="B23:F23"/>
    <mergeCell ref="C24:F24"/>
    <mergeCell ref="D25:F25"/>
    <mergeCell ref="B15:B16"/>
    <mergeCell ref="C15:F15"/>
    <mergeCell ref="C16:F16"/>
    <mergeCell ref="B17:B18"/>
    <mergeCell ref="C17:F17"/>
    <mergeCell ref="C18:F18"/>
    <mergeCell ref="B11:B12"/>
    <mergeCell ref="C11:F11"/>
    <mergeCell ref="C12:F12"/>
    <mergeCell ref="B13:B14"/>
    <mergeCell ref="C13:F13"/>
    <mergeCell ref="C14:F14"/>
    <mergeCell ref="B2:H2"/>
    <mergeCell ref="B3:H3"/>
    <mergeCell ref="D6:F6"/>
    <mergeCell ref="B8:F8"/>
    <mergeCell ref="B9:B10"/>
    <mergeCell ref="C9:F9"/>
    <mergeCell ref="C10:F10"/>
  </mergeCells>
  <dataValidations count="11">
    <dataValidation type="list" allowBlank="1" showInputMessage="1" showErrorMessage="1" sqref="G26" xr:uid="{AA44F236-462C-485E-A4E6-60EB2F875FDA}">
      <formula1>"0%, 30%"</formula1>
    </dataValidation>
    <dataValidation type="list" allowBlank="1" showInputMessage="1" showErrorMessage="1" sqref="G27" xr:uid="{A191CDFD-2AAA-490F-8B5F-23B949B647B2}">
      <formula1>"0%, 10%, 20%, 40%"</formula1>
    </dataValidation>
    <dataValidation type="list" allowBlank="1" showInputMessage="1" showErrorMessage="1" sqref="E50" xr:uid="{C674FC2A-103B-4A6A-A657-A90ECA16F334}">
      <formula1>"1%, 2%, 3%"</formula1>
    </dataValidation>
    <dataValidation type="list" allowBlank="1" showInputMessage="1" showErrorMessage="1" sqref="G28:G29" xr:uid="{7699208E-6346-486A-ADEE-B9396D05111B}">
      <formula1>"0, 20%"</formula1>
    </dataValidation>
    <dataValidation type="list" allowBlank="1" showInputMessage="1" showErrorMessage="1" sqref="G119" xr:uid="{0C6E97BC-9271-404F-AB7A-69F5FD43D57C}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118" xr:uid="{7580A6BE-0584-4942-91AE-4E023E339257}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30" xr:uid="{398BF3C6-41F5-485D-848F-44CF00FF6357}">
      <formula1>"0, 50%, 100%"</formula1>
    </dataValidation>
    <dataValidation type="whole" allowBlank="1" showInputMessage="1" showErrorMessage="1" errorTitle="Valor errado" error="Quantidade fixa de dias. Prencher com 30" sqref="G87" xr:uid="{9CFACC26-153F-4F62-8896-F3C7C64A2BC9}">
      <formula1>30</formula1>
      <formula2>30</formula2>
    </dataValidation>
    <dataValidation type="list" operator="equal" allowBlank="1" showInputMessage="1" showErrorMessage="1" errorTitle="Valor errado" error="Percentual fixo. Preencher com 40%." sqref="F77 F79" xr:uid="{CDA75F70-AB61-409E-9080-77C6B01DEAB3}">
      <formula1>"40%"</formula1>
    </dataValidation>
    <dataValidation type="custom" allowBlank="1" showInputMessage="1" showErrorMessage="1" sqref="G117" xr:uid="{4D5B6311-73FF-4D6C-B50E-9CE89C251F10}">
      <formula1>1-(G118+G119+G120)</formula1>
    </dataValidation>
    <dataValidation type="list" allowBlank="1" showInputMessage="1" showErrorMessage="1" sqref="G80" xr:uid="{3DB24F13-85F4-44C6-82B9-B31790C84B46}">
      <formula1>"3,6,9,12,15"</formula1>
    </dataValidation>
  </dataValidations>
  <pageMargins left="0.511811024" right="0.511811024" top="0.78740157499999996" bottom="0.78740157499999996" header="0.31496062000000002" footer="0.31496062000000002"/>
  <pageSetup paperSize="9" scale="57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B1:I150"/>
  <sheetViews>
    <sheetView showGridLines="0" topLeftCell="A37" zoomScaleNormal="100" workbookViewId="0">
      <selection activeCell="B58" sqref="B58:H66"/>
    </sheetView>
  </sheetViews>
  <sheetFormatPr defaultColWidth="9.140625" defaultRowHeight="12.75" x14ac:dyDescent="0.2"/>
  <cols>
    <col min="1" max="1" width="3.5703125" style="63" customWidth="1"/>
    <col min="2" max="2" width="8.28515625" style="63" customWidth="1"/>
    <col min="3" max="3" width="39.140625" style="63" customWidth="1"/>
    <col min="4" max="4" width="29.140625" style="63" customWidth="1"/>
    <col min="5" max="6" width="8.140625" style="63" customWidth="1"/>
    <col min="7" max="7" width="9.140625" style="63" customWidth="1"/>
    <col min="8" max="9" width="15.28515625" style="63" customWidth="1"/>
    <col min="10" max="16384" width="9.140625" style="63"/>
  </cols>
  <sheetData>
    <row r="1" spans="2:9" x14ac:dyDescent="0.2">
      <c r="C1" s="114"/>
      <c r="D1" s="14"/>
      <c r="E1" s="14"/>
      <c r="F1" s="14"/>
      <c r="G1" s="14"/>
      <c r="H1" s="14"/>
      <c r="I1" s="14"/>
    </row>
    <row r="2" spans="2:9" x14ac:dyDescent="0.2">
      <c r="B2" s="199" t="s">
        <v>50</v>
      </c>
      <c r="C2" s="199"/>
      <c r="D2" s="199"/>
      <c r="E2" s="199"/>
      <c r="F2" s="199"/>
      <c r="G2" s="199"/>
      <c r="H2" s="199"/>
      <c r="I2" s="100"/>
    </row>
    <row r="3" spans="2:9" x14ac:dyDescent="0.2">
      <c r="B3" s="200" t="s">
        <v>192</v>
      </c>
      <c r="C3" s="200"/>
      <c r="D3" s="200"/>
      <c r="E3" s="200"/>
      <c r="F3" s="200"/>
      <c r="G3" s="200"/>
      <c r="H3" s="200"/>
      <c r="I3" s="102"/>
    </row>
    <row r="4" spans="2:9" x14ac:dyDescent="0.2">
      <c r="B4" s="65"/>
      <c r="C4" s="65"/>
      <c r="D4" s="65"/>
      <c r="E4" s="65"/>
      <c r="F4" s="65"/>
      <c r="G4" s="65"/>
      <c r="H4" s="65"/>
      <c r="I4" s="65"/>
    </row>
    <row r="5" spans="2:9" x14ac:dyDescent="0.2">
      <c r="B5" s="65"/>
      <c r="C5" s="65"/>
      <c r="D5" s="65"/>
      <c r="E5" s="65"/>
      <c r="F5" s="65"/>
      <c r="G5" s="65"/>
      <c r="H5" s="65"/>
      <c r="I5" s="65"/>
    </row>
    <row r="6" spans="2:9" x14ac:dyDescent="0.2">
      <c r="B6" s="143" t="s">
        <v>128</v>
      </c>
      <c r="C6" s="143"/>
      <c r="D6" s="201" t="s">
        <v>199</v>
      </c>
      <c r="E6" s="202"/>
      <c r="F6" s="203"/>
      <c r="I6" s="15"/>
    </row>
    <row r="7" spans="2:9" x14ac:dyDescent="0.2">
      <c r="B7" s="65"/>
      <c r="C7" s="65"/>
      <c r="D7" s="65"/>
      <c r="E7" s="65"/>
      <c r="F7" s="65"/>
      <c r="G7" s="65"/>
      <c r="H7" s="65"/>
      <c r="I7" s="14"/>
    </row>
    <row r="8" spans="2:9" x14ac:dyDescent="0.2">
      <c r="B8" s="204" t="s">
        <v>51</v>
      </c>
      <c r="C8" s="204"/>
      <c r="D8" s="204"/>
      <c r="E8" s="204"/>
      <c r="F8" s="204"/>
      <c r="G8" s="144"/>
      <c r="H8" s="144"/>
      <c r="I8" s="64"/>
    </row>
    <row r="9" spans="2:9" x14ac:dyDescent="0.2">
      <c r="B9" s="195">
        <v>1</v>
      </c>
      <c r="C9" s="196" t="s">
        <v>52</v>
      </c>
      <c r="D9" s="196"/>
      <c r="E9" s="196"/>
      <c r="F9" s="196"/>
      <c r="G9" s="144"/>
      <c r="H9" s="144"/>
      <c r="I9" s="64"/>
    </row>
    <row r="10" spans="2:9" x14ac:dyDescent="0.2">
      <c r="B10" s="195"/>
      <c r="C10" s="197"/>
      <c r="D10" s="197"/>
      <c r="E10" s="197"/>
      <c r="F10" s="197"/>
      <c r="G10" s="144"/>
      <c r="H10" s="144"/>
      <c r="I10" s="64"/>
    </row>
    <row r="11" spans="2:9" x14ac:dyDescent="0.2">
      <c r="B11" s="195">
        <v>2</v>
      </c>
      <c r="C11" s="196" t="s">
        <v>55</v>
      </c>
      <c r="D11" s="196"/>
      <c r="E11" s="196"/>
      <c r="F11" s="196"/>
      <c r="G11" s="144"/>
      <c r="H11" s="144"/>
      <c r="I11" s="64"/>
    </row>
    <row r="12" spans="2:9" x14ac:dyDescent="0.2">
      <c r="B12" s="195"/>
      <c r="C12" s="197"/>
      <c r="D12" s="197"/>
      <c r="E12" s="197"/>
      <c r="F12" s="197"/>
      <c r="G12" s="144"/>
      <c r="H12" s="144"/>
      <c r="I12" s="64"/>
    </row>
    <row r="13" spans="2:9" x14ac:dyDescent="0.2">
      <c r="B13" s="195">
        <v>3</v>
      </c>
      <c r="C13" s="196" t="s">
        <v>56</v>
      </c>
      <c r="D13" s="196"/>
      <c r="E13" s="196"/>
      <c r="F13" s="196"/>
      <c r="G13" s="144"/>
      <c r="H13" s="144"/>
      <c r="I13" s="64"/>
    </row>
    <row r="14" spans="2:9" x14ac:dyDescent="0.2">
      <c r="B14" s="195"/>
      <c r="C14" s="198"/>
      <c r="D14" s="198"/>
      <c r="E14" s="198"/>
      <c r="F14" s="198"/>
      <c r="G14" s="144"/>
      <c r="H14" s="144"/>
      <c r="I14" s="64"/>
    </row>
    <row r="15" spans="2:9" x14ac:dyDescent="0.2">
      <c r="B15" s="195">
        <v>4</v>
      </c>
      <c r="C15" s="196" t="s">
        <v>57</v>
      </c>
      <c r="D15" s="196"/>
      <c r="E15" s="196"/>
      <c r="F15" s="196"/>
      <c r="G15" s="144"/>
      <c r="H15" s="144"/>
      <c r="I15" s="64"/>
    </row>
    <row r="16" spans="2:9" x14ac:dyDescent="0.2">
      <c r="B16" s="195"/>
      <c r="C16" s="197"/>
      <c r="D16" s="197"/>
      <c r="E16" s="197"/>
      <c r="F16" s="197"/>
      <c r="G16" s="144"/>
      <c r="H16" s="144"/>
      <c r="I16" s="64"/>
    </row>
    <row r="17" spans="2:9" x14ac:dyDescent="0.2">
      <c r="B17" s="195">
        <v>5</v>
      </c>
      <c r="C17" s="196" t="s">
        <v>58</v>
      </c>
      <c r="D17" s="196"/>
      <c r="E17" s="196"/>
      <c r="F17" s="196"/>
      <c r="G17" s="144"/>
      <c r="H17" s="144"/>
      <c r="I17" s="64"/>
    </row>
    <row r="18" spans="2:9" x14ac:dyDescent="0.2">
      <c r="B18" s="195"/>
      <c r="C18" s="197"/>
      <c r="D18" s="197"/>
      <c r="E18" s="197"/>
      <c r="F18" s="197"/>
      <c r="G18" s="144"/>
      <c r="H18" s="144"/>
      <c r="I18" s="64"/>
    </row>
    <row r="19" spans="2:9" x14ac:dyDescent="0.2">
      <c r="B19" s="195">
        <v>6</v>
      </c>
      <c r="C19" s="196" t="s">
        <v>59</v>
      </c>
      <c r="D19" s="196"/>
      <c r="E19" s="196"/>
      <c r="F19" s="196"/>
      <c r="G19" s="144"/>
      <c r="H19" s="144"/>
      <c r="I19" s="64"/>
    </row>
    <row r="20" spans="2:9" x14ac:dyDescent="0.2">
      <c r="B20" s="195"/>
      <c r="C20" s="197"/>
      <c r="D20" s="197"/>
      <c r="E20" s="197"/>
      <c r="F20" s="197"/>
      <c r="G20" s="144"/>
      <c r="H20" s="144"/>
      <c r="I20" s="64"/>
    </row>
    <row r="21" spans="2:9" x14ac:dyDescent="0.2">
      <c r="B21" s="66"/>
      <c r="C21" s="66"/>
      <c r="D21" s="66"/>
      <c r="E21" s="66"/>
      <c r="F21" s="66"/>
      <c r="G21" s="67"/>
      <c r="H21" s="67"/>
      <c r="I21" s="64"/>
    </row>
    <row r="22" spans="2:9" x14ac:dyDescent="0.2">
      <c r="B22" s="68"/>
      <c r="C22" s="68"/>
      <c r="D22" s="68"/>
      <c r="E22" s="68"/>
      <c r="F22" s="68"/>
      <c r="G22" s="68"/>
      <c r="H22" s="149" t="s">
        <v>197</v>
      </c>
    </row>
    <row r="23" spans="2:9" x14ac:dyDescent="0.2">
      <c r="B23" s="205" t="s">
        <v>66</v>
      </c>
      <c r="C23" s="206"/>
      <c r="D23" s="206"/>
      <c r="E23" s="206"/>
      <c r="F23" s="206"/>
      <c r="G23" s="147"/>
      <c r="H23" s="148"/>
      <c r="I23" s="101"/>
    </row>
    <row r="24" spans="2:9" x14ac:dyDescent="0.2">
      <c r="B24" s="96">
        <v>1</v>
      </c>
      <c r="C24" s="207" t="s">
        <v>60</v>
      </c>
      <c r="D24" s="208"/>
      <c r="E24" s="208"/>
      <c r="F24" s="209"/>
      <c r="G24" s="146" t="s">
        <v>1</v>
      </c>
      <c r="H24" s="146" t="s">
        <v>49</v>
      </c>
      <c r="I24" s="101"/>
    </row>
    <row r="25" spans="2:9" ht="12.75" customHeight="1" x14ac:dyDescent="0.2">
      <c r="B25" s="16" t="s">
        <v>4</v>
      </c>
      <c r="C25" s="94" t="s">
        <v>17</v>
      </c>
      <c r="D25" s="210"/>
      <c r="E25" s="211"/>
      <c r="F25" s="212"/>
      <c r="G25" s="17"/>
      <c r="H25" s="34">
        <v>1864.72</v>
      </c>
      <c r="I25" s="107"/>
    </row>
    <row r="26" spans="2:9" x14ac:dyDescent="0.2">
      <c r="B26" s="16" t="s">
        <v>5</v>
      </c>
      <c r="C26" s="94" t="s">
        <v>24</v>
      </c>
      <c r="D26" s="210" t="s">
        <v>129</v>
      </c>
      <c r="E26" s="211"/>
      <c r="F26" s="212"/>
      <c r="G26" s="35"/>
      <c r="H26" s="18">
        <f>TRUNC(H$25*$G26,2)</f>
        <v>0</v>
      </c>
      <c r="I26" s="103"/>
    </row>
    <row r="27" spans="2:9" x14ac:dyDescent="0.2">
      <c r="B27" s="16" t="s">
        <v>6</v>
      </c>
      <c r="C27" s="95" t="s">
        <v>25</v>
      </c>
      <c r="D27" s="210" t="s">
        <v>171</v>
      </c>
      <c r="E27" s="211"/>
      <c r="F27" s="212"/>
      <c r="G27" s="35"/>
      <c r="H27" s="18">
        <f>TRUNC(H$25*$G27,2)</f>
        <v>0</v>
      </c>
      <c r="I27" s="103"/>
    </row>
    <row r="28" spans="2:9" x14ac:dyDescent="0.2">
      <c r="B28" s="16" t="s">
        <v>7</v>
      </c>
      <c r="C28" s="95" t="s">
        <v>0</v>
      </c>
      <c r="D28" s="210" t="s">
        <v>178</v>
      </c>
      <c r="E28" s="211"/>
      <c r="F28" s="212"/>
      <c r="G28" s="36"/>
      <c r="H28" s="72">
        <f>TRUNC(((H$25+H26)*$G28)/220*8*15,2)</f>
        <v>0</v>
      </c>
      <c r="I28" s="104"/>
    </row>
    <row r="29" spans="2:9" x14ac:dyDescent="0.2">
      <c r="B29" s="124" t="s">
        <v>8</v>
      </c>
      <c r="C29" s="125" t="s">
        <v>26</v>
      </c>
      <c r="D29" s="220" t="s">
        <v>178</v>
      </c>
      <c r="E29" s="221"/>
      <c r="F29" s="222"/>
      <c r="G29" s="126"/>
      <c r="H29" s="127">
        <f>TRUNC(((H25+H26)*$G29)/220*1*15,2)</f>
        <v>0</v>
      </c>
      <c r="I29" s="128" t="s">
        <v>183</v>
      </c>
    </row>
    <row r="30" spans="2:9" x14ac:dyDescent="0.2">
      <c r="B30" s="129" t="s">
        <v>9</v>
      </c>
      <c r="C30" s="125" t="s">
        <v>109</v>
      </c>
      <c r="D30" s="220" t="s">
        <v>179</v>
      </c>
      <c r="E30" s="221"/>
      <c r="F30" s="222"/>
      <c r="G30" s="130"/>
      <c r="H30" s="127">
        <f>TRUNC($G$34*H34*(1+$G$30),2)</f>
        <v>0</v>
      </c>
      <c r="I30" s="128" t="s">
        <v>183</v>
      </c>
    </row>
    <row r="31" spans="2:9" x14ac:dyDescent="0.2">
      <c r="B31" s="16" t="s">
        <v>10</v>
      </c>
      <c r="C31" s="95" t="s">
        <v>2</v>
      </c>
      <c r="D31" s="210"/>
      <c r="E31" s="211"/>
      <c r="F31" s="212"/>
      <c r="G31" s="36"/>
      <c r="H31" s="53"/>
      <c r="I31" s="105"/>
    </row>
    <row r="32" spans="2:9" x14ac:dyDescent="0.2">
      <c r="B32" s="16" t="s">
        <v>130</v>
      </c>
      <c r="C32" s="207" t="s">
        <v>61</v>
      </c>
      <c r="D32" s="208"/>
      <c r="E32" s="208"/>
      <c r="F32" s="209"/>
      <c r="G32" s="30"/>
      <c r="H32" s="19">
        <f>SUM(H25:H31)</f>
        <v>1864.72</v>
      </c>
      <c r="I32" s="20"/>
    </row>
    <row r="33" spans="2:9" ht="22.5" x14ac:dyDescent="0.2">
      <c r="B33" s="100"/>
      <c r="C33" s="213" t="s">
        <v>120</v>
      </c>
      <c r="D33" s="213"/>
      <c r="E33" s="213"/>
      <c r="F33" s="213"/>
      <c r="G33" s="56" t="s">
        <v>110</v>
      </c>
      <c r="H33" s="55" t="s">
        <v>122</v>
      </c>
      <c r="I33" s="4"/>
    </row>
    <row r="34" spans="2:9" x14ac:dyDescent="0.2">
      <c r="B34" s="100"/>
      <c r="C34" s="213"/>
      <c r="D34" s="213"/>
      <c r="E34" s="213"/>
      <c r="F34" s="213"/>
      <c r="G34" s="54"/>
      <c r="H34" s="37">
        <f>IF($G$34="",0,TRUNC((H25+H26+H27)/220,2))</f>
        <v>0</v>
      </c>
      <c r="I34" s="106"/>
    </row>
    <row r="35" spans="2:9" x14ac:dyDescent="0.2">
      <c r="B35" s="100"/>
      <c r="C35" s="100"/>
      <c r="D35" s="100"/>
      <c r="E35" s="100"/>
      <c r="F35" s="100"/>
      <c r="G35" s="100"/>
      <c r="H35" s="73"/>
      <c r="I35" s="20"/>
    </row>
    <row r="36" spans="2:9" x14ac:dyDescent="0.2">
      <c r="B36" s="100"/>
      <c r="C36" s="100"/>
      <c r="D36" s="100"/>
      <c r="E36" s="100"/>
      <c r="F36" s="100"/>
      <c r="G36" s="100"/>
      <c r="H36" s="73"/>
      <c r="I36" s="20"/>
    </row>
    <row r="37" spans="2:9" ht="12.75" customHeight="1" x14ac:dyDescent="0.2">
      <c r="B37" s="205" t="s">
        <v>67</v>
      </c>
      <c r="C37" s="206"/>
      <c r="D37" s="206"/>
      <c r="E37" s="206"/>
      <c r="F37" s="206"/>
      <c r="G37" s="147"/>
      <c r="H37" s="148"/>
      <c r="I37" s="101"/>
    </row>
    <row r="38" spans="2:9" x14ac:dyDescent="0.2">
      <c r="B38" s="214"/>
      <c r="C38" s="215"/>
      <c r="D38" s="215"/>
      <c r="E38" s="215"/>
      <c r="F38" s="215"/>
      <c r="G38" s="62"/>
      <c r="H38" s="62"/>
      <c r="I38" s="101"/>
    </row>
    <row r="39" spans="2:9" x14ac:dyDescent="0.2">
      <c r="B39" s="216" t="s">
        <v>36</v>
      </c>
      <c r="C39" s="216"/>
      <c r="D39" s="216"/>
      <c r="E39" s="216"/>
      <c r="F39" s="216"/>
      <c r="G39" s="62"/>
      <c r="H39" s="62"/>
      <c r="I39" s="101"/>
    </row>
    <row r="40" spans="2:9" x14ac:dyDescent="0.2">
      <c r="B40" s="146" t="s">
        <v>38</v>
      </c>
      <c r="C40" s="217" t="s">
        <v>27</v>
      </c>
      <c r="D40" s="218"/>
      <c r="E40" s="218"/>
      <c r="F40" s="219"/>
      <c r="G40" s="96" t="s">
        <v>1</v>
      </c>
      <c r="H40" s="96" t="s">
        <v>49</v>
      </c>
      <c r="I40" s="101"/>
    </row>
    <row r="41" spans="2:9" x14ac:dyDescent="0.2">
      <c r="B41" s="16" t="s">
        <v>4</v>
      </c>
      <c r="C41" s="94" t="s">
        <v>112</v>
      </c>
      <c r="D41" s="210" t="s">
        <v>131</v>
      </c>
      <c r="E41" s="211"/>
      <c r="F41" s="212"/>
      <c r="G41" s="152">
        <f>1/12</f>
        <v>8.3333333333333329E-2</v>
      </c>
      <c r="H41" s="153">
        <f>TRUNC((H$32*$G41),2)</f>
        <v>155.38999999999999</v>
      </c>
      <c r="I41" s="107"/>
    </row>
    <row r="42" spans="2:9" x14ac:dyDescent="0.2">
      <c r="B42" s="16" t="s">
        <v>5</v>
      </c>
      <c r="C42" s="94" t="s">
        <v>65</v>
      </c>
      <c r="D42" s="210" t="s">
        <v>133</v>
      </c>
      <c r="E42" s="211"/>
      <c r="F42" s="212"/>
      <c r="G42" s="21">
        <f>(1/12)+(1/3/12)</f>
        <v>0.1111111111111111</v>
      </c>
      <c r="H42" s="22">
        <f>TRUNC((H$32*$G42),2)</f>
        <v>207.19</v>
      </c>
      <c r="I42" s="107"/>
    </row>
    <row r="43" spans="2:9" x14ac:dyDescent="0.2">
      <c r="B43" s="16" t="s">
        <v>132</v>
      </c>
      <c r="C43" s="207" t="s">
        <v>61</v>
      </c>
      <c r="D43" s="208"/>
      <c r="E43" s="208"/>
      <c r="F43" s="209"/>
      <c r="G43" s="23">
        <f>TRUNC(SUM(G41:G42),4)</f>
        <v>0.19439999999999999</v>
      </c>
      <c r="H43" s="19">
        <f>SUM(H41:H42)</f>
        <v>362.58</v>
      </c>
      <c r="I43" s="20"/>
    </row>
    <row r="44" spans="2:9" x14ac:dyDescent="0.2">
      <c r="B44" s="230"/>
      <c r="C44" s="231"/>
      <c r="D44" s="231"/>
      <c r="E44" s="231"/>
      <c r="F44" s="231"/>
      <c r="G44" s="231"/>
      <c r="H44" s="232"/>
      <c r="I44" s="100"/>
    </row>
    <row r="45" spans="2:9" ht="30" customHeight="1" x14ac:dyDescent="0.2">
      <c r="B45" s="233" t="s">
        <v>68</v>
      </c>
      <c r="C45" s="234"/>
      <c r="D45" s="234"/>
      <c r="E45" s="234"/>
      <c r="F45" s="235"/>
      <c r="G45" s="150"/>
      <c r="H45" s="151"/>
      <c r="I45" s="108"/>
    </row>
    <row r="46" spans="2:9" x14ac:dyDescent="0.2">
      <c r="B46" s="96" t="s">
        <v>39</v>
      </c>
      <c r="C46" s="207" t="s">
        <v>69</v>
      </c>
      <c r="D46" s="208"/>
      <c r="E46" s="208"/>
      <c r="F46" s="209"/>
      <c r="G46" s="96" t="s">
        <v>1</v>
      </c>
      <c r="H46" s="96" t="s">
        <v>49</v>
      </c>
      <c r="I46" s="101"/>
    </row>
    <row r="47" spans="2:9" x14ac:dyDescent="0.2">
      <c r="B47" s="16" t="s">
        <v>4</v>
      </c>
      <c r="C47" s="94" t="s">
        <v>30</v>
      </c>
      <c r="D47" s="210" t="s">
        <v>134</v>
      </c>
      <c r="E47" s="211"/>
      <c r="F47" s="212"/>
      <c r="G47" s="21">
        <v>0.2</v>
      </c>
      <c r="H47" s="22">
        <f>TRUNC((H$32+H$43)*$G47,2)</f>
        <v>445.46</v>
      </c>
      <c r="I47" s="107"/>
    </row>
    <row r="48" spans="2:9" x14ac:dyDescent="0.2">
      <c r="B48" s="16" t="s">
        <v>5</v>
      </c>
      <c r="C48" s="82" t="s">
        <v>31</v>
      </c>
      <c r="D48" s="210" t="s">
        <v>135</v>
      </c>
      <c r="E48" s="211"/>
      <c r="F48" s="212"/>
      <c r="G48" s="21">
        <v>2.5000000000000001E-2</v>
      </c>
      <c r="H48" s="22">
        <f>TRUNC((H$32+H$43)*$G48,2)</f>
        <v>55.68</v>
      </c>
      <c r="I48" s="107"/>
    </row>
    <row r="49" spans="2:9" x14ac:dyDescent="0.2">
      <c r="B49" s="223" t="s">
        <v>6</v>
      </c>
      <c r="C49" s="225" t="s">
        <v>103</v>
      </c>
      <c r="D49" s="227" t="s">
        <v>141</v>
      </c>
      <c r="E49" s="10" t="s">
        <v>104</v>
      </c>
      <c r="F49" s="10" t="s">
        <v>102</v>
      </c>
      <c r="G49" s="228">
        <f>E50*F50</f>
        <v>0.03</v>
      </c>
      <c r="H49" s="239">
        <f>TRUNC((H$32+H$43)*$G49,2)</f>
        <v>66.81</v>
      </c>
      <c r="I49" s="110"/>
    </row>
    <row r="50" spans="2:9" x14ac:dyDescent="0.2">
      <c r="B50" s="224"/>
      <c r="C50" s="226"/>
      <c r="D50" s="227"/>
      <c r="E50" s="38">
        <v>0.03</v>
      </c>
      <c r="F50" s="39">
        <v>1</v>
      </c>
      <c r="G50" s="229"/>
      <c r="H50" s="239"/>
      <c r="I50" s="110"/>
    </row>
    <row r="51" spans="2:9" x14ac:dyDescent="0.2">
      <c r="B51" s="16" t="s">
        <v>7</v>
      </c>
      <c r="C51" s="94" t="s">
        <v>29</v>
      </c>
      <c r="D51" s="210" t="s">
        <v>136</v>
      </c>
      <c r="E51" s="211"/>
      <c r="F51" s="212"/>
      <c r="G51" s="21">
        <v>1.4999999999999999E-2</v>
      </c>
      <c r="H51" s="22">
        <f>TRUNC((H$32+H$43)*$G51,2)</f>
        <v>33.4</v>
      </c>
      <c r="I51" s="107"/>
    </row>
    <row r="52" spans="2:9" x14ac:dyDescent="0.2">
      <c r="B52" s="16" t="s">
        <v>8</v>
      </c>
      <c r="C52" s="94" t="s">
        <v>32</v>
      </c>
      <c r="D52" s="210" t="s">
        <v>137</v>
      </c>
      <c r="E52" s="211"/>
      <c r="F52" s="212"/>
      <c r="G52" s="21">
        <v>0.01</v>
      </c>
      <c r="H52" s="22">
        <f>TRUNC((H$32+H$43)*$G52,2)</f>
        <v>22.27</v>
      </c>
      <c r="I52" s="107"/>
    </row>
    <row r="53" spans="2:9" x14ac:dyDescent="0.2">
      <c r="B53" s="16" t="s">
        <v>9</v>
      </c>
      <c r="C53" s="94" t="s">
        <v>33</v>
      </c>
      <c r="D53" s="210" t="s">
        <v>138</v>
      </c>
      <c r="E53" s="211"/>
      <c r="F53" s="212"/>
      <c r="G53" s="21">
        <v>6.0000000000000001E-3</v>
      </c>
      <c r="H53" s="22">
        <f>TRUNC((H$32+H$43)*$G53,2)</f>
        <v>13.36</v>
      </c>
      <c r="I53" s="107"/>
    </row>
    <row r="54" spans="2:9" x14ac:dyDescent="0.2">
      <c r="B54" s="16" t="s">
        <v>10</v>
      </c>
      <c r="C54" s="94" t="s">
        <v>34</v>
      </c>
      <c r="D54" s="210" t="s">
        <v>139</v>
      </c>
      <c r="E54" s="211"/>
      <c r="F54" s="212"/>
      <c r="G54" s="21">
        <v>2E-3</v>
      </c>
      <c r="H54" s="22">
        <f>TRUNC((H$32+H$43)*$G54,2)</f>
        <v>4.45</v>
      </c>
      <c r="I54" s="107"/>
    </row>
    <row r="55" spans="2:9" x14ac:dyDescent="0.2">
      <c r="B55" s="16" t="s">
        <v>11</v>
      </c>
      <c r="C55" s="94" t="s">
        <v>35</v>
      </c>
      <c r="D55" s="210" t="s">
        <v>140</v>
      </c>
      <c r="E55" s="211"/>
      <c r="F55" s="212"/>
      <c r="G55" s="21">
        <v>0.08</v>
      </c>
      <c r="H55" s="22">
        <f>TRUNC((H$32+H$43)*$G55,2)</f>
        <v>178.18</v>
      </c>
      <c r="I55" s="107"/>
    </row>
    <row r="56" spans="2:9" x14ac:dyDescent="0.2">
      <c r="B56" s="16" t="s">
        <v>142</v>
      </c>
      <c r="C56" s="207" t="s">
        <v>61</v>
      </c>
      <c r="D56" s="208"/>
      <c r="E56" s="208"/>
      <c r="F56" s="209"/>
      <c r="G56" s="24">
        <f>SUM(G47:G55)</f>
        <v>0.36800000000000005</v>
      </c>
      <c r="H56" s="19">
        <f>SUM(H47:H55)</f>
        <v>819.61000000000013</v>
      </c>
      <c r="I56" s="20"/>
    </row>
    <row r="57" spans="2:9" x14ac:dyDescent="0.2">
      <c r="B57" s="236"/>
      <c r="C57" s="237"/>
      <c r="D57" s="237"/>
      <c r="E57" s="237"/>
      <c r="F57" s="237"/>
      <c r="G57" s="237"/>
      <c r="H57" s="238"/>
      <c r="I57" s="119"/>
    </row>
    <row r="58" spans="2:9" ht="12.75" customHeight="1" x14ac:dyDescent="0.2">
      <c r="B58" s="233" t="s">
        <v>37</v>
      </c>
      <c r="C58" s="234"/>
      <c r="D58" s="234"/>
      <c r="E58" s="234"/>
      <c r="F58" s="235"/>
      <c r="G58" s="150"/>
      <c r="H58" s="151"/>
      <c r="I58" s="119"/>
    </row>
    <row r="59" spans="2:9" x14ac:dyDescent="0.2">
      <c r="B59" s="96" t="s">
        <v>40</v>
      </c>
      <c r="C59" s="207" t="s">
        <v>41</v>
      </c>
      <c r="D59" s="208"/>
      <c r="E59" s="208"/>
      <c r="F59" s="208"/>
      <c r="G59" s="83"/>
      <c r="H59" s="96" t="s">
        <v>49</v>
      </c>
      <c r="I59" s="101"/>
    </row>
    <row r="60" spans="2:9" ht="12.75" customHeight="1" x14ac:dyDescent="0.2">
      <c r="B60" s="16" t="s">
        <v>4</v>
      </c>
      <c r="C60" s="94" t="s">
        <v>47</v>
      </c>
      <c r="D60" s="173" t="s">
        <v>203</v>
      </c>
      <c r="E60" s="174"/>
      <c r="F60" s="174"/>
      <c r="G60" s="175"/>
      <c r="H60" s="40">
        <f>TRUNC((10.71*2*22)-(H$25*6%),2)</f>
        <v>359.35</v>
      </c>
      <c r="I60" s="120"/>
    </row>
    <row r="61" spans="2:9" ht="12.75" customHeight="1" x14ac:dyDescent="0.2">
      <c r="B61" s="16" t="s">
        <v>5</v>
      </c>
      <c r="C61" s="94" t="s">
        <v>48</v>
      </c>
      <c r="D61" s="173" t="s">
        <v>145</v>
      </c>
      <c r="E61" s="174" t="s">
        <v>218</v>
      </c>
      <c r="F61" s="174"/>
      <c r="G61" s="175"/>
      <c r="H61" s="40">
        <f>(20.76-1.39)*22</f>
        <v>426.14000000000004</v>
      </c>
      <c r="I61" s="120"/>
    </row>
    <row r="62" spans="2:9" x14ac:dyDescent="0.2">
      <c r="B62" s="16" t="s">
        <v>6</v>
      </c>
      <c r="C62" s="94" t="s">
        <v>200</v>
      </c>
      <c r="D62" s="173" t="s">
        <v>217</v>
      </c>
      <c r="E62" s="174"/>
      <c r="F62" s="174"/>
      <c r="G62" s="175"/>
      <c r="H62" s="40">
        <v>144.68</v>
      </c>
      <c r="I62" s="120"/>
    </row>
    <row r="63" spans="2:9" x14ac:dyDescent="0.2">
      <c r="B63" s="16" t="s">
        <v>7</v>
      </c>
      <c r="C63" s="94" t="s">
        <v>201</v>
      </c>
      <c r="D63" s="173" t="s">
        <v>219</v>
      </c>
      <c r="E63" s="174"/>
      <c r="F63" s="174"/>
      <c r="G63" s="175"/>
      <c r="H63" s="40">
        <v>35.33</v>
      </c>
      <c r="I63" s="120"/>
    </row>
    <row r="64" spans="2:9" x14ac:dyDescent="0.2">
      <c r="B64" s="16" t="s">
        <v>8</v>
      </c>
      <c r="C64" s="94" t="s">
        <v>202</v>
      </c>
      <c r="D64" s="173" t="s">
        <v>220</v>
      </c>
      <c r="E64" s="174"/>
      <c r="F64" s="174"/>
      <c r="G64" s="175"/>
      <c r="H64" s="40">
        <v>15.96</v>
      </c>
      <c r="I64" s="120"/>
    </row>
    <row r="65" spans="2:9" x14ac:dyDescent="0.2">
      <c r="B65" s="16" t="s">
        <v>9</v>
      </c>
      <c r="C65" s="94" t="s">
        <v>204</v>
      </c>
      <c r="D65" s="173" t="s">
        <v>221</v>
      </c>
      <c r="E65" s="174"/>
      <c r="F65" s="174"/>
      <c r="G65" s="175"/>
      <c r="H65" s="40">
        <f>20.76/12</f>
        <v>1.7300000000000002</v>
      </c>
      <c r="I65" s="120"/>
    </row>
    <row r="66" spans="2:9" x14ac:dyDescent="0.2">
      <c r="B66" s="16" t="s">
        <v>143</v>
      </c>
      <c r="C66" s="207" t="s">
        <v>61</v>
      </c>
      <c r="D66" s="208"/>
      <c r="E66" s="208"/>
      <c r="F66" s="208"/>
      <c r="G66" s="83"/>
      <c r="H66" s="19">
        <f>SUM(H60:H65)</f>
        <v>983.19000000000017</v>
      </c>
      <c r="I66" s="20"/>
    </row>
    <row r="67" spans="2:9" x14ac:dyDescent="0.2">
      <c r="B67" s="230"/>
      <c r="C67" s="231"/>
      <c r="D67" s="231"/>
      <c r="E67" s="231"/>
      <c r="F67" s="231"/>
      <c r="G67" s="231"/>
      <c r="H67" s="232"/>
      <c r="I67" s="100"/>
    </row>
    <row r="68" spans="2:9" x14ac:dyDescent="0.2">
      <c r="B68" s="245" t="s">
        <v>71</v>
      </c>
      <c r="C68" s="246"/>
      <c r="D68" s="246"/>
      <c r="E68" s="246"/>
      <c r="F68" s="246"/>
      <c r="G68" s="154"/>
      <c r="H68" s="154"/>
      <c r="I68" s="100"/>
    </row>
    <row r="69" spans="2:9" x14ac:dyDescent="0.2">
      <c r="B69" s="96">
        <v>2</v>
      </c>
      <c r="C69" s="207" t="s">
        <v>70</v>
      </c>
      <c r="D69" s="208"/>
      <c r="E69" s="208"/>
      <c r="F69" s="208"/>
      <c r="G69" s="83"/>
      <c r="H69" s="96" t="s">
        <v>49</v>
      </c>
      <c r="I69" s="101"/>
    </row>
    <row r="70" spans="2:9" x14ac:dyDescent="0.2">
      <c r="B70" s="16" t="s">
        <v>38</v>
      </c>
      <c r="C70" s="84" t="s">
        <v>27</v>
      </c>
      <c r="D70" s="173" t="s">
        <v>132</v>
      </c>
      <c r="E70" s="174"/>
      <c r="F70" s="174"/>
      <c r="G70" s="175"/>
      <c r="H70" s="22">
        <f>H43</f>
        <v>362.58</v>
      </c>
      <c r="I70" s="107"/>
    </row>
    <row r="71" spans="2:9" x14ac:dyDescent="0.2">
      <c r="B71" s="16" t="s">
        <v>39</v>
      </c>
      <c r="C71" s="84" t="s">
        <v>28</v>
      </c>
      <c r="D71" s="173" t="s">
        <v>142</v>
      </c>
      <c r="E71" s="174"/>
      <c r="F71" s="174"/>
      <c r="G71" s="175"/>
      <c r="H71" s="22">
        <f>H56</f>
        <v>819.61000000000013</v>
      </c>
      <c r="I71" s="107"/>
    </row>
    <row r="72" spans="2:9" x14ac:dyDescent="0.2">
      <c r="B72" s="16" t="s">
        <v>40</v>
      </c>
      <c r="C72" s="84" t="s">
        <v>41</v>
      </c>
      <c r="D72" s="173" t="s">
        <v>143</v>
      </c>
      <c r="E72" s="174"/>
      <c r="F72" s="174"/>
      <c r="G72" s="175"/>
      <c r="H72" s="22">
        <f>H66</f>
        <v>983.19000000000017</v>
      </c>
      <c r="I72" s="107"/>
    </row>
    <row r="73" spans="2:9" x14ac:dyDescent="0.2">
      <c r="B73" s="16" t="s">
        <v>144</v>
      </c>
      <c r="C73" s="207" t="s">
        <v>61</v>
      </c>
      <c r="D73" s="208"/>
      <c r="E73" s="208"/>
      <c r="F73" s="208"/>
      <c r="G73" s="83"/>
      <c r="H73" s="19">
        <f>SUM(H70:H72)</f>
        <v>2165.38</v>
      </c>
      <c r="I73" s="20"/>
    </row>
    <row r="74" spans="2:9" x14ac:dyDescent="0.2">
      <c r="B74" s="231"/>
      <c r="C74" s="231"/>
      <c r="D74" s="231"/>
      <c r="E74" s="231"/>
      <c r="F74" s="231"/>
      <c r="G74" s="231"/>
      <c r="H74" s="231"/>
      <c r="I74" s="101"/>
    </row>
    <row r="75" spans="2:9" x14ac:dyDescent="0.2">
      <c r="B75" s="100"/>
      <c r="C75" s="100"/>
      <c r="D75" s="100"/>
      <c r="E75" s="100"/>
      <c r="F75" s="100"/>
      <c r="G75" s="100"/>
      <c r="H75" s="100"/>
      <c r="I75" s="101"/>
    </row>
    <row r="76" spans="2:9" x14ac:dyDescent="0.2">
      <c r="B76" s="205" t="s">
        <v>72</v>
      </c>
      <c r="C76" s="206"/>
      <c r="D76" s="206"/>
      <c r="E76" s="206"/>
      <c r="F76" s="242"/>
      <c r="G76" s="147"/>
      <c r="H76" s="148"/>
      <c r="I76" s="101"/>
    </row>
    <row r="77" spans="2:9" x14ac:dyDescent="0.2">
      <c r="B77" s="96">
        <v>3</v>
      </c>
      <c r="C77" s="207" t="s">
        <v>62</v>
      </c>
      <c r="D77" s="208"/>
      <c r="E77" s="208"/>
      <c r="F77" s="209"/>
      <c r="G77" s="96" t="s">
        <v>1</v>
      </c>
      <c r="H77" s="96" t="s">
        <v>49</v>
      </c>
      <c r="I77" s="101"/>
    </row>
    <row r="78" spans="2:9" x14ac:dyDescent="0.2">
      <c r="B78" s="16" t="s">
        <v>4</v>
      </c>
      <c r="C78" s="85" t="s">
        <v>97</v>
      </c>
      <c r="D78" s="173" t="s">
        <v>160</v>
      </c>
      <c r="E78" s="174"/>
      <c r="F78" s="175"/>
      <c r="G78" s="41">
        <v>1</v>
      </c>
      <c r="H78" s="25">
        <f>TRUNC((H$79+H$80)*$G78,2)</f>
        <v>323.70999999999998</v>
      </c>
      <c r="I78" s="20"/>
    </row>
    <row r="79" spans="2:9" x14ac:dyDescent="0.2">
      <c r="B79" s="16" t="s">
        <v>5</v>
      </c>
      <c r="C79" s="94" t="s">
        <v>98</v>
      </c>
      <c r="D79" s="173" t="s">
        <v>180</v>
      </c>
      <c r="E79" s="174"/>
      <c r="F79" s="175"/>
      <c r="G79" s="26"/>
      <c r="H79" s="22">
        <f>TRUNC((H$32+H$43+H$55+H$66-H60)/12,2)</f>
        <v>252.44</v>
      </c>
      <c r="I79" s="107"/>
    </row>
    <row r="80" spans="2:9" x14ac:dyDescent="0.2">
      <c r="B80" s="16" t="s">
        <v>6</v>
      </c>
      <c r="C80" s="94" t="s">
        <v>99</v>
      </c>
      <c r="D80" s="210" t="s">
        <v>172</v>
      </c>
      <c r="E80" s="212"/>
      <c r="F80" s="43">
        <v>0.4</v>
      </c>
      <c r="G80" s="26"/>
      <c r="H80" s="22">
        <f>TRUNC(H$55*$F80,2)</f>
        <v>71.27</v>
      </c>
      <c r="I80" s="107"/>
    </row>
    <row r="81" spans="2:9" x14ac:dyDescent="0.2">
      <c r="B81" s="16" t="s">
        <v>7</v>
      </c>
      <c r="C81" s="85" t="s">
        <v>100</v>
      </c>
      <c r="D81" s="173" t="s">
        <v>161</v>
      </c>
      <c r="E81" s="174"/>
      <c r="F81" s="175"/>
      <c r="G81" s="41">
        <v>1</v>
      </c>
      <c r="H81" s="88">
        <f>IF($G81&gt;=1,(TRUNC(H$82*$G81,2)),"ERRO")</f>
        <v>71.27</v>
      </c>
      <c r="I81" s="109"/>
    </row>
    <row r="82" spans="2:9" x14ac:dyDescent="0.2">
      <c r="B82" s="16" t="s">
        <v>8</v>
      </c>
      <c r="C82" s="94" t="s">
        <v>101</v>
      </c>
      <c r="D82" s="210" t="s">
        <v>172</v>
      </c>
      <c r="E82" s="212"/>
      <c r="F82" s="43">
        <v>0.4</v>
      </c>
      <c r="G82" s="26"/>
      <c r="H82" s="22">
        <f>TRUNC(H$55*$F82,2)</f>
        <v>71.27</v>
      </c>
      <c r="I82" s="107"/>
    </row>
    <row r="83" spans="2:9" x14ac:dyDescent="0.2">
      <c r="B83" s="16" t="s">
        <v>9</v>
      </c>
      <c r="C83" s="85" t="s">
        <v>177</v>
      </c>
      <c r="D83" s="240" t="s">
        <v>198</v>
      </c>
      <c r="E83" s="241"/>
      <c r="F83" s="42">
        <v>12</v>
      </c>
      <c r="G83" s="42">
        <v>3</v>
      </c>
      <c r="H83" s="22">
        <f>TRUNC(((H$32+H$43+H$56)/30)*$G83/$F83,2)</f>
        <v>25.39</v>
      </c>
      <c r="I83" s="107"/>
    </row>
    <row r="84" spans="2:9" x14ac:dyDescent="0.2">
      <c r="B84" s="16" t="s">
        <v>147</v>
      </c>
      <c r="C84" s="207" t="s">
        <v>61</v>
      </c>
      <c r="D84" s="208"/>
      <c r="E84" s="208"/>
      <c r="F84" s="208"/>
      <c r="G84" s="83"/>
      <c r="H84" s="19">
        <f>H$78+H$81+H$83</f>
        <v>420.36999999999995</v>
      </c>
      <c r="I84" s="20"/>
    </row>
    <row r="85" spans="2:9" x14ac:dyDescent="0.2">
      <c r="B85" s="97"/>
      <c r="C85" s="97"/>
      <c r="D85" s="97"/>
      <c r="E85" s="97"/>
      <c r="F85" s="97"/>
      <c r="G85" s="97"/>
      <c r="H85" s="97"/>
      <c r="I85" s="97"/>
    </row>
    <row r="86" spans="2:9" x14ac:dyDescent="0.2">
      <c r="B86" s="100"/>
      <c r="C86" s="100"/>
      <c r="D86" s="100"/>
      <c r="E86" s="100"/>
      <c r="F86" s="100"/>
      <c r="G86" s="100"/>
      <c r="H86" s="100"/>
      <c r="I86" s="101"/>
    </row>
    <row r="87" spans="2:9" x14ac:dyDescent="0.2">
      <c r="B87" s="205" t="s">
        <v>73</v>
      </c>
      <c r="C87" s="206"/>
      <c r="D87" s="206"/>
      <c r="E87" s="206"/>
      <c r="F87" s="242"/>
      <c r="G87" s="147"/>
      <c r="H87" s="148"/>
      <c r="I87" s="101"/>
    </row>
    <row r="88" spans="2:9" x14ac:dyDescent="0.2">
      <c r="B88" s="243" t="s">
        <v>91</v>
      </c>
      <c r="C88" s="244"/>
      <c r="D88" s="244"/>
      <c r="E88" s="244"/>
      <c r="F88" s="244"/>
      <c r="G88" s="155"/>
      <c r="H88" s="156"/>
      <c r="I88" s="101"/>
    </row>
    <row r="89" spans="2:9" x14ac:dyDescent="0.2">
      <c r="B89" s="96" t="s">
        <v>14</v>
      </c>
      <c r="C89" s="207" t="s">
        <v>92</v>
      </c>
      <c r="D89" s="208"/>
      <c r="E89" s="208"/>
      <c r="F89" s="209"/>
      <c r="G89" s="96" t="s">
        <v>105</v>
      </c>
      <c r="H89" s="96" t="s">
        <v>49</v>
      </c>
      <c r="I89" s="101"/>
    </row>
    <row r="90" spans="2:9" x14ac:dyDescent="0.2">
      <c r="B90" s="16" t="s">
        <v>4</v>
      </c>
      <c r="C90" s="94" t="s">
        <v>111</v>
      </c>
      <c r="D90" s="173" t="s">
        <v>153</v>
      </c>
      <c r="E90" s="174"/>
      <c r="F90" s="175"/>
      <c r="G90" s="42">
        <v>30</v>
      </c>
      <c r="H90" s="22">
        <f>TRUNC((H$92*$G90)/12,2)</f>
        <v>370.85</v>
      </c>
      <c r="I90" s="107"/>
    </row>
    <row r="91" spans="2:9" ht="22.5" x14ac:dyDescent="0.2">
      <c r="B91" s="16" t="s">
        <v>5</v>
      </c>
      <c r="C91" s="86" t="s">
        <v>159</v>
      </c>
      <c r="D91" s="176" t="s">
        <v>162</v>
      </c>
      <c r="E91" s="177"/>
      <c r="F91" s="178"/>
      <c r="G91" s="61">
        <v>8</v>
      </c>
      <c r="H91" s="22">
        <f>TRUNC((H$92*$G91)/12,2)</f>
        <v>98.89</v>
      </c>
      <c r="I91" s="107"/>
    </row>
    <row r="92" spans="2:9" x14ac:dyDescent="0.2">
      <c r="B92" s="16" t="s">
        <v>6</v>
      </c>
      <c r="C92" s="94" t="s">
        <v>113</v>
      </c>
      <c r="D92" s="173" t="s">
        <v>146</v>
      </c>
      <c r="E92" s="174"/>
      <c r="F92" s="174"/>
      <c r="G92" s="175"/>
      <c r="H92" s="22">
        <f>TRUNC((H$32+H$73+H$84)/30,2)</f>
        <v>148.34</v>
      </c>
      <c r="I92" s="107"/>
    </row>
    <row r="93" spans="2:9" x14ac:dyDescent="0.2">
      <c r="B93" s="16" t="s">
        <v>148</v>
      </c>
      <c r="C93" s="207" t="s">
        <v>61</v>
      </c>
      <c r="D93" s="208"/>
      <c r="E93" s="208"/>
      <c r="F93" s="208"/>
      <c r="G93" s="83"/>
      <c r="H93" s="19">
        <f>TRUNC(H$90+H$91,2)</f>
        <v>469.74</v>
      </c>
      <c r="I93" s="20"/>
    </row>
    <row r="94" spans="2:9" x14ac:dyDescent="0.2">
      <c r="B94" s="75"/>
      <c r="C94" s="76"/>
      <c r="D94" s="76"/>
      <c r="E94" s="76"/>
      <c r="F94" s="76"/>
      <c r="G94" s="76"/>
      <c r="H94" s="77"/>
      <c r="I94" s="27"/>
    </row>
    <row r="95" spans="2:9" x14ac:dyDescent="0.2">
      <c r="B95" s="245" t="s">
        <v>93</v>
      </c>
      <c r="C95" s="246"/>
      <c r="D95" s="246"/>
      <c r="E95" s="246"/>
      <c r="F95" s="246"/>
      <c r="G95" s="157"/>
      <c r="H95" s="158"/>
      <c r="I95" s="101"/>
    </row>
    <row r="96" spans="2:9" x14ac:dyDescent="0.2">
      <c r="B96" s="96" t="s">
        <v>15</v>
      </c>
      <c r="C96" s="207" t="s">
        <v>94</v>
      </c>
      <c r="D96" s="208"/>
      <c r="E96" s="208"/>
      <c r="F96" s="209"/>
      <c r="G96" s="96" t="s">
        <v>105</v>
      </c>
      <c r="H96" s="96" t="s">
        <v>49</v>
      </c>
      <c r="I96" s="101"/>
    </row>
    <row r="97" spans="2:9" ht="22.5" x14ac:dyDescent="0.2">
      <c r="B97" s="16" t="s">
        <v>4</v>
      </c>
      <c r="C97" s="86" t="s">
        <v>95</v>
      </c>
      <c r="D97" s="173" t="s">
        <v>182</v>
      </c>
      <c r="E97" s="174"/>
      <c r="F97" s="174"/>
      <c r="G97" s="42"/>
      <c r="H97" s="22">
        <f>TRUNC(((H$32+H73+H84)/220)*(1+50%)*G97,2)</f>
        <v>0</v>
      </c>
      <c r="I97" s="107"/>
    </row>
    <row r="98" spans="2:9" x14ac:dyDescent="0.2">
      <c r="B98" s="16" t="s">
        <v>149</v>
      </c>
      <c r="C98" s="207" t="s">
        <v>61</v>
      </c>
      <c r="D98" s="208"/>
      <c r="E98" s="208"/>
      <c r="F98" s="208"/>
      <c r="G98" s="133"/>
      <c r="H98" s="19">
        <f>H97</f>
        <v>0</v>
      </c>
      <c r="I98" s="107"/>
    </row>
    <row r="99" spans="2:9" x14ac:dyDescent="0.2">
      <c r="B99" s="99"/>
      <c r="C99" s="98"/>
      <c r="D99" s="98"/>
      <c r="E99" s="98"/>
      <c r="F99" s="98"/>
      <c r="G99" s="100"/>
      <c r="H99" s="172"/>
      <c r="I99" s="123"/>
    </row>
    <row r="100" spans="2:9" x14ac:dyDescent="0.2">
      <c r="B100" s="245" t="s">
        <v>74</v>
      </c>
      <c r="C100" s="246"/>
      <c r="D100" s="246"/>
      <c r="E100" s="246"/>
      <c r="F100" s="246"/>
      <c r="G100" s="157"/>
      <c r="H100" s="158"/>
      <c r="I100" s="101"/>
    </row>
    <row r="101" spans="2:9" x14ac:dyDescent="0.2">
      <c r="B101" s="96">
        <v>4</v>
      </c>
      <c r="C101" s="207" t="s">
        <v>75</v>
      </c>
      <c r="D101" s="208"/>
      <c r="E101" s="208"/>
      <c r="F101" s="208"/>
      <c r="G101" s="209"/>
      <c r="H101" s="96" t="s">
        <v>49</v>
      </c>
      <c r="I101" s="101"/>
    </row>
    <row r="102" spans="2:9" x14ac:dyDescent="0.2">
      <c r="B102" s="16" t="s">
        <v>14</v>
      </c>
      <c r="C102" s="94" t="s">
        <v>42</v>
      </c>
      <c r="D102" s="173" t="s">
        <v>148</v>
      </c>
      <c r="E102" s="174"/>
      <c r="F102" s="174"/>
      <c r="G102" s="175"/>
      <c r="H102" s="22">
        <f>H93</f>
        <v>469.74</v>
      </c>
      <c r="I102" s="107"/>
    </row>
    <row r="103" spans="2:9" x14ac:dyDescent="0.2">
      <c r="B103" s="16" t="s">
        <v>15</v>
      </c>
      <c r="C103" s="94" t="s">
        <v>44</v>
      </c>
      <c r="D103" s="173" t="s">
        <v>149</v>
      </c>
      <c r="E103" s="174"/>
      <c r="F103" s="174"/>
      <c r="G103" s="175"/>
      <c r="H103" s="22">
        <f>H98</f>
        <v>0</v>
      </c>
      <c r="I103" s="107"/>
    </row>
    <row r="104" spans="2:9" x14ac:dyDescent="0.2">
      <c r="B104" s="16" t="s">
        <v>150</v>
      </c>
      <c r="C104" s="207" t="s">
        <v>61</v>
      </c>
      <c r="D104" s="208"/>
      <c r="E104" s="208"/>
      <c r="F104" s="208"/>
      <c r="G104" s="83"/>
      <c r="H104" s="19">
        <f>SUM(H102:H103)</f>
        <v>469.74</v>
      </c>
      <c r="I104" s="20"/>
    </row>
    <row r="105" spans="2:9" x14ac:dyDescent="0.2">
      <c r="B105" s="100"/>
      <c r="C105" s="100"/>
      <c r="D105" s="100"/>
      <c r="E105" s="100"/>
      <c r="F105" s="100"/>
      <c r="G105" s="100"/>
      <c r="H105" s="100"/>
      <c r="I105" s="101"/>
    </row>
    <row r="106" spans="2:9" x14ac:dyDescent="0.2">
      <c r="B106" s="100"/>
      <c r="C106" s="100"/>
      <c r="D106" s="100"/>
      <c r="E106" s="100"/>
      <c r="F106" s="100"/>
      <c r="G106" s="100"/>
      <c r="H106" s="100"/>
      <c r="I106" s="101"/>
    </row>
    <row r="107" spans="2:9" x14ac:dyDescent="0.2">
      <c r="B107" s="205" t="s">
        <v>76</v>
      </c>
      <c r="C107" s="206"/>
      <c r="D107" s="206"/>
      <c r="E107" s="206"/>
      <c r="F107" s="242"/>
      <c r="G107" s="147"/>
      <c r="H107" s="148"/>
      <c r="I107" s="101"/>
    </row>
    <row r="108" spans="2:9" x14ac:dyDescent="0.2">
      <c r="B108" s="96">
        <v>5</v>
      </c>
      <c r="C108" s="247" t="s">
        <v>63</v>
      </c>
      <c r="D108" s="248"/>
      <c r="E108" s="248"/>
      <c r="F108" s="248"/>
      <c r="G108" s="249"/>
      <c r="H108" s="96" t="s">
        <v>49</v>
      </c>
      <c r="I108" s="101"/>
    </row>
    <row r="109" spans="2:9" x14ac:dyDescent="0.2">
      <c r="B109" s="16" t="s">
        <v>4</v>
      </c>
      <c r="C109" s="69" t="s">
        <v>45</v>
      </c>
      <c r="D109" s="70"/>
      <c r="E109" s="70"/>
      <c r="F109" s="70"/>
      <c r="G109" s="71"/>
      <c r="H109" s="72">
        <f>Insumos!G11</f>
        <v>340.20722222222224</v>
      </c>
      <c r="I109" s="107"/>
    </row>
    <row r="110" spans="2:9" x14ac:dyDescent="0.2">
      <c r="B110" s="16" t="s">
        <v>5</v>
      </c>
      <c r="C110" s="69" t="s">
        <v>12</v>
      </c>
      <c r="D110" s="70"/>
      <c r="E110" s="70"/>
      <c r="F110" s="70"/>
      <c r="G110" s="71"/>
      <c r="H110" s="72">
        <v>0</v>
      </c>
      <c r="I110" s="107"/>
    </row>
    <row r="111" spans="2:9" x14ac:dyDescent="0.2">
      <c r="B111" s="16" t="s">
        <v>6</v>
      </c>
      <c r="C111" s="69" t="s">
        <v>13</v>
      </c>
      <c r="D111" s="70"/>
      <c r="E111" s="70"/>
      <c r="F111" s="70"/>
      <c r="G111" s="71"/>
      <c r="H111" s="72">
        <v>0</v>
      </c>
      <c r="I111" s="107"/>
    </row>
    <row r="112" spans="2:9" x14ac:dyDescent="0.2">
      <c r="B112" s="16" t="s">
        <v>7</v>
      </c>
      <c r="C112" s="69" t="s">
        <v>2</v>
      </c>
      <c r="D112" s="70"/>
      <c r="E112" s="70"/>
      <c r="F112" s="70"/>
      <c r="G112" s="71"/>
      <c r="H112" s="72"/>
      <c r="I112" s="107"/>
    </row>
    <row r="113" spans="2:9" x14ac:dyDescent="0.2">
      <c r="B113" s="16" t="s">
        <v>151</v>
      </c>
      <c r="C113" s="207" t="s">
        <v>61</v>
      </c>
      <c r="D113" s="208"/>
      <c r="E113" s="208"/>
      <c r="F113" s="208"/>
      <c r="G113" s="83"/>
      <c r="H113" s="19">
        <f>SUM(H109:H112)</f>
        <v>340.20722222222224</v>
      </c>
      <c r="I113" s="20"/>
    </row>
    <row r="114" spans="2:9" x14ac:dyDescent="0.2">
      <c r="B114" s="100"/>
      <c r="C114" s="100"/>
      <c r="D114" s="100"/>
      <c r="E114" s="100"/>
      <c r="F114" s="100"/>
      <c r="G114" s="78"/>
      <c r="H114" s="73"/>
      <c r="I114" s="20"/>
    </row>
    <row r="115" spans="2:9" x14ac:dyDescent="0.2">
      <c r="B115" s="100"/>
      <c r="C115" s="100"/>
      <c r="D115" s="100"/>
      <c r="E115" s="100"/>
      <c r="F115" s="100"/>
      <c r="G115" s="100"/>
      <c r="H115" s="100"/>
      <c r="I115" s="101"/>
    </row>
    <row r="116" spans="2:9" x14ac:dyDescent="0.2">
      <c r="B116" s="205" t="s">
        <v>77</v>
      </c>
      <c r="C116" s="206"/>
      <c r="D116" s="206"/>
      <c r="E116" s="206"/>
      <c r="F116" s="242"/>
      <c r="G116" s="147"/>
      <c r="H116" s="148"/>
      <c r="I116" s="101"/>
    </row>
    <row r="117" spans="2:9" x14ac:dyDescent="0.2">
      <c r="B117" s="96">
        <v>6</v>
      </c>
      <c r="C117" s="207" t="s">
        <v>64</v>
      </c>
      <c r="D117" s="208"/>
      <c r="E117" s="208"/>
      <c r="F117" s="209"/>
      <c r="G117" s="96" t="s">
        <v>1</v>
      </c>
      <c r="H117" s="96" t="s">
        <v>49</v>
      </c>
      <c r="I117" s="101"/>
    </row>
    <row r="118" spans="2:9" x14ac:dyDescent="0.2">
      <c r="B118" s="16" t="s">
        <v>4</v>
      </c>
      <c r="C118" s="94" t="s">
        <v>16</v>
      </c>
      <c r="D118" s="210" t="s">
        <v>163</v>
      </c>
      <c r="E118" s="211"/>
      <c r="F118" s="212"/>
      <c r="G118" s="50">
        <v>0.05</v>
      </c>
      <c r="H118" s="22">
        <f>TRUNC(H$135*$G118,2)</f>
        <v>263.02</v>
      </c>
      <c r="I118" s="107"/>
    </row>
    <row r="119" spans="2:9" x14ac:dyDescent="0.2">
      <c r="B119" s="16" t="s">
        <v>5</v>
      </c>
      <c r="C119" s="94" t="s">
        <v>3</v>
      </c>
      <c r="D119" s="210" t="s">
        <v>164</v>
      </c>
      <c r="E119" s="211"/>
      <c r="F119" s="212"/>
      <c r="G119" s="50">
        <v>0.1</v>
      </c>
      <c r="H119" s="22">
        <f>TRUNC((H$135+H$118)*$G119,2)</f>
        <v>552.34</v>
      </c>
      <c r="I119" s="107"/>
    </row>
    <row r="120" spans="2:9" x14ac:dyDescent="0.2">
      <c r="B120" s="16" t="s">
        <v>6</v>
      </c>
      <c r="C120" s="94" t="s">
        <v>118</v>
      </c>
      <c r="D120" s="210" t="s">
        <v>165</v>
      </c>
      <c r="E120" s="211"/>
      <c r="F120" s="212"/>
      <c r="G120" s="52">
        <f>1-(G121+G122+G123)</f>
        <v>0.88749999999999996</v>
      </c>
      <c r="H120" s="28">
        <f>TRUNC(((H$135+H$118+H$119)/$G120),2)</f>
        <v>6845.94</v>
      </c>
      <c r="I120" s="110"/>
    </row>
    <row r="121" spans="2:9" x14ac:dyDescent="0.2">
      <c r="B121" s="16" t="s">
        <v>21</v>
      </c>
      <c r="C121" s="94" t="s">
        <v>18</v>
      </c>
      <c r="D121" s="210" t="s">
        <v>166</v>
      </c>
      <c r="E121" s="211"/>
      <c r="F121" s="212"/>
      <c r="G121" s="51">
        <v>1.6500000000000001E-2</v>
      </c>
      <c r="H121" s="22">
        <f>TRUNC(H$120*$G121,2)</f>
        <v>112.95</v>
      </c>
      <c r="I121" s="107"/>
    </row>
    <row r="122" spans="2:9" x14ac:dyDescent="0.2">
      <c r="B122" s="16" t="s">
        <v>22</v>
      </c>
      <c r="C122" s="94" t="s">
        <v>19</v>
      </c>
      <c r="D122" s="210" t="s">
        <v>166</v>
      </c>
      <c r="E122" s="211"/>
      <c r="F122" s="212"/>
      <c r="G122" s="51">
        <v>7.5999999999999998E-2</v>
      </c>
      <c r="H122" s="22">
        <f>TRUNC(H$120*$G122,2)</f>
        <v>520.29</v>
      </c>
      <c r="I122" s="107"/>
    </row>
    <row r="123" spans="2:9" x14ac:dyDescent="0.2">
      <c r="B123" s="16" t="s">
        <v>23</v>
      </c>
      <c r="C123" s="94" t="s">
        <v>20</v>
      </c>
      <c r="D123" s="210" t="s">
        <v>166</v>
      </c>
      <c r="E123" s="211"/>
      <c r="F123" s="212"/>
      <c r="G123" s="51">
        <v>0.02</v>
      </c>
      <c r="H123" s="22">
        <f>TRUNC(H$120*$G123,2)</f>
        <v>136.91</v>
      </c>
      <c r="I123" s="107"/>
    </row>
    <row r="124" spans="2:9" x14ac:dyDescent="0.2">
      <c r="B124" s="16" t="s">
        <v>152</v>
      </c>
      <c r="C124" s="90" t="s">
        <v>61</v>
      </c>
      <c r="D124" s="250" t="s">
        <v>154</v>
      </c>
      <c r="E124" s="250"/>
      <c r="F124" s="250"/>
      <c r="G124" s="171"/>
      <c r="H124" s="19">
        <f>SUM(H118:H123)-H120</f>
        <v>1585.5099999999993</v>
      </c>
      <c r="I124" s="20"/>
    </row>
    <row r="125" spans="2:9" x14ac:dyDescent="0.2">
      <c r="B125" s="67"/>
      <c r="C125" s="67"/>
      <c r="D125" s="67"/>
      <c r="E125" s="67"/>
      <c r="F125" s="67"/>
      <c r="G125" s="67"/>
      <c r="H125" s="79"/>
      <c r="I125" s="29"/>
    </row>
    <row r="126" spans="2:9" x14ac:dyDescent="0.2">
      <c r="B126" s="251" t="s">
        <v>193</v>
      </c>
      <c r="C126" s="251"/>
      <c r="D126" s="251"/>
      <c r="E126" s="251"/>
      <c r="F126" s="251"/>
      <c r="G126" s="251"/>
      <c r="H126" s="251"/>
      <c r="I126" s="117"/>
    </row>
    <row r="127" spans="2:9" x14ac:dyDescent="0.2">
      <c r="B127" s="93"/>
      <c r="C127" s="93"/>
      <c r="D127" s="93"/>
      <c r="E127" s="93"/>
      <c r="F127" s="93"/>
      <c r="G127" s="93"/>
      <c r="H127" s="93"/>
      <c r="I127" s="117"/>
    </row>
    <row r="128" spans="2:9" x14ac:dyDescent="0.2">
      <c r="B128" s="205" t="s">
        <v>194</v>
      </c>
      <c r="C128" s="206"/>
      <c r="D128" s="206"/>
      <c r="E128" s="206"/>
      <c r="F128" s="206"/>
      <c r="G128" s="165"/>
      <c r="H128" s="148"/>
      <c r="I128" s="101"/>
    </row>
    <row r="129" spans="2:9" ht="12.75" customHeight="1" x14ac:dyDescent="0.2">
      <c r="B129" s="163"/>
      <c r="C129" s="252" t="s">
        <v>119</v>
      </c>
      <c r="D129" s="253"/>
      <c r="E129" s="253"/>
      <c r="F129" s="253"/>
      <c r="G129" s="164"/>
      <c r="H129" s="146" t="s">
        <v>49</v>
      </c>
      <c r="I129" s="101"/>
    </row>
    <row r="130" spans="2:9" x14ac:dyDescent="0.2">
      <c r="B130" s="16" t="s">
        <v>4</v>
      </c>
      <c r="C130" s="86" t="s">
        <v>79</v>
      </c>
      <c r="D130" s="173" t="s">
        <v>130</v>
      </c>
      <c r="E130" s="174"/>
      <c r="F130" s="174"/>
      <c r="G130" s="175"/>
      <c r="H130" s="22">
        <f>H32</f>
        <v>1864.72</v>
      </c>
      <c r="I130" s="107"/>
    </row>
    <row r="131" spans="2:9" ht="22.5" x14ac:dyDescent="0.2">
      <c r="B131" s="16" t="s">
        <v>5</v>
      </c>
      <c r="C131" s="86" t="s">
        <v>80</v>
      </c>
      <c r="D131" s="173" t="s">
        <v>144</v>
      </c>
      <c r="E131" s="174"/>
      <c r="F131" s="174"/>
      <c r="G131" s="175"/>
      <c r="H131" s="22">
        <f>H73</f>
        <v>2165.38</v>
      </c>
      <c r="I131" s="107"/>
    </row>
    <row r="132" spans="2:9" x14ac:dyDescent="0.2">
      <c r="B132" s="16" t="s">
        <v>6</v>
      </c>
      <c r="C132" s="86" t="s">
        <v>81</v>
      </c>
      <c r="D132" s="173" t="s">
        <v>147</v>
      </c>
      <c r="E132" s="174"/>
      <c r="F132" s="174"/>
      <c r="G132" s="175"/>
      <c r="H132" s="22">
        <f>H84</f>
        <v>420.36999999999995</v>
      </c>
      <c r="I132" s="107"/>
    </row>
    <row r="133" spans="2:9" ht="22.5" x14ac:dyDescent="0.2">
      <c r="B133" s="16" t="s">
        <v>7</v>
      </c>
      <c r="C133" s="86" t="s">
        <v>43</v>
      </c>
      <c r="D133" s="173" t="s">
        <v>150</v>
      </c>
      <c r="E133" s="174"/>
      <c r="F133" s="174"/>
      <c r="G133" s="175"/>
      <c r="H133" s="22">
        <f>H104</f>
        <v>469.74</v>
      </c>
      <c r="I133" s="107"/>
    </row>
    <row r="134" spans="2:9" x14ac:dyDescent="0.2">
      <c r="B134" s="16" t="s">
        <v>8</v>
      </c>
      <c r="C134" s="86" t="s">
        <v>82</v>
      </c>
      <c r="D134" s="173" t="s">
        <v>151</v>
      </c>
      <c r="E134" s="174"/>
      <c r="F134" s="174"/>
      <c r="G134" s="175"/>
      <c r="H134" s="22">
        <f>H113</f>
        <v>340.20722222222224</v>
      </c>
      <c r="I134" s="107"/>
    </row>
    <row r="135" spans="2:9" x14ac:dyDescent="0.2">
      <c r="B135" s="92" t="s">
        <v>9</v>
      </c>
      <c r="C135" s="85" t="s">
        <v>46</v>
      </c>
      <c r="D135" s="179" t="s">
        <v>170</v>
      </c>
      <c r="E135" s="180"/>
      <c r="F135" s="180"/>
      <c r="G135" s="181"/>
      <c r="H135" s="25">
        <f>SUM(H130:H134)</f>
        <v>5260.4172222222223</v>
      </c>
      <c r="I135" s="20"/>
    </row>
    <row r="136" spans="2:9" x14ac:dyDescent="0.2">
      <c r="B136" s="16" t="s">
        <v>10</v>
      </c>
      <c r="C136" s="94" t="s">
        <v>83</v>
      </c>
      <c r="D136" s="173" t="s">
        <v>152</v>
      </c>
      <c r="E136" s="174"/>
      <c r="F136" s="174"/>
      <c r="G136" s="175"/>
      <c r="H136" s="22">
        <f>H124</f>
        <v>1585.5099999999993</v>
      </c>
      <c r="I136" s="107"/>
    </row>
    <row r="137" spans="2:9" x14ac:dyDescent="0.2">
      <c r="B137" s="16" t="s">
        <v>155</v>
      </c>
      <c r="C137" s="89" t="s">
        <v>78</v>
      </c>
      <c r="D137" s="182" t="s">
        <v>169</v>
      </c>
      <c r="E137" s="170"/>
      <c r="F137" s="170"/>
      <c r="G137" s="171"/>
      <c r="H137" s="31">
        <f>SUM(H135:H136)</f>
        <v>6845.9272222222216</v>
      </c>
      <c r="I137" s="121"/>
    </row>
    <row r="138" spans="2:9" ht="12.75" customHeight="1" x14ac:dyDescent="0.2">
      <c r="B138" s="14"/>
      <c r="C138" s="14"/>
      <c r="D138" s="14"/>
      <c r="E138" s="14"/>
      <c r="F138" s="14"/>
      <c r="G138" s="14"/>
      <c r="H138" s="32"/>
      <c r="I138" s="32"/>
    </row>
    <row r="139" spans="2:9" x14ac:dyDescent="0.2">
      <c r="B139" s="251" t="s">
        <v>195</v>
      </c>
      <c r="C139" s="251"/>
      <c r="D139" s="251"/>
      <c r="E139" s="251"/>
      <c r="F139" s="251"/>
      <c r="I139" s="14"/>
    </row>
    <row r="140" spans="2:9" x14ac:dyDescent="0.2">
      <c r="B140" s="80"/>
      <c r="C140" s="80"/>
      <c r="D140" s="80"/>
      <c r="E140" s="74"/>
      <c r="F140" s="74"/>
      <c r="I140" s="14"/>
    </row>
    <row r="141" spans="2:9" x14ac:dyDescent="0.2">
      <c r="B141" s="262" t="s">
        <v>196</v>
      </c>
      <c r="C141" s="263"/>
      <c r="D141" s="263"/>
      <c r="E141" s="263"/>
      <c r="F141" s="263"/>
      <c r="G141" s="165"/>
      <c r="H141" s="148"/>
      <c r="I141" s="118"/>
    </row>
    <row r="142" spans="2:9" x14ac:dyDescent="0.2">
      <c r="B142" s="134" t="s">
        <v>4</v>
      </c>
      <c r="C142" s="166" t="s">
        <v>106</v>
      </c>
      <c r="D142" s="264" t="s">
        <v>155</v>
      </c>
      <c r="E142" s="265"/>
      <c r="F142" s="265"/>
      <c r="G142" s="167"/>
      <c r="H142" s="168">
        <f>H137</f>
        <v>6845.9272222222216</v>
      </c>
      <c r="I142" s="116"/>
    </row>
    <row r="143" spans="2:9" ht="22.5" x14ac:dyDescent="0.2">
      <c r="B143" s="16" t="s">
        <v>5</v>
      </c>
      <c r="C143" s="87" t="s">
        <v>157</v>
      </c>
      <c r="D143" s="266" t="s">
        <v>158</v>
      </c>
      <c r="E143" s="267"/>
      <c r="F143" s="267"/>
      <c r="G143" s="161"/>
      <c r="H143" s="11">
        <f>H43+H84+H102</f>
        <v>1252.69</v>
      </c>
      <c r="I143" s="111"/>
    </row>
    <row r="144" spans="2:9" ht="22.5" x14ac:dyDescent="0.2">
      <c r="B144" s="16" t="s">
        <v>6</v>
      </c>
      <c r="C144" s="87" t="s">
        <v>173</v>
      </c>
      <c r="D144" s="266" t="s">
        <v>181</v>
      </c>
      <c r="E144" s="267"/>
      <c r="F144" s="267"/>
      <c r="G144" s="162"/>
      <c r="H144" s="115">
        <f>TRUNC((H$43*$G56),2)</f>
        <v>133.41999999999999</v>
      </c>
      <c r="I144" s="116"/>
    </row>
    <row r="145" spans="2:9" ht="12.75" customHeight="1" x14ac:dyDescent="0.2">
      <c r="B145" s="16" t="s">
        <v>7</v>
      </c>
      <c r="C145" s="87" t="s">
        <v>16</v>
      </c>
      <c r="D145" s="254" t="s">
        <v>167</v>
      </c>
      <c r="E145" s="255"/>
      <c r="F145" s="256"/>
      <c r="G145" s="12">
        <f>G118</f>
        <v>0.05</v>
      </c>
      <c r="H145" s="11">
        <f>TRUNC((H$143+H$144)*$G145,2)</f>
        <v>69.3</v>
      </c>
      <c r="I145" s="111"/>
    </row>
    <row r="146" spans="2:9" ht="12.75" customHeight="1" x14ac:dyDescent="0.2">
      <c r="B146" s="16" t="s">
        <v>8</v>
      </c>
      <c r="C146" s="87" t="s">
        <v>3</v>
      </c>
      <c r="D146" s="254" t="s">
        <v>168</v>
      </c>
      <c r="E146" s="255"/>
      <c r="F146" s="256"/>
      <c r="G146" s="12">
        <f>G119</f>
        <v>0.1</v>
      </c>
      <c r="H146" s="11">
        <f>TRUNC((H$143+H$144+H$145)*$G146,2)</f>
        <v>145.54</v>
      </c>
      <c r="I146" s="111"/>
    </row>
    <row r="147" spans="2:9" ht="12.75" customHeight="1" x14ac:dyDescent="0.2">
      <c r="B147" s="16" t="s">
        <v>9</v>
      </c>
      <c r="C147" s="87" t="s">
        <v>107</v>
      </c>
      <c r="D147" s="254" t="s">
        <v>175</v>
      </c>
      <c r="E147" s="255"/>
      <c r="F147" s="256"/>
      <c r="G147" s="12">
        <f>G121+G122+G123</f>
        <v>0.1125</v>
      </c>
      <c r="H147" s="11">
        <f>TRUNC((H$143+H$144+H$145+H$146)/(1-$G147)-(H$143+H$144+H$145+H$146),2)</f>
        <v>202.93</v>
      </c>
      <c r="I147" s="111"/>
    </row>
    <row r="148" spans="2:9" ht="22.5" x14ac:dyDescent="0.2">
      <c r="B148" s="16" t="s">
        <v>10</v>
      </c>
      <c r="C148" s="135" t="s">
        <v>108</v>
      </c>
      <c r="D148" s="159" t="s">
        <v>176</v>
      </c>
      <c r="E148" s="160"/>
      <c r="F148" s="160"/>
      <c r="G148" s="161"/>
      <c r="H148" s="136">
        <f>SUM(H143:H147)</f>
        <v>1803.88</v>
      </c>
      <c r="I148" s="112"/>
    </row>
    <row r="149" spans="2:9" x14ac:dyDescent="0.2">
      <c r="B149" s="16" t="s">
        <v>156</v>
      </c>
      <c r="C149" s="91" t="s">
        <v>127</v>
      </c>
      <c r="D149" s="257" t="s">
        <v>174</v>
      </c>
      <c r="E149" s="258"/>
      <c r="F149" s="258"/>
      <c r="G149" s="169"/>
      <c r="H149" s="33">
        <f>H142-H148</f>
        <v>5042.0472222222215</v>
      </c>
      <c r="I149" s="122"/>
    </row>
    <row r="150" spans="2:9" ht="45" customHeight="1" x14ac:dyDescent="0.2">
      <c r="B150" s="259" t="s">
        <v>126</v>
      </c>
      <c r="C150" s="260"/>
      <c r="D150" s="260"/>
      <c r="E150" s="260"/>
      <c r="F150" s="260"/>
      <c r="G150" s="261"/>
      <c r="H150" s="145"/>
      <c r="I150" s="113"/>
    </row>
  </sheetData>
  <mergeCells count="106">
    <mergeCell ref="C129:F129"/>
    <mergeCell ref="D124:F124"/>
    <mergeCell ref="D145:F145"/>
    <mergeCell ref="D146:F146"/>
    <mergeCell ref="D147:F147"/>
    <mergeCell ref="B139:F139"/>
    <mergeCell ref="B150:G150"/>
    <mergeCell ref="B141:F141"/>
    <mergeCell ref="D142:F142"/>
    <mergeCell ref="D143:F143"/>
    <mergeCell ref="D144:F144"/>
    <mergeCell ref="D149:F149"/>
    <mergeCell ref="D123:F123"/>
    <mergeCell ref="B126:H126"/>
    <mergeCell ref="C117:F117"/>
    <mergeCell ref="D118:F118"/>
    <mergeCell ref="D119:F119"/>
    <mergeCell ref="D120:F120"/>
    <mergeCell ref="D121:F121"/>
    <mergeCell ref="D122:F122"/>
    <mergeCell ref="B128:F128"/>
    <mergeCell ref="C93:F93"/>
    <mergeCell ref="C84:F84"/>
    <mergeCell ref="C108:G108"/>
    <mergeCell ref="C96:F96"/>
    <mergeCell ref="C101:G101"/>
    <mergeCell ref="B107:F107"/>
    <mergeCell ref="B116:F116"/>
    <mergeCell ref="B95:F95"/>
    <mergeCell ref="B100:F100"/>
    <mergeCell ref="C113:F113"/>
    <mergeCell ref="C104:F104"/>
    <mergeCell ref="C98:F98"/>
    <mergeCell ref="C66:F66"/>
    <mergeCell ref="B74:H74"/>
    <mergeCell ref="C77:F77"/>
    <mergeCell ref="B67:H67"/>
    <mergeCell ref="B76:F76"/>
    <mergeCell ref="B68:F68"/>
    <mergeCell ref="C69:F69"/>
    <mergeCell ref="C73:F73"/>
    <mergeCell ref="C89:F89"/>
    <mergeCell ref="D80:E80"/>
    <mergeCell ref="D82:E82"/>
    <mergeCell ref="D83:E83"/>
    <mergeCell ref="B87:F87"/>
    <mergeCell ref="B88:F88"/>
    <mergeCell ref="D51:F51"/>
    <mergeCell ref="D52:F52"/>
    <mergeCell ref="D53:F53"/>
    <mergeCell ref="C46:F46"/>
    <mergeCell ref="D47:F47"/>
    <mergeCell ref="D48:F48"/>
    <mergeCell ref="B58:F58"/>
    <mergeCell ref="C59:F59"/>
    <mergeCell ref="D54:F54"/>
    <mergeCell ref="D55:F55"/>
    <mergeCell ref="C56:F56"/>
    <mergeCell ref="B57:H57"/>
    <mergeCell ref="B37:F37"/>
    <mergeCell ref="B39:F39"/>
    <mergeCell ref="B38:F38"/>
    <mergeCell ref="B49:B50"/>
    <mergeCell ref="C49:C50"/>
    <mergeCell ref="D49:D50"/>
    <mergeCell ref="C40:F40"/>
    <mergeCell ref="D41:F41"/>
    <mergeCell ref="D42:F42"/>
    <mergeCell ref="C43:F43"/>
    <mergeCell ref="B44:H44"/>
    <mergeCell ref="G49:G50"/>
    <mergeCell ref="H49:H50"/>
    <mergeCell ref="B45:F45"/>
    <mergeCell ref="C32:F32"/>
    <mergeCell ref="C33:F34"/>
    <mergeCell ref="D25:F25"/>
    <mergeCell ref="D26:F26"/>
    <mergeCell ref="D27:F27"/>
    <mergeCell ref="D28:F28"/>
    <mergeCell ref="D29:F29"/>
    <mergeCell ref="D30:F30"/>
    <mergeCell ref="B23:F23"/>
    <mergeCell ref="B2:H2"/>
    <mergeCell ref="B3:H3"/>
    <mergeCell ref="B9:B10"/>
    <mergeCell ref="B19:B20"/>
    <mergeCell ref="C24:F24"/>
    <mergeCell ref="B15:B16"/>
    <mergeCell ref="D6:F6"/>
    <mergeCell ref="B17:B18"/>
    <mergeCell ref="D31:F31"/>
    <mergeCell ref="B8:F8"/>
    <mergeCell ref="C9:F9"/>
    <mergeCell ref="C10:F10"/>
    <mergeCell ref="C20:F20"/>
    <mergeCell ref="C19:F19"/>
    <mergeCell ref="C18:F18"/>
    <mergeCell ref="C17:F17"/>
    <mergeCell ref="C16:F16"/>
    <mergeCell ref="C15:F15"/>
    <mergeCell ref="C14:F14"/>
    <mergeCell ref="C13:F13"/>
    <mergeCell ref="C12:F12"/>
    <mergeCell ref="C11:F11"/>
    <mergeCell ref="B11:B12"/>
    <mergeCell ref="B13:B14"/>
  </mergeCells>
  <dataValidations count="11">
    <dataValidation type="list" allowBlank="1" showInputMessage="1" showErrorMessage="1" sqref="G83" xr:uid="{00000000-0002-0000-0100-000000000000}">
      <formula1>"3,6,9,12,15"</formula1>
    </dataValidation>
    <dataValidation type="custom" allowBlank="1" showInputMessage="1" showErrorMessage="1" sqref="G120" xr:uid="{00000000-0002-0000-0100-000001000000}">
      <formula1>1-(G121+G122+G123)</formula1>
    </dataValidation>
    <dataValidation type="list" operator="equal" allowBlank="1" showInputMessage="1" showErrorMessage="1" errorTitle="Valor errado" error="Percentual fixo. Preencher com 40%." sqref="F80 F82" xr:uid="{00000000-0002-0000-0100-000002000000}">
      <formula1>"40%"</formula1>
    </dataValidation>
    <dataValidation type="whole" allowBlank="1" showInputMessage="1" showErrorMessage="1" errorTitle="Valor errado" error="Quantidade fixa de dias. Prencher com 30" sqref="G90" xr:uid="{00000000-0002-0000-0100-000003000000}">
      <formula1>30</formula1>
      <formula2>30</formula2>
    </dataValidation>
    <dataValidation type="list" allowBlank="1" showInputMessage="1" showErrorMessage="1" sqref="G30" xr:uid="{00000000-0002-0000-0100-000004000000}">
      <formula1>"0, 50%, 100%"</formula1>
    </dataValidation>
    <dataValidation type="list" allowBlank="1" showInputMessage="1" showErrorMessage="1" sqref="G121" xr:uid="{00000000-0002-0000-0100-000005000000}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122" xr:uid="{00000000-0002-0000-0100-000006000000}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28:G29" xr:uid="{00000000-0002-0000-0100-000007000000}">
      <formula1>"0, 20%"</formula1>
    </dataValidation>
    <dataValidation type="list" allowBlank="1" showInputMessage="1" showErrorMessage="1" sqref="E50" xr:uid="{00000000-0002-0000-0100-000008000000}">
      <formula1>"1%, 2%, 3%"</formula1>
    </dataValidation>
    <dataValidation type="list" allowBlank="1" showInputMessage="1" showErrorMessage="1" sqref="G27" xr:uid="{00000000-0002-0000-0100-000009000000}">
      <formula1>"0%, 10%, 20%, 40%"</formula1>
    </dataValidation>
    <dataValidation type="list" allowBlank="1" showInputMessage="1" showErrorMessage="1" sqref="G26" xr:uid="{00000000-0002-0000-0100-00000A000000}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69" fitToHeight="0" orientation="portrait" verticalDpi="300" r:id="rId1"/>
  <rowBreaks count="1" manualBreakCount="1">
    <brk id="74" max="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L11"/>
  <sheetViews>
    <sheetView showGridLines="0" zoomScaleNormal="100" workbookViewId="0">
      <selection activeCell="H27" sqref="H27"/>
    </sheetView>
  </sheetViews>
  <sheetFormatPr defaultColWidth="9.140625" defaultRowHeight="11.25" x14ac:dyDescent="0.2"/>
  <cols>
    <col min="1" max="1" width="3.7109375" style="46" customWidth="1"/>
    <col min="2" max="2" width="25.7109375" style="46" customWidth="1"/>
    <col min="3" max="3" width="14.140625" style="46" customWidth="1"/>
    <col min="4" max="4" width="15.42578125" style="46" customWidth="1"/>
    <col min="5" max="5" width="16.5703125" style="46" bestFit="1" customWidth="1"/>
    <col min="6" max="6" width="11.42578125" style="46" customWidth="1"/>
    <col min="7" max="7" width="13.140625" style="46" customWidth="1"/>
    <col min="8" max="10" width="15.7109375" style="46" customWidth="1"/>
    <col min="11" max="16384" width="9.140625" style="46"/>
  </cols>
  <sheetData>
    <row r="1" spans="1:12" ht="12" thickBot="1" x14ac:dyDescent="0.25"/>
    <row r="2" spans="1:12" ht="18.75" customHeight="1" thickBot="1" x14ac:dyDescent="0.25">
      <c r="A2" s="268" t="s">
        <v>213</v>
      </c>
      <c r="B2" s="269"/>
      <c r="C2" s="269"/>
      <c r="D2" s="269"/>
      <c r="E2" s="269"/>
      <c r="F2" s="269"/>
      <c r="G2" s="270"/>
      <c r="H2" s="140"/>
      <c r="I2" s="140"/>
    </row>
    <row r="4" spans="1:12" s="47" customFormat="1" ht="30" customHeight="1" x14ac:dyDescent="0.2">
      <c r="A4" s="271" t="s">
        <v>84</v>
      </c>
      <c r="B4" s="271"/>
      <c r="C4" s="44" t="s">
        <v>85</v>
      </c>
      <c r="D4" s="44" t="s">
        <v>215</v>
      </c>
      <c r="E4" s="44" t="s">
        <v>216</v>
      </c>
      <c r="F4" s="44" t="s">
        <v>116</v>
      </c>
      <c r="G4" s="44" t="s">
        <v>117</v>
      </c>
      <c r="H4" s="137"/>
      <c r="I4" s="137"/>
      <c r="K4" s="46"/>
      <c r="L4" s="46"/>
    </row>
    <row r="5" spans="1:12" ht="22.5" customHeight="1" x14ac:dyDescent="0.2">
      <c r="A5" s="5">
        <v>1</v>
      </c>
      <c r="B5" s="141" t="s">
        <v>209</v>
      </c>
      <c r="C5" s="49">
        <f>(229.9+249.9+309.9+223.3)/4</f>
        <v>253.25</v>
      </c>
      <c r="D5" s="142">
        <v>1</v>
      </c>
      <c r="E5" s="142">
        <v>4</v>
      </c>
      <c r="F5" s="142">
        <f>C5*D5*E5</f>
        <v>1013</v>
      </c>
      <c r="G5" s="142">
        <f>F5/12</f>
        <v>84.416666666666671</v>
      </c>
      <c r="H5" s="138"/>
      <c r="I5" s="138"/>
    </row>
    <row r="6" spans="1:12" ht="22.5" customHeight="1" x14ac:dyDescent="0.2">
      <c r="A6" s="5">
        <f>A5+1</f>
        <v>2</v>
      </c>
      <c r="B6" s="141" t="s">
        <v>114</v>
      </c>
      <c r="C6" s="49">
        <f>(179.9+169+95.9)/3</f>
        <v>148.26666666666665</v>
      </c>
      <c r="D6" s="142">
        <v>2</v>
      </c>
      <c r="E6" s="142">
        <v>4</v>
      </c>
      <c r="F6" s="142">
        <f t="shared" ref="F6:F10" si="0">C6*D6*E6</f>
        <v>1186.1333333333332</v>
      </c>
      <c r="G6" s="142">
        <f t="shared" ref="G6:G10" si="1">F6/12</f>
        <v>98.844444444444434</v>
      </c>
      <c r="H6" s="138"/>
      <c r="I6" s="138"/>
    </row>
    <row r="7" spans="1:12" ht="22.5" customHeight="1" x14ac:dyDescent="0.2">
      <c r="A7" s="5">
        <f t="shared" ref="A7:A10" si="2">A6+1</f>
        <v>3</v>
      </c>
      <c r="B7" s="141" t="s">
        <v>210</v>
      </c>
      <c r="C7" s="49">
        <f>(69.9+83.67+112.81)/3</f>
        <v>88.793333333333337</v>
      </c>
      <c r="D7" s="142">
        <v>1</v>
      </c>
      <c r="E7" s="142">
        <v>4</v>
      </c>
      <c r="F7" s="142">
        <f t="shared" si="0"/>
        <v>355.17333333333335</v>
      </c>
      <c r="G7" s="142">
        <f t="shared" si="1"/>
        <v>29.597777777777779</v>
      </c>
      <c r="H7" s="139"/>
      <c r="I7" s="139"/>
    </row>
    <row r="8" spans="1:12" ht="22.5" customHeight="1" x14ac:dyDescent="0.2">
      <c r="A8" s="5">
        <f t="shared" si="2"/>
        <v>4</v>
      </c>
      <c r="B8" s="141" t="s">
        <v>214</v>
      </c>
      <c r="C8" s="49">
        <f>(99.9+69.9+129.9+149.31+89.9+99)/6</f>
        <v>106.31833333333334</v>
      </c>
      <c r="D8" s="142">
        <v>1</v>
      </c>
      <c r="E8" s="142">
        <v>4</v>
      </c>
      <c r="F8" s="142">
        <f t="shared" si="0"/>
        <v>425.27333333333337</v>
      </c>
      <c r="G8" s="142">
        <f t="shared" si="1"/>
        <v>35.439444444444447</v>
      </c>
      <c r="H8" s="139"/>
      <c r="I8" s="139"/>
    </row>
    <row r="9" spans="1:12" ht="22.5" customHeight="1" x14ac:dyDescent="0.2">
      <c r="A9" s="5">
        <v>5</v>
      </c>
      <c r="B9" s="141" t="s">
        <v>211</v>
      </c>
      <c r="C9" s="49">
        <f>(39.99+18.9+24.9)/3</f>
        <v>27.929999999999996</v>
      </c>
      <c r="D9" s="142">
        <v>2</v>
      </c>
      <c r="E9" s="142">
        <v>4</v>
      </c>
      <c r="F9" s="142">
        <f t="shared" si="0"/>
        <v>223.43999999999997</v>
      </c>
      <c r="G9" s="142">
        <f t="shared" si="1"/>
        <v>18.619999999999997</v>
      </c>
      <c r="H9" s="139"/>
      <c r="I9" s="139"/>
    </row>
    <row r="10" spans="1:12" ht="22.5" customHeight="1" x14ac:dyDescent="0.2">
      <c r="A10" s="5">
        <f t="shared" si="2"/>
        <v>6</v>
      </c>
      <c r="B10" s="141" t="s">
        <v>212</v>
      </c>
      <c r="C10" s="49">
        <f>(434.8+149.9+74.9)/3</f>
        <v>219.86666666666667</v>
      </c>
      <c r="D10" s="142">
        <v>1</v>
      </c>
      <c r="E10" s="142">
        <v>4</v>
      </c>
      <c r="F10" s="142">
        <f t="shared" si="0"/>
        <v>879.4666666666667</v>
      </c>
      <c r="G10" s="142">
        <f t="shared" si="1"/>
        <v>73.288888888888891</v>
      </c>
      <c r="H10" s="139"/>
      <c r="I10" s="139"/>
    </row>
    <row r="11" spans="1:12" ht="22.5" customHeight="1" x14ac:dyDescent="0.2">
      <c r="B11" s="47"/>
      <c r="C11" s="48"/>
      <c r="D11" s="48"/>
      <c r="E11" s="272" t="s">
        <v>115</v>
      </c>
      <c r="F11" s="273"/>
      <c r="G11" s="45">
        <f>SUM(G5:G10)</f>
        <v>340.20722222222224</v>
      </c>
    </row>
  </sheetData>
  <mergeCells count="3">
    <mergeCell ref="A2:G2"/>
    <mergeCell ref="A4:B4"/>
    <mergeCell ref="E11:F11"/>
  </mergeCells>
  <pageMargins left="0.511811024" right="0.511811024" top="0.78740157499999996" bottom="0.78740157499999996" header="0.31496062000000002" footer="0.31496062000000002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Quadro resumo</vt:lpstr>
      <vt:lpstr>Técnico de Secretariado</vt:lpstr>
      <vt:lpstr>Recepcionista</vt:lpstr>
      <vt:lpstr>Insumos</vt:lpstr>
      <vt:lpstr>Recepcionista!Area_de_impressao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Paulo Roberto Maciel de Souza</cp:lastModifiedBy>
  <cp:lastPrinted>2025-01-22T20:14:51Z</cp:lastPrinted>
  <dcterms:created xsi:type="dcterms:W3CDTF">2010-12-08T17:56:29Z</dcterms:created>
  <dcterms:modified xsi:type="dcterms:W3CDTF">2025-05-19T16:16:32Z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