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5\Pregão\2 - Numerados\09 - Serviços de Medicina do Trabalho - RC 5711\Fase externa\"/>
    </mc:Choice>
  </mc:AlternateContent>
  <xr:revisionPtr revIDLastSave="0" documentId="8_{85AE1CAD-9EFE-47A1-B29B-C881CA65AB81}" xr6:coauthVersionLast="47" xr6:coauthVersionMax="47" xr10:uidLastSave="{00000000-0000-0000-0000-000000000000}"/>
  <bookViews>
    <workbookView xWindow="28680" yWindow="-120" windowWidth="29040" windowHeight="15720" tabRatio="681" firstSheet="2" activeTab="7" xr2:uid="{00000000-000D-0000-FFFF-FFFF00000000}"/>
  </bookViews>
  <sheets>
    <sheet name="Quadro resumo" sheetId="7" r:id="rId1"/>
    <sheet name="Médico do Trabalho" sheetId="27" r:id="rId2"/>
    <sheet name="Psiquiatra" sheetId="28" r:id="rId3"/>
    <sheet name="Nutricionista" sheetId="29" r:id="rId4"/>
    <sheet name="Téc. de Enfermagem" sheetId="30" r:id="rId5"/>
    <sheet name="Psicólogo" sheetId="31" r:id="rId6"/>
    <sheet name="Fisioterapeuta" sheetId="33" r:id="rId7"/>
    <sheet name="Assistente Social" sheetId="34" r:id="rId8"/>
    <sheet name="Insumos" sheetId="23" r:id="rId9"/>
  </sheets>
  <definedNames>
    <definedName name="_xlnm.Print_Area" localSheetId="7">'Assistente Social'!$A$1:$I$149</definedName>
    <definedName name="_xlnm.Print_Area" localSheetId="6">Fisioterapeuta!$A$1:$I$149</definedName>
    <definedName name="_xlnm.Print_Area" localSheetId="1">'Médico do Trabalho'!$A$1:$I$149</definedName>
    <definedName name="_xlnm.Print_Area" localSheetId="3">Nutricionista!$A$1:$I$149</definedName>
    <definedName name="_xlnm.Print_Area" localSheetId="5">Psicólogo!$A$1:$I$149</definedName>
    <definedName name="_xlnm.Print_Area" localSheetId="2">Psiquiatra!$A$1:$I$149</definedName>
    <definedName name="_xlnm.Print_Area" localSheetId="4">'Téc. de Enfermagem'!$A$1:$I$149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7" l="1"/>
  <c r="H61" i="29"/>
  <c r="H61" i="28"/>
  <c r="H60" i="34"/>
  <c r="H60" i="33"/>
  <c r="H60" i="31"/>
  <c r="H60" i="30"/>
  <c r="H60" i="29"/>
  <c r="H60" i="28"/>
  <c r="H60" i="27"/>
  <c r="H61" i="34" l="1"/>
  <c r="H61" i="33"/>
  <c r="H61" i="31"/>
  <c r="H61" i="30"/>
  <c r="H61" i="27"/>
  <c r="F48" i="23"/>
  <c r="G48" i="23" s="1"/>
  <c r="F49" i="23"/>
  <c r="G49" i="23" s="1"/>
  <c r="F50" i="23"/>
  <c r="G50" i="23" s="1"/>
  <c r="F51" i="23"/>
  <c r="G51" i="23" s="1"/>
  <c r="F52" i="23"/>
  <c r="G52" i="23" s="1"/>
  <c r="F53" i="23"/>
  <c r="G53" i="23" s="1"/>
  <c r="F54" i="23"/>
  <c r="G54" i="23" s="1"/>
  <c r="F55" i="23"/>
  <c r="G55" i="23" s="1"/>
  <c r="F56" i="23"/>
  <c r="G56" i="23" s="1"/>
  <c r="F57" i="23"/>
  <c r="G57" i="23" s="1"/>
  <c r="F58" i="23"/>
  <c r="G58" i="23" s="1"/>
  <c r="F59" i="23"/>
  <c r="G59" i="23" s="1"/>
  <c r="F60" i="23"/>
  <c r="G60" i="23" s="1"/>
  <c r="F61" i="23"/>
  <c r="G61" i="23" s="1"/>
  <c r="F62" i="23"/>
  <c r="G62" i="23" s="1"/>
  <c r="F63" i="23"/>
  <c r="G63" i="23" s="1"/>
  <c r="F64" i="23"/>
  <c r="G64" i="23" s="1"/>
  <c r="F65" i="23"/>
  <c r="G65" i="23" s="1"/>
  <c r="F66" i="23"/>
  <c r="G66" i="23" s="1"/>
  <c r="F67" i="23"/>
  <c r="G67" i="23" s="1"/>
  <c r="F68" i="23"/>
  <c r="G68" i="23" s="1"/>
  <c r="F69" i="23"/>
  <c r="G69" i="23" s="1"/>
  <c r="F70" i="23"/>
  <c r="G70" i="23" s="1"/>
  <c r="F71" i="23"/>
  <c r="G71" i="23" s="1"/>
  <c r="F72" i="23"/>
  <c r="G72" i="23" s="1"/>
  <c r="F73" i="23"/>
  <c r="G73" i="23" s="1"/>
  <c r="F74" i="23"/>
  <c r="G74" i="23" s="1"/>
  <c r="F75" i="23"/>
  <c r="G75" i="23" s="1"/>
  <c r="F76" i="23"/>
  <c r="G76" i="23" s="1"/>
  <c r="F77" i="23"/>
  <c r="G77" i="23" s="1"/>
  <c r="F78" i="23"/>
  <c r="G78" i="23" s="1"/>
  <c r="F79" i="23"/>
  <c r="G79" i="23" s="1"/>
  <c r="F80" i="23"/>
  <c r="G80" i="23" s="1"/>
  <c r="F81" i="23"/>
  <c r="G81" i="23" s="1"/>
  <c r="F82" i="23"/>
  <c r="G82" i="23" s="1"/>
  <c r="F83" i="23"/>
  <c r="G83" i="23" s="1"/>
  <c r="F84" i="23"/>
  <c r="G84" i="23" s="1"/>
  <c r="F85" i="23"/>
  <c r="G85" i="23" s="1"/>
  <c r="F86" i="23"/>
  <c r="G86" i="23" s="1"/>
  <c r="F87" i="23"/>
  <c r="G87" i="23" s="1"/>
  <c r="F88" i="23"/>
  <c r="G88" i="23" s="1"/>
  <c r="F89" i="23"/>
  <c r="G89" i="23" s="1"/>
  <c r="F90" i="23"/>
  <c r="G90" i="23" s="1"/>
  <c r="F91" i="23"/>
  <c r="G91" i="23" s="1"/>
  <c r="F92" i="23"/>
  <c r="G92" i="23" s="1"/>
  <c r="F93" i="23"/>
  <c r="G93" i="23" s="1"/>
  <c r="F94" i="23"/>
  <c r="G94" i="23" s="1"/>
  <c r="F95" i="23"/>
  <c r="G95" i="23" s="1"/>
  <c r="F96" i="23"/>
  <c r="G96" i="23" s="1"/>
  <c r="F97" i="23"/>
  <c r="G97" i="23" s="1"/>
  <c r="F98" i="23"/>
  <c r="G98" i="23" s="1"/>
  <c r="F99" i="23"/>
  <c r="G99" i="23" s="1"/>
  <c r="F100" i="23"/>
  <c r="G100" i="23" s="1"/>
  <c r="F101" i="23"/>
  <c r="G101" i="23" s="1"/>
  <c r="F102" i="23"/>
  <c r="G102" i="23" s="1"/>
  <c r="F103" i="23"/>
  <c r="G103" i="23" s="1"/>
  <c r="F104" i="23"/>
  <c r="G104" i="23" s="1"/>
  <c r="F105" i="23"/>
  <c r="G105" i="23" s="1"/>
  <c r="F106" i="23"/>
  <c r="G106" i="23" s="1"/>
  <c r="F107" i="23"/>
  <c r="G107" i="23" s="1"/>
  <c r="F108" i="23"/>
  <c r="G108" i="23" s="1"/>
  <c r="F109" i="23"/>
  <c r="G109" i="23" s="1"/>
  <c r="F110" i="23"/>
  <c r="G110" i="23" s="1"/>
  <c r="F111" i="23"/>
  <c r="G111" i="23" s="1"/>
  <c r="F112" i="23"/>
  <c r="G112" i="23" s="1"/>
  <c r="F113" i="23"/>
  <c r="G113" i="23" s="1"/>
  <c r="F114" i="23"/>
  <c r="G114" i="23" s="1"/>
  <c r="F115" i="23"/>
  <c r="G115" i="23" s="1"/>
  <c r="F116" i="23"/>
  <c r="G116" i="23" s="1"/>
  <c r="F117" i="23"/>
  <c r="G117" i="23" s="1"/>
  <c r="F118" i="23"/>
  <c r="G118" i="23" s="1"/>
  <c r="F119" i="23"/>
  <c r="G119" i="23" s="1"/>
  <c r="F120" i="23"/>
  <c r="G120" i="23" s="1"/>
  <c r="F47" i="23"/>
  <c r="G47" i="23" s="1"/>
  <c r="H27" i="30"/>
  <c r="H27" i="27"/>
  <c r="B48" i="23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F22" i="23"/>
  <c r="G22" i="23" s="1"/>
  <c r="F23" i="23"/>
  <c r="G23" i="23" s="1"/>
  <c r="F24" i="23"/>
  <c r="G24" i="23" s="1"/>
  <c r="F25" i="23"/>
  <c r="G25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21" i="23"/>
  <c r="G21" i="23" s="1"/>
  <c r="F13" i="23"/>
  <c r="G13" i="23" s="1"/>
  <c r="F12" i="23"/>
  <c r="G12" i="23" s="1"/>
  <c r="F7" i="23"/>
  <c r="G7" i="23" s="1"/>
  <c r="F6" i="23"/>
  <c r="G6" i="23" s="1"/>
  <c r="K19" i="7"/>
  <c r="K18" i="7"/>
  <c r="K17" i="7"/>
  <c r="K16" i="7"/>
  <c r="K15" i="7"/>
  <c r="K14" i="7"/>
  <c r="K13" i="7"/>
  <c r="D33" i="7"/>
  <c r="E25" i="7"/>
  <c r="E24" i="7"/>
  <c r="E12" i="7"/>
  <c r="G12" i="7" s="1"/>
  <c r="G121" i="23" l="1"/>
  <c r="G122" i="23" s="1"/>
  <c r="G43" i="23"/>
  <c r="H108" i="33" s="1"/>
  <c r="G8" i="23"/>
  <c r="H107" i="33" s="1"/>
  <c r="G14" i="23"/>
  <c r="E26" i="7"/>
  <c r="H64" i="33"/>
  <c r="H70" i="33" s="1"/>
  <c r="H64" i="31"/>
  <c r="H70" i="31" s="1"/>
  <c r="H64" i="29"/>
  <c r="H70" i="29" s="1"/>
  <c r="G145" i="34"/>
  <c r="G144" i="34"/>
  <c r="G143" i="34"/>
  <c r="G118" i="34"/>
  <c r="G56" i="34"/>
  <c r="G49" i="34"/>
  <c r="G43" i="34"/>
  <c r="G42" i="34"/>
  <c r="G41" i="34"/>
  <c r="H34" i="34"/>
  <c r="H30" i="34" s="1"/>
  <c r="H29" i="34"/>
  <c r="H27" i="34"/>
  <c r="H26" i="34"/>
  <c r="G145" i="33"/>
  <c r="G144" i="33"/>
  <c r="G143" i="33"/>
  <c r="G118" i="33"/>
  <c r="G56" i="33"/>
  <c r="G49" i="33"/>
  <c r="G43" i="33"/>
  <c r="G42" i="33"/>
  <c r="G41" i="33"/>
  <c r="H34" i="33"/>
  <c r="H30" i="33" s="1"/>
  <c r="H27" i="33"/>
  <c r="H26" i="33"/>
  <c r="H28" i="33" s="1"/>
  <c r="G145" i="31"/>
  <c r="G144" i="31"/>
  <c r="G143" i="31"/>
  <c r="G118" i="31"/>
  <c r="G56" i="31"/>
  <c r="G49" i="31"/>
  <c r="G43" i="31"/>
  <c r="G42" i="31"/>
  <c r="G41" i="31"/>
  <c r="H34" i="31"/>
  <c r="H30" i="31" s="1"/>
  <c r="H27" i="31"/>
  <c r="H26" i="31"/>
  <c r="H29" i="31" s="1"/>
  <c r="G145" i="30"/>
  <c r="G144" i="30"/>
  <c r="G143" i="30"/>
  <c r="G118" i="30"/>
  <c r="G56" i="30"/>
  <c r="G49" i="30"/>
  <c r="G42" i="30"/>
  <c r="G41" i="30"/>
  <c r="G43" i="30" s="1"/>
  <c r="H34" i="30"/>
  <c r="H30" i="30" s="1"/>
  <c r="H26" i="30"/>
  <c r="H29" i="30" s="1"/>
  <c r="G145" i="29"/>
  <c r="G144" i="29"/>
  <c r="G143" i="29"/>
  <c r="G118" i="29"/>
  <c r="G56" i="29"/>
  <c r="G49" i="29"/>
  <c r="G43" i="29"/>
  <c r="G42" i="29"/>
  <c r="G41" i="29"/>
  <c r="H34" i="29"/>
  <c r="H30" i="29" s="1"/>
  <c r="H27" i="29"/>
  <c r="H26" i="29"/>
  <c r="H29" i="29" s="1"/>
  <c r="G145" i="28"/>
  <c r="G144" i="28"/>
  <c r="G143" i="28"/>
  <c r="G118" i="28"/>
  <c r="H64" i="28"/>
  <c r="H70" i="28" s="1"/>
  <c r="G56" i="28"/>
  <c r="G49" i="28"/>
  <c r="G42" i="28"/>
  <c r="G41" i="28"/>
  <c r="G43" i="28" s="1"/>
  <c r="H34" i="28"/>
  <c r="H30" i="28" s="1"/>
  <c r="H27" i="28"/>
  <c r="H26" i="28"/>
  <c r="H29" i="28" s="1"/>
  <c r="H34" i="27"/>
  <c r="H108" i="30" l="1"/>
  <c r="H108" i="27"/>
  <c r="H29" i="33"/>
  <c r="H32" i="33" s="1"/>
  <c r="H107" i="27"/>
  <c r="H107" i="34"/>
  <c r="H107" i="30"/>
  <c r="H107" i="31"/>
  <c r="H107" i="29"/>
  <c r="H107" i="28"/>
  <c r="H64" i="34"/>
  <c r="H70" i="34" s="1"/>
  <c r="H64" i="30"/>
  <c r="H70" i="30" s="1"/>
  <c r="H28" i="34"/>
  <c r="H32" i="34" s="1"/>
  <c r="H28" i="31"/>
  <c r="H32" i="31" s="1"/>
  <c r="H28" i="30"/>
  <c r="H32" i="30" s="1"/>
  <c r="H28" i="29"/>
  <c r="H32" i="29" s="1"/>
  <c r="H28" i="28"/>
  <c r="H32" i="28" s="1"/>
  <c r="H30" i="27"/>
  <c r="H42" i="33" l="1"/>
  <c r="H128" i="33"/>
  <c r="H41" i="33"/>
  <c r="H42" i="34"/>
  <c r="H41" i="34"/>
  <c r="H128" i="34"/>
  <c r="H43" i="33"/>
  <c r="H128" i="31"/>
  <c r="H42" i="31"/>
  <c r="H41" i="31"/>
  <c r="H128" i="30"/>
  <c r="H41" i="30"/>
  <c r="H42" i="30"/>
  <c r="H128" i="29"/>
  <c r="H42" i="29"/>
  <c r="H41" i="29"/>
  <c r="H128" i="28"/>
  <c r="H42" i="28"/>
  <c r="H41" i="28"/>
  <c r="G145" i="27"/>
  <c r="G144" i="27"/>
  <c r="G143" i="27"/>
  <c r="G118" i="27"/>
  <c r="G49" i="27"/>
  <c r="G56" i="27" s="1"/>
  <c r="G42" i="27"/>
  <c r="G41" i="27"/>
  <c r="H26" i="27"/>
  <c r="H29" i="27" s="1"/>
  <c r="H43" i="30" l="1"/>
  <c r="H47" i="30" s="1"/>
  <c r="H43" i="34"/>
  <c r="H68" i="33"/>
  <c r="H142" i="33"/>
  <c r="H52" i="33"/>
  <c r="H54" i="33"/>
  <c r="H49" i="33"/>
  <c r="H53" i="33"/>
  <c r="H55" i="33"/>
  <c r="H77" i="33" s="1"/>
  <c r="H51" i="33"/>
  <c r="H48" i="33"/>
  <c r="H47" i="33"/>
  <c r="H43" i="31"/>
  <c r="H48" i="30"/>
  <c r="H142" i="30"/>
  <c r="H68" i="30"/>
  <c r="H49" i="30"/>
  <c r="H53" i="30"/>
  <c r="H55" i="30"/>
  <c r="H54" i="30"/>
  <c r="H51" i="30"/>
  <c r="H52" i="30"/>
  <c r="H43" i="29"/>
  <c r="H43" i="28"/>
  <c r="H64" i="27"/>
  <c r="H70" i="27" s="1"/>
  <c r="H28" i="27"/>
  <c r="G43" i="27"/>
  <c r="H56" i="30" l="1"/>
  <c r="H69" i="30" s="1"/>
  <c r="H71" i="30" s="1"/>
  <c r="H142" i="34"/>
  <c r="H68" i="34"/>
  <c r="H55" i="34"/>
  <c r="H49" i="34"/>
  <c r="H47" i="34"/>
  <c r="H51" i="34"/>
  <c r="H53" i="34"/>
  <c r="H48" i="34"/>
  <c r="H52" i="34"/>
  <c r="H54" i="34"/>
  <c r="H56" i="33"/>
  <c r="H78" i="33"/>
  <c r="H76" i="33" s="1"/>
  <c r="H80" i="33"/>
  <c r="H79" i="33" s="1"/>
  <c r="H142" i="31"/>
  <c r="H68" i="31"/>
  <c r="H49" i="31"/>
  <c r="H48" i="31"/>
  <c r="H54" i="31"/>
  <c r="H53" i="31"/>
  <c r="H55" i="31"/>
  <c r="H77" i="31" s="1"/>
  <c r="H47" i="31"/>
  <c r="H51" i="31"/>
  <c r="H52" i="31"/>
  <c r="H80" i="30"/>
  <c r="H79" i="30" s="1"/>
  <c r="H78" i="30"/>
  <c r="H77" i="30"/>
  <c r="H76" i="30" s="1"/>
  <c r="H142" i="29"/>
  <c r="H68" i="29"/>
  <c r="H49" i="29"/>
  <c r="H51" i="29"/>
  <c r="H53" i="29"/>
  <c r="H55" i="29"/>
  <c r="H47" i="29"/>
  <c r="H52" i="29"/>
  <c r="H54" i="29"/>
  <c r="H48" i="29"/>
  <c r="H68" i="28"/>
  <c r="H142" i="28"/>
  <c r="H54" i="28"/>
  <c r="H49" i="28"/>
  <c r="H52" i="28"/>
  <c r="H48" i="28"/>
  <c r="H55" i="28"/>
  <c r="H51" i="28"/>
  <c r="H47" i="28"/>
  <c r="H53" i="28"/>
  <c r="H32" i="27"/>
  <c r="H56" i="28" l="1"/>
  <c r="H69" i="28" s="1"/>
  <c r="H81" i="30"/>
  <c r="H82" i="30" s="1"/>
  <c r="H42" i="27"/>
  <c r="H56" i="34"/>
  <c r="H78" i="34"/>
  <c r="H80" i="34"/>
  <c r="H79" i="34" s="1"/>
  <c r="H77" i="34"/>
  <c r="H76" i="34" s="1"/>
  <c r="H69" i="33"/>
  <c r="H71" i="33" s="1"/>
  <c r="H81" i="33"/>
  <c r="H82" i="33" s="1"/>
  <c r="H56" i="31"/>
  <c r="H80" i="31"/>
  <c r="H79" i="31" s="1"/>
  <c r="H78" i="31"/>
  <c r="H76" i="31" s="1"/>
  <c r="H129" i="30"/>
  <c r="H80" i="29"/>
  <c r="H79" i="29" s="1"/>
  <c r="H78" i="29"/>
  <c r="H77" i="29"/>
  <c r="H56" i="29"/>
  <c r="H80" i="28"/>
  <c r="H79" i="28" s="1"/>
  <c r="H78" i="28"/>
  <c r="H77" i="28"/>
  <c r="H76" i="28" s="1"/>
  <c r="H71" i="28"/>
  <c r="H81" i="28"/>
  <c r="H128" i="27"/>
  <c r="H41" i="27"/>
  <c r="H90" i="30" l="1"/>
  <c r="H130" i="30"/>
  <c r="H95" i="30"/>
  <c r="H96" i="30" s="1"/>
  <c r="H101" i="30" s="1"/>
  <c r="H76" i="29"/>
  <c r="H43" i="27"/>
  <c r="H142" i="27" s="1"/>
  <c r="H69" i="34"/>
  <c r="H71" i="34" s="1"/>
  <c r="H81" i="34"/>
  <c r="H82" i="34" s="1"/>
  <c r="H130" i="33"/>
  <c r="H129" i="33"/>
  <c r="H95" i="33"/>
  <c r="H96" i="33" s="1"/>
  <c r="H101" i="33" s="1"/>
  <c r="H90" i="33"/>
  <c r="H69" i="31"/>
  <c r="H71" i="31" s="1"/>
  <c r="H81" i="31"/>
  <c r="H82" i="31" s="1"/>
  <c r="H89" i="30"/>
  <c r="H88" i="30"/>
  <c r="H69" i="29"/>
  <c r="H71" i="29" s="1"/>
  <c r="H81" i="29"/>
  <c r="H129" i="28"/>
  <c r="H82" i="28"/>
  <c r="H52" i="27"/>
  <c r="H53" i="27" l="1"/>
  <c r="H82" i="29"/>
  <c r="H130" i="29" s="1"/>
  <c r="H47" i="27"/>
  <c r="H68" i="27"/>
  <c r="H49" i="27"/>
  <c r="H54" i="27"/>
  <c r="H48" i="27"/>
  <c r="H55" i="27"/>
  <c r="H77" i="27" s="1"/>
  <c r="H51" i="27"/>
  <c r="H91" i="30"/>
  <c r="H100" i="30" s="1"/>
  <c r="H102" i="30" s="1"/>
  <c r="H131" i="30" s="1"/>
  <c r="H130" i="34"/>
  <c r="H129" i="34"/>
  <c r="H90" i="34"/>
  <c r="H95" i="34"/>
  <c r="H96" i="34" s="1"/>
  <c r="H101" i="34" s="1"/>
  <c r="H89" i="33"/>
  <c r="H88" i="33"/>
  <c r="H130" i="31"/>
  <c r="H129" i="31"/>
  <c r="H90" i="31"/>
  <c r="H95" i="31"/>
  <c r="H96" i="31" s="1"/>
  <c r="H101" i="31" s="1"/>
  <c r="H129" i="29"/>
  <c r="H130" i="28"/>
  <c r="H90" i="28"/>
  <c r="H95" i="28"/>
  <c r="H96" i="28" s="1"/>
  <c r="H101" i="28" s="1"/>
  <c r="H90" i="29" l="1"/>
  <c r="H89" i="29" s="1"/>
  <c r="H95" i="29"/>
  <c r="H96" i="29" s="1"/>
  <c r="H101" i="29" s="1"/>
  <c r="H56" i="27"/>
  <c r="H81" i="27" s="1"/>
  <c r="H78" i="27"/>
  <c r="H76" i="27" s="1"/>
  <c r="H80" i="27"/>
  <c r="H79" i="27" s="1"/>
  <c r="H141" i="30"/>
  <c r="H143" i="30" s="1"/>
  <c r="H88" i="34"/>
  <c r="H89" i="34"/>
  <c r="H91" i="33"/>
  <c r="H100" i="33" s="1"/>
  <c r="H89" i="31"/>
  <c r="H88" i="31"/>
  <c r="H91" i="31" s="1"/>
  <c r="H100" i="31" s="1"/>
  <c r="H88" i="29"/>
  <c r="H89" i="28"/>
  <c r="H88" i="28"/>
  <c r="H69" i="27"/>
  <c r="H71" i="27" s="1"/>
  <c r="H91" i="29" l="1"/>
  <c r="H100" i="29" s="1"/>
  <c r="H102" i="29" s="1"/>
  <c r="H131" i="29" s="1"/>
  <c r="H82" i="27"/>
  <c r="H95" i="27" s="1"/>
  <c r="H96" i="27" s="1"/>
  <c r="H101" i="27" s="1"/>
  <c r="H91" i="28"/>
  <c r="H100" i="28" s="1"/>
  <c r="H102" i="28" s="1"/>
  <c r="H131" i="28" s="1"/>
  <c r="H91" i="34"/>
  <c r="H100" i="34" s="1"/>
  <c r="H102" i="33"/>
  <c r="H131" i="33" s="1"/>
  <c r="H141" i="33"/>
  <c r="H102" i="31"/>
  <c r="H131" i="31" s="1"/>
  <c r="H141" i="31"/>
  <c r="H144" i="30"/>
  <c r="H145" i="30" s="1"/>
  <c r="H129" i="27"/>
  <c r="H141" i="29" l="1"/>
  <c r="H130" i="27"/>
  <c r="H90" i="27"/>
  <c r="H89" i="27" s="1"/>
  <c r="H141" i="28"/>
  <c r="H143" i="28" s="1"/>
  <c r="H146" i="30"/>
  <c r="H102" i="34"/>
  <c r="H131" i="34" s="1"/>
  <c r="H141" i="34"/>
  <c r="H143" i="33"/>
  <c r="H143" i="31"/>
  <c r="H143" i="29"/>
  <c r="H88" i="27"/>
  <c r="H91" i="27" s="1"/>
  <c r="H100" i="27" s="1"/>
  <c r="H143" i="34" l="1"/>
  <c r="H144" i="33"/>
  <c r="H144" i="31"/>
  <c r="H144" i="29"/>
  <c r="H144" i="28"/>
  <c r="H141" i="27"/>
  <c r="H143" i="27" s="1"/>
  <c r="H102" i="27"/>
  <c r="H131" i="27" s="1"/>
  <c r="H145" i="29" l="1"/>
  <c r="H146" i="29" s="1"/>
  <c r="H145" i="28"/>
  <c r="H146" i="28" s="1"/>
  <c r="H144" i="34"/>
  <c r="H145" i="34" s="1"/>
  <c r="H145" i="33"/>
  <c r="H146" i="33" s="1"/>
  <c r="H145" i="31"/>
  <c r="H146" i="31" s="1"/>
  <c r="H144" i="27"/>
  <c r="H145" i="27" s="1"/>
  <c r="H146" i="34" l="1"/>
  <c r="H146" i="27"/>
  <c r="H108" i="29" l="1"/>
  <c r="H108" i="28"/>
  <c r="H108" i="31"/>
  <c r="H108" i="34"/>
  <c r="B22" i="23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H111" i="29" l="1"/>
  <c r="H132" i="29" s="1"/>
  <c r="H133" i="29" s="1"/>
  <c r="H111" i="34"/>
  <c r="H132" i="34" s="1"/>
  <c r="H133" i="34" s="1"/>
  <c r="H116" i="34" s="1"/>
  <c r="H117" i="34" s="1"/>
  <c r="H118" i="34" s="1"/>
  <c r="H111" i="28"/>
  <c r="H132" i="28" s="1"/>
  <c r="H133" i="28" s="1"/>
  <c r="H116" i="28" s="1"/>
  <c r="H117" i="28" s="1"/>
  <c r="H118" i="28" s="1"/>
  <c r="H119" i="28" s="1"/>
  <c r="H111" i="30"/>
  <c r="H132" i="30" s="1"/>
  <c r="H133" i="30" s="1"/>
  <c r="H116" i="30" s="1"/>
  <c r="H117" i="30" s="1"/>
  <c r="H118" i="30" s="1"/>
  <c r="H111" i="33"/>
  <c r="H132" i="33" s="1"/>
  <c r="H133" i="33" s="1"/>
  <c r="H116" i="33" s="1"/>
  <c r="H117" i="33" s="1"/>
  <c r="H111" i="31"/>
  <c r="H132" i="31" s="1"/>
  <c r="H133" i="31" s="1"/>
  <c r="H111" i="27"/>
  <c r="H132" i="27" s="1"/>
  <c r="H133" i="27" s="1"/>
  <c r="H119" i="30" l="1"/>
  <c r="H121" i="30"/>
  <c r="H120" i="30"/>
  <c r="H116" i="31"/>
  <c r="H117" i="31" s="1"/>
  <c r="H118" i="31" s="1"/>
  <c r="H119" i="34"/>
  <c r="H121" i="34"/>
  <c r="H120" i="34"/>
  <c r="H116" i="29"/>
  <c r="H117" i="29" s="1"/>
  <c r="H121" i="28"/>
  <c r="H120" i="28"/>
  <c r="H118" i="33"/>
  <c r="H116" i="27"/>
  <c r="H117" i="27" s="1"/>
  <c r="H122" i="30" l="1"/>
  <c r="H134" i="30" s="1"/>
  <c r="H135" i="30" s="1"/>
  <c r="H140" i="30" s="1"/>
  <c r="H147" i="30" s="1"/>
  <c r="H122" i="28"/>
  <c r="H134" i="28" s="1"/>
  <c r="H135" i="28" s="1"/>
  <c r="D14" i="7" s="1"/>
  <c r="E14" i="7" s="1"/>
  <c r="G14" i="7" s="1"/>
  <c r="H120" i="31"/>
  <c r="H119" i="31"/>
  <c r="H121" i="31"/>
  <c r="H122" i="34"/>
  <c r="H134" i="34" s="1"/>
  <c r="H135" i="34" s="1"/>
  <c r="H118" i="29"/>
  <c r="H120" i="33"/>
  <c r="H121" i="33"/>
  <c r="H119" i="33"/>
  <c r="H118" i="27"/>
  <c r="H140" i="28" l="1"/>
  <c r="H147" i="28" s="1"/>
  <c r="D16" i="7"/>
  <c r="E16" i="7" s="1"/>
  <c r="G16" i="7" s="1"/>
  <c r="H122" i="31"/>
  <c r="H134" i="31" s="1"/>
  <c r="H135" i="31" s="1"/>
  <c r="H140" i="31" s="1"/>
  <c r="H147" i="31" s="1"/>
  <c r="H122" i="33"/>
  <c r="H134" i="33" s="1"/>
  <c r="H135" i="33" s="1"/>
  <c r="D18" i="7" s="1"/>
  <c r="E18" i="7" s="1"/>
  <c r="G18" i="7" s="1"/>
  <c r="H120" i="29"/>
  <c r="H119" i="29"/>
  <c r="H121" i="29"/>
  <c r="H140" i="34"/>
  <c r="H147" i="34" s="1"/>
  <c r="D19" i="7"/>
  <c r="E19" i="7" s="1"/>
  <c r="G19" i="7" s="1"/>
  <c r="H121" i="27"/>
  <c r="H119" i="27"/>
  <c r="H120" i="27"/>
  <c r="D17" i="7" l="1"/>
  <c r="E17" i="7" s="1"/>
  <c r="G17" i="7" s="1"/>
  <c r="H140" i="33"/>
  <c r="H147" i="33" s="1"/>
  <c r="H122" i="29"/>
  <c r="H134" i="29" s="1"/>
  <c r="H135" i="29" s="1"/>
  <c r="H122" i="27"/>
  <c r="D15" i="7" l="1"/>
  <c r="E15" i="7" s="1"/>
  <c r="G15" i="7" s="1"/>
  <c r="H140" i="29"/>
  <c r="H147" i="29" s="1"/>
  <c r="H134" i="27"/>
  <c r="H135" i="27" l="1"/>
  <c r="D13" i="7" s="1"/>
  <c r="E13" i="7" s="1"/>
  <c r="G13" i="7" s="1"/>
  <c r="G20" i="7" s="1"/>
  <c r="D36" i="7" s="1"/>
  <c r="H140" i="27" l="1"/>
  <c r="H147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00000000-0006-0000-0100-000018000000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D3A69C25-6E21-4C9B-822A-6C288BB360C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FA9FDE7E-EE5C-4E1C-AD37-887FB130032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B775190-4CEB-4201-A61D-0C2F0F996DF1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8AA553ED-308C-41DD-9E38-01BAB930658C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B0A6768E-32C3-42C9-8D2F-0B5173C01C3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B1DC9D44-928F-4AA3-AD9D-7CEBE8B5D68E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C913EC98-3423-4DDF-9C4B-0842A7C35F78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E76EEDDF-755A-46F4-80D5-AA47A5AB8DF6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75FD6302-A08D-4A35-8AF3-90AD54814AD1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FC16DC15-2616-4634-862B-A73775D6E5A9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8639FB3B-871D-417F-9983-C9D7305906D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5CCB11EA-16E1-49C4-922D-5DCF4915E93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D0D3312E-A633-49B8-9D30-E0D08A7D7B7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A44A50A4-B066-48DB-B3BE-5C58FBF1274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95A78399-C0C7-4A2E-A855-8DE78881C76E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6B5B2B9B-F701-48ED-80BA-069111D46011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C97093BC-164F-490F-B004-3E1DAE172A5C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2089C341-CC9D-4170-A667-0088DC6BF32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AAFE3A20-C154-4ECD-9CF4-670B3AE42F7A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35EDF350-9C31-44F8-9FF4-9D1E77EF4CC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C990B43E-D44B-4929-98F6-A06E8D2B016B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EFFC4F15-001A-4F21-9EFB-DE99C77D11F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954D4C63-0032-4C7E-9653-4BA8EB129684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78F7BF23-4FF5-4AE9-9566-FED486906C63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A248EAAE-C3ED-4491-945D-B72A94891AE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E4A88E9B-5701-4C1F-946E-254BBC0A0AD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5B247847-2D3E-4D6D-BC32-92A78C7EA797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3107D48C-6391-4A19-A5C0-968D6DAE6052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B3E408B7-B380-4FA2-915B-20437428EE58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22B630F9-2DE2-4815-B6B9-0F795BDEDA2E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E6FF4494-BF40-4C5B-9158-490E655DD1B7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9785606-4CB2-45CE-BA8C-CBBB51D146AE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FC40AC1B-0580-4B3D-89D7-0B70CC21953D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C15A31E3-8B5A-4CDA-8D22-E41E50D966BA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60FA793D-B5F0-4A98-B105-ECCD7111668B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E1F979D9-AD63-4137-A00D-D6D304485BC2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10D29FF4-9FAE-47B1-B8EA-60ECB1635FD1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E6E8CE70-84F9-4CF7-8D15-23BCDA880C7D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C8AE975E-2979-4734-9D44-EA170A086A84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FF9D45B3-7669-4F4E-B8F8-82EF9DA484D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3EC83895-64B2-4D47-BB51-3F2D6FDDDB9D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B4D3D00A-F3B9-4FA8-AF3C-6236416A490E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F4519D8F-CF7E-4F62-8D4C-D759ED1ACE97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695BAA9B-434F-48A8-B041-19F554566D72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C48905BF-9F3A-4FB9-8436-612167BC3F9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2BF68220-669C-41F7-A16C-2253581719A1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F3943649-6168-4059-9240-F4DCB39BFEB3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446271C4-E684-4A9A-8A39-3417A2A510CB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9C4210FF-2F59-42C9-A756-0DBB0058D9C9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3D7543D0-4B01-429F-9235-773EBB37103D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2CEE32C-1B60-4851-8429-75CA9E6E08E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65AF5DEC-81EA-4A0E-99F9-93AB9161DC3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BC78B5CA-D78C-4329-B94E-EBB3BF0DAAF9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175B589D-67A2-4B73-9867-92B0F78581F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397EB8A-B2F1-4A74-9111-E641FD444E2F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6460AA05-FFF5-48E0-832B-B9B5479AFBC2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BB2A2674-96B7-4A38-87B8-2BDB07E50524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6EA8C813-9B72-4CDE-806B-5F04BC0E53BB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223C7188-0FE5-4CEF-AE94-5F3C4DBAA418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1EFBCF8-1C5A-4B02-8772-1B1AEF6BDCF9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C955CA2E-9DE3-41DA-8D4E-145B4AEA152F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30938108-EAC7-4EC7-912E-5014F9E63D06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3CBC5A50-E397-424F-9544-0D9ABC7D3937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C20F2860-A10A-498C-BF34-B43FDCFF9441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4FB037A4-917A-4338-AF50-B1320ED417B3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1C1B5978-0B16-4B22-9947-73318278C8A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A9484B73-3014-48FD-BC48-4831754C0989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1898265C-8F5E-4D6B-AA42-6BC0316541EF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A0DDA407-1626-4008-83F4-2A6BF33D16A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CF4D8D8B-E8F5-4389-89B2-D6F2394EA5E4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1A50BC20-DAB4-445A-878E-21167B94DA59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8A450F33-EB15-4307-9321-3336671E1D77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5D9C058C-25DD-4C21-BB5A-B03E18DD13A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E07E1EA3-B5C0-4D4E-A615-239CBE1912AD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BAA03914-525E-44E6-B4EB-97E33ECAE3F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9A84FAA2-94DA-4EEA-9A5A-C034FB979992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4C1A73D3-25E9-4341-B4CC-C1608D632A95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207DD7A9-0E21-4F16-A869-B7B4D9B7649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B1116D92-7018-466D-8FED-239B64549859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7EAC8618-8B07-4AEF-9210-75DDD721940A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F12353E0-4709-4698-827F-921F42A37BF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3680950-D83F-4FEE-925C-C780DB9DBB5D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12BD76A1-DDFD-47FD-843E-63601B9C1279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D24D11AC-1C7E-4B9C-8F04-211581FB372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C6DEB214-E11F-4768-BEDC-E2CF08D1DA7B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BA489CD0-0BD7-41E2-B19E-E53B9DCF747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73EB815D-C4BE-4451-B2D1-1203CBFB1C4A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F773F82C-4648-4B6D-BEC6-9ADBE3069415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7C1527B3-0F57-4B52-BBE2-0E4AFBA2CA5A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DC3EE320-D36A-4933-BB35-C9EDD91D8B1C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5E49EC87-3FAA-4E4C-B9C6-4976F661159C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9743DA2-27A6-4EED-9385-68C4B18D92CA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83815532-1A02-4DDF-974E-B20DFA8903F8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BE50E4F3-8E6A-4581-8B33-463D13BAAB31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1031B958-4D5C-4E5F-BC0A-59419E50E0D2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3737F6E3-2FBE-400C-BAED-934BB2418B6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6ABA04BB-6E8F-455E-A608-2CD82E40E03A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27B6F05C-89B2-40CA-9A19-CD60361C7728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31300E6C-E6E0-4F75-9B2D-C0E2014B9C18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CA3D467F-F31F-449D-96C0-E28E97CF1B06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6FA73769-44FA-4A87-9A55-3FBE1A56A7C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6A93D2E9-EA80-4764-94D6-3414A92D4663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8566AEFA-0812-421E-8E8A-534B345D2671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7C0E068-CD4D-4615-9F5D-6E5606FB69D4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1DD174-954C-4BA2-9F67-103EF72CCCC5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F29118CC-4E07-410D-B193-CE95D19DD001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A1D8BBD3-8FFA-4F5C-9C57-6ABF6C55F0FE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777EDD04-41DE-4D31-A1AC-AE97C021A8D8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E89063A6-4BA2-4584-BB17-4C3D9BA1BF0D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5C1E0363-D0BF-4351-B112-05578DC14AA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4595CDFB-C192-489B-94AD-1611F796AEB1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A72F7179-7B16-415A-A7EA-37FE3DE08552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5341F3C2-9A07-4C04-BDDF-C6BD5543B6D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CD37AD5D-D2D6-4D16-8D8D-DFCED747A2A8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EBBD60DD-A5D2-4322-B358-A412AE5877C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10358C76-EF83-4CBE-A891-D1B08DD0B1B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833C6B21-36EF-45DC-9D2D-E2AF74AB28F5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233DB6AA-1AE2-4313-9CAF-1024ABA0336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2E0B69F8-B6A6-477B-A0FD-4FE47944569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6E653E90-132D-4DB3-B7B0-2A4D45FEDBD5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0159EBEB-2A7D-42E2-B142-BF6C7E8104F8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FE50E8F3-2CC6-4F57-B0ED-C93DF0C469D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7570ED3C-7770-4633-9B79-97EDF8016F85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9094DA5A-D7D5-44EE-B9BC-607BA23070AA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ABDFFA95-3D6C-422F-80C5-1E318CE46B42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FE1612ED-E6AC-4CC0-87E0-38CAC4823DE1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D7637859-24EC-4840-889B-1C22C4F7C066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D202550C-8CB2-4633-A040-0022209975DD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DE0E0521-05AA-4DB8-9E68-F8638BE9398A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D4A42930-01EA-44B5-837C-EBC6D2CCE4B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5861D980-4111-42D7-9F1C-41ED2F4AB82D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93BBB0E-BEB1-4D9C-A4F5-CD46449242DC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FD2E6751-A9DB-4298-A837-BC79DE68AC9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A2457CED-02DB-4D69-9CDD-155CD0602A7A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523525B9-894B-4704-B7FA-DD4A7134246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D1A01F01-8505-43C5-BE67-82859B04FBBE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FF119C0C-C3B7-4DD9-8263-51337DCD7F1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9915A35A-CD62-47E4-A1B3-802B3034684C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8C053C43-E625-43F2-BF7B-3BB538459E71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52BF3A6C-4EB8-4DCD-ADAA-23763F40B23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3BCC10C8-AE7B-4BE0-92E0-CD54E9D9E5AA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A0B2B25F-ADAA-41CD-8800-B59007E215F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D735E183-5E82-4F3B-A527-187FC7280991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94204D39-652C-4D92-B6A3-E3E0B0C03C8B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A9C2BACC-ED98-4C9C-9092-A8370552605E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E54CDE72-E7B8-470B-8515-CA8CFBCF4CB2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543139FC-A741-42E9-9402-EC44788EC05F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5B0DBBAF-1339-4063-B593-55CB8C79D1DC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2B86C4A3-D9F5-433E-A11D-C8C6C8C75AD4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7007AFA4-E692-4B65-8871-ABBAFBDBC8CB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EA0665E1-1E0A-4021-917F-6B72CFC84EA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B066858E-A0AF-45B9-BE5D-CD579B0AC242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E0318677-2D8F-4A48-A6F4-5CD192A9909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3E38C734-6115-4769-9794-BD6F711A33AF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6E83BF9A-02F7-419D-956F-B016FC4C3BE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C854343D-374D-4643-A6B0-7837DB08FB91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A0779097-12BF-4F65-9620-3232F5C6BA8D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D7552FA5-4200-4E8A-928F-B14B128D14EA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92B2EDB-5EDE-4F4D-AF7D-BD5D32B9A8F8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2D34FF72-CD26-4C51-AC13-95DB1FB7DFC4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F39E2FC7-36ED-47E5-B61A-A1011DE5C4E8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471926CA-6485-4FFD-82FD-B24C40055E24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5F4E9C0B-D580-47D1-B17D-E87175C712C9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ABE5FF1D-A546-4717-9755-CEEDF6442EDE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953AE007-5042-4892-B64F-BD5780FA3C41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BB5FFB4C-DAB4-4504-A456-1279817A6B1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8A0AD950-4BA1-49C3-966D-9CE7B5356814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3DAFB108-D676-43BF-8927-5919D12D0EC6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27F243BE-0546-42E2-A480-C86D42A8D833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6507D160-D707-4FDF-B3F1-9140CB80B9C9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5D78B925-C37F-41E6-B7CC-047025CC2F2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3E05F648-38D5-4218-9778-B6C5D83037F9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8A448F35-10CE-4A51-BE0A-32706CFF486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196B7C88-C5CB-44E6-9937-CAEEE2DA0D8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B3C6A67A-4C95-4DDD-A31E-C95A70142AF5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6035BA01-61F4-4170-A6DC-589E8A9C799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D074A8C9-4194-488D-8508-2A9CC1566CE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A930A275-3C66-49A1-999F-108DCD157418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484FAD7B-7972-4738-9C7A-ED6ABCEE804C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25BF9810-3B3E-4507-86D6-B7DD93895A4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FFD867A1-6E03-48BD-A45E-C90BA695B377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A00266BA-3266-4B10-8B6C-DAEB4D9E758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D61ABC49-6A4F-4377-93D5-FAEE12B13333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F640F5D8-36B7-4A6D-866F-90AF93DD7E48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EC7342D9-237F-4488-9EF0-14E6EDD49BE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C410EC5D-B730-431D-A986-9ABA3AD238A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FFAC26F1-F03E-4D8D-B4DB-FE588FA8FB44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2CBD687-6A5D-4B91-A61B-60C9FAE08F77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283FB428-A33D-4038-82D5-F9F145AAC139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922AD9C1-0158-4C20-B3AB-6519378B42DF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7F1A4A2C-A366-4F39-A759-32A718FAE381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5511A780-B72D-495C-BB98-D8BB0EC732B6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<sst xmlns="http://schemas.openxmlformats.org/spreadsheetml/2006/main" count="2109" uniqueCount="350">
  <si>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</si>
  <si>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</si>
  <si>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</si>
  <si>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</si>
  <si>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</si>
  <si>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</si>
  <si>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</si>
  <si>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</si>
  <si>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</si>
  <si>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</si>
  <si>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</si>
  <si>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</si>
  <si>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</si>
  <si>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</si>
  <si>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</si>
  <si>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</si>
  <si>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</si>
  <si>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</si>
  <si>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</si>
  <si>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</si>
  <si>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</si>
  <si>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</si>
  <si>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</si>
  <si>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</si>
  <si>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</si>
  <si>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</si>
  <si>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</si>
  <si>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</si>
  <si>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</si>
  <si>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</si>
  <si>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</si>
  <si>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</si>
  <si>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</si>
  <si>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</si>
  <si>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</si>
  <si>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</si>
  <si>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</si>
  <si>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</si>
  <si>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</si>
  <si>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</si>
  <si>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</si>
  <si>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</si>
  <si>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</si>
  <si>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</si>
  <si>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</si>
  <si>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</si>
  <si>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</si>
  <si>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</si>
  <si>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</si>
  <si>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</si>
  <si>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</si>
  <si>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</si>
  <si>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</si>
  <si>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</si>
  <si>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</si>
  <si>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</si>
  <si>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</si>
  <si>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</si>
  <si>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</si>
  <si>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</si>
  <si>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</si>
  <si>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</si>
  <si>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</si>
  <si>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</si>
  <si>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</si>
  <si>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</si>
  <si>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</si>
  <si>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</si>
  <si>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</si>
  <si>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</si>
  <si>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</si>
  <si>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</si>
  <si>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</si>
  <si>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</si>
  <si>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</si>
  <si>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</si>
  <si>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</si>
  <si>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</si>
  <si>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</si>
  <si>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</si>
  <si>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</si>
  <si>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</si>
  <si>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</si>
  <si>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</si>
  <si>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</si>
  <si>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</si>
  <si>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</si>
  <si>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</si>
  <si>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</si>
  <si>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</si>
  <si>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</si>
  <si>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</si>
  <si>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</si>
  <si>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</si>
  <si>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</si>
  <si>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</si>
  <si>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</si>
  <si>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</si>
  <si>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</si>
  <si>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</si>
  <si>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</si>
  <si>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</si>
  <si>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</si>
  <si>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</si>
  <si>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</si>
  <si>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</si>
  <si>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</si>
  <si>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</si>
  <si>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</si>
  <si>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</si>
  <si>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</si>
  <si>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</si>
  <si>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</si>
  <si>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</si>
  <si>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</si>
  <si>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</si>
  <si>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</si>
  <si>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</si>
  <si>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da hora extra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</si>
  <si>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</si>
  <si>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</si>
  <si>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</si>
  <si>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</si>
  <si>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</si>
  <si>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</si>
  <si>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</si>
  <si>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</si>
  <si>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</si>
  <si>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</si>
  <si>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</si>
  <si>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</si>
  <si>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</si>
  <si>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</si>
  <si>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</si>
  <si>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</si>
  <si>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</si>
  <si>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</si>
  <si>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</si>
  <si>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</si>
  <si>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</si>
  <si>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</si>
  <si>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</si>
  <si>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</si>
  <si>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</si>
  <si>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</si>
  <si>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</si>
  <si>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</si>
  <si>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</si>
  <si>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</si>
  <si>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</si>
  <si>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</si>
  <si>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</si>
  <si>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</si>
  <si>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</si>
  <si>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</si>
  <si>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</si>
  <si>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</si>
  <si>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</si>
  <si>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</si>
  <si>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</si>
  <si>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</si>
  <si>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</si>
  <si>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</si>
  <si>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</si>
  <si>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</si>
  <si>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</si>
  <si>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</si>
  <si>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</si>
  <si>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</si>
  <si>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</si>
  <si>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</si>
  <si>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</si>
  <si>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</si>
  <si>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</si>
  <si>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</si>
  <si>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</si>
  <si>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</si>
  <si>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</si>
  <si>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</si>
  <si>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</si>
  <si>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</si>
  <si>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</si>
  <si>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</si>
  <si>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</si>
  <si>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</si>
  <si>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</si>
  <si>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</si>
  <si>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</si>
  <si>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</si>
  <si>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</si>
  <si>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</si>
  <si>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</si>
  <si>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{[(Tot.1+Tot.2.1+Tot.2.2)÷30 dias] x 3 dias} ÷ 12 meses</t>
  </si>
  <si>
    <t>Médico do Trabalho</t>
  </si>
  <si>
    <t>Médico Psiquiatra</t>
  </si>
  <si>
    <t>Nutricionista</t>
  </si>
  <si>
    <t>Assistente Social</t>
  </si>
  <si>
    <t>Quantidade estimada anual</t>
  </si>
  <si>
    <t>Quantidade 
de Meses</t>
  </si>
  <si>
    <t>Valor Unitário (R$)</t>
  </si>
  <si>
    <t>Valor Total (R$)</t>
  </si>
  <si>
    <t>Valor Mensal (R$)</t>
  </si>
  <si>
    <t>Nutricionista - 8 horas semanais</t>
  </si>
  <si>
    <t>Assistente Social - 30 horas semanais</t>
  </si>
  <si>
    <t>b) Despesas Eventuais</t>
  </si>
  <si>
    <t>Quantidade estimada contratual</t>
  </si>
  <si>
    <t>Exames Clínicos Ocupacionais nos Escritórios Regionais</t>
  </si>
  <si>
    <t>Documento de PCMSO</t>
  </si>
  <si>
    <t>Faturamento de Visitas</t>
  </si>
  <si>
    <t>Passagens Aéreas</t>
  </si>
  <si>
    <t>Diárias</t>
  </si>
  <si>
    <t>30 meses</t>
  </si>
  <si>
    <t>Subtotal (a)</t>
  </si>
  <si>
    <t>Subtotal (b)</t>
  </si>
  <si>
    <t>Subtotal (c)</t>
  </si>
  <si>
    <t>Valor Total do Contrato (a) + (b) + (c)</t>
  </si>
  <si>
    <t>Quadro acessório</t>
  </si>
  <si>
    <t>OBJETO: Solução integrada de gestão de saúde ocupacional e qualidade de vida com dedicação de mão de obra, fornecimento de medicamentos e materiais.</t>
  </si>
  <si>
    <t>Gestão Ocupacional (custo/vida)</t>
  </si>
  <si>
    <t>ANEXO II</t>
  </si>
  <si>
    <t>a)    Despesas Mensais</t>
  </si>
  <si>
    <t>c)    Orçamento Fixo</t>
  </si>
  <si>
    <t>d)    Valor Total do contrato</t>
  </si>
  <si>
    <t>Médico(a) do Trabalho - 30 horas semanais</t>
  </si>
  <si>
    <t>Técnico(a) de Enfermagem do Trabalho - 30 horas semanais</t>
  </si>
  <si>
    <t>Fisioterapeuta do Trabalho - 30 horas semanais</t>
  </si>
  <si>
    <t>Psicólogo(a) do Trabalho - 30 horas semanais</t>
  </si>
  <si>
    <t>Fisioterapeuta do Trabalho</t>
  </si>
  <si>
    <t>Jaleco</t>
  </si>
  <si>
    <t>MÉDICO DO TRABALHO / TÉCNICO DE ENFERMAGEM / PSICÓLOGO / ASSISTENTE SOCIAL / FISIOTERAPEUTA</t>
  </si>
  <si>
    <t>Camisa estilo polo</t>
  </si>
  <si>
    <t>PSIQUIATRA / NUTRICIONISTA</t>
  </si>
  <si>
    <t>MATERIAIS/MEDICAMENTOS</t>
  </si>
  <si>
    <t>Quantidade anual</t>
  </si>
  <si>
    <t>Preço unitário</t>
  </si>
  <si>
    <t>Preço total anual</t>
  </si>
  <si>
    <t>Preço mensal</t>
  </si>
  <si>
    <t>Algodão (500 g), pacote grande comum</t>
  </si>
  <si>
    <t>Álcool 70%, litro</t>
  </si>
  <si>
    <t>Rolinho pequeno de espuma</t>
  </si>
  <si>
    <t>Travesseiro pequeno</t>
  </si>
  <si>
    <t>Pinça Auricular Ponta Grossa</t>
  </si>
  <si>
    <t>Balanço de priopriocepção ou Trampolim</t>
  </si>
  <si>
    <t>Placa Auricular com micropore (Cristal, ouro, prata ou bronze)</t>
  </si>
  <si>
    <t>Massageador para os pés com Infra vermelho 220v</t>
  </si>
  <si>
    <t>Infravermelho de pedestal 220v</t>
  </si>
  <si>
    <t>Lâmpada Infravermelho 220v</t>
  </si>
  <si>
    <t xml:space="preserve">Ultra-Som Terapêutico 1 Mhz (continuo e Pulsátil) </t>
  </si>
  <si>
    <t xml:space="preserve">Gel condutor para Ultra-som </t>
  </si>
  <si>
    <t xml:space="preserve">Tens portátil </t>
  </si>
  <si>
    <t>Eletrodo Auto-Adesivo (5x5 cm) , pacote</t>
  </si>
  <si>
    <t>Bandagem para Kynesio Tape, rolos</t>
  </si>
  <si>
    <t>Aparelho de Laser com caneta 904</t>
  </si>
  <si>
    <t>Cinta com velcro alça Longa para bolsa de gelo</t>
  </si>
  <si>
    <t>Bolsa de gelo em gel</t>
  </si>
  <si>
    <t>Óleo para massagem 1 litro neutro</t>
  </si>
  <si>
    <t>Bola Bobath 75 cm com bomba de enchimento</t>
  </si>
  <si>
    <t>Bolinha crespa</t>
  </si>
  <si>
    <t>Bolinha lisa</t>
  </si>
  <si>
    <t>FISIOTERAPEUTA</t>
  </si>
  <si>
    <t>Agulha 30x70</t>
  </si>
  <si>
    <t>Agulha30x80</t>
  </si>
  <si>
    <t>Agulha 40x12</t>
  </si>
  <si>
    <t>Agulha13x4,5</t>
  </si>
  <si>
    <t>Ataduras 10 cm</t>
  </si>
  <si>
    <t>Ataduras 15 cm</t>
  </si>
  <si>
    <t>Algodão 500 gr</t>
  </si>
  <si>
    <t>Álcool 70 litro</t>
  </si>
  <si>
    <t>Água destilada 100 ml</t>
  </si>
  <si>
    <t>Água destilada10 ml</t>
  </si>
  <si>
    <t>Água Boricada 2% 100 ml</t>
  </si>
  <si>
    <t>Água Oxigenada 10 volumes 100 ml, frasco</t>
  </si>
  <si>
    <t>Cotonete cx com 75 unidades, caixa</t>
  </si>
  <si>
    <t>Esparadrapo Micropore 10x4,5, rolo</t>
  </si>
  <si>
    <t>Esparadrapo 10x4,5</t>
  </si>
  <si>
    <t>Equipo</t>
  </si>
  <si>
    <t>Fitas ACC-CHEK com 50 unidades, caixa</t>
  </si>
  <si>
    <t>Gazes estéril envelopes com 10 unidades</t>
  </si>
  <si>
    <t>Gelco16</t>
  </si>
  <si>
    <t>Gelco 18</t>
  </si>
  <si>
    <t>Glicose 25 % 10 ml</t>
  </si>
  <si>
    <t>Luvas 7,5, caixa</t>
  </si>
  <si>
    <t>Luvas 8,5, caixa</t>
  </si>
  <si>
    <t>Lancetas G-TECH com 100, caixa</t>
  </si>
  <si>
    <t>Nebacetin Pomada, tubo</t>
  </si>
  <si>
    <t>Pomada antialérgica, tubo</t>
  </si>
  <si>
    <t>Pomada dor local, tubo</t>
  </si>
  <si>
    <t>Reparil Gel, tubo</t>
  </si>
  <si>
    <t>Soro fisiológico 10 ml</t>
  </si>
  <si>
    <t>Soro fisiológico 0,9  250ml</t>
  </si>
  <si>
    <t>Soro Glicosado 250ml</t>
  </si>
  <si>
    <t>Soro Glicosado 10ml</t>
  </si>
  <si>
    <t>Seringa de 20 ml c/ agulha</t>
  </si>
  <si>
    <t>Seringa 1ml c/ agulha</t>
  </si>
  <si>
    <t>Seringa 3ml c/agulha</t>
  </si>
  <si>
    <t>Seringa 5ml c/ agulha</t>
  </si>
  <si>
    <t>Seringa 10ml c/ agulha</t>
  </si>
  <si>
    <t>Scalp 19</t>
  </si>
  <si>
    <t>Scalp 21</t>
  </si>
  <si>
    <t>Scalp 25</t>
  </si>
  <si>
    <t>Buscopan composto cx com 20 comprimido, caixa</t>
  </si>
  <si>
    <t>Buscopan frasco de 20ml, frasco</t>
  </si>
  <si>
    <t>Buscopan composto frasco 20 ml, frasco</t>
  </si>
  <si>
    <t>Captopril 25 mg com 30 comp., caixa</t>
  </si>
  <si>
    <t>Captoril 50mg caixa c 30 comprimidos, caixa</t>
  </si>
  <si>
    <t>Cimegripe cx com 20 coprimidos, caixa</t>
  </si>
  <si>
    <t>Deocil SL com 10 comprimido, caixa</t>
  </si>
  <si>
    <t>Dicloridrato de Bestiaina 24 mg cx com 30 comp., caixa</t>
  </si>
  <si>
    <t>Diazepam 10mg caixa c 30 comprimidos, caixa</t>
  </si>
  <si>
    <t>Diazepan 10 mg cx com 5 ampolas de 2 ml, caixa</t>
  </si>
  <si>
    <t>Dorflex cx com 30 comp., caixa</t>
  </si>
  <si>
    <t>Dipirona 500mg caixa c 30 comprimidos, caixa</t>
  </si>
  <si>
    <t>Dramin B6 caixa c 30 comprimidos, caixa</t>
  </si>
  <si>
    <t>Esperson 2,5 mg/G tubo 20gr, tubo</t>
  </si>
  <si>
    <t>Floratil 200mg caixa c 6 comprimidos, caixa</t>
  </si>
  <si>
    <t>Furosemida 40mg caixa c 30 comprimidos, caixa</t>
  </si>
  <si>
    <t>frontal 0,5mg gotas 20ml, caixa</t>
  </si>
  <si>
    <t>Simecoplus 240ml, frasco</t>
  </si>
  <si>
    <t>Hidrocortizona 100 mg ampola de 2ml, caixa</t>
  </si>
  <si>
    <t>Hidrocortizona 100 mg ampola de 2ml, caixa de 5 ampolas</t>
  </si>
  <si>
    <t>Luftal gel capsula cx com 30 comprimido, caixa</t>
  </si>
  <si>
    <t>Neosaldina cx com 30 comprimidos, caixa</t>
  </si>
  <si>
    <t>Nebacetin 250 UI/G tubo 50gr, tubo</t>
  </si>
  <si>
    <t>Omeprazol 40 mg cx com 30 comp., caixa</t>
  </si>
  <si>
    <t>Prednisolona 20mg cx com 10 comp., caixa</t>
  </si>
  <si>
    <t>Polaramine 10mg tubo 30gr Alergia, caixa</t>
  </si>
  <si>
    <t>Rivotril 0,5 mg gotas 20 ml, caixa</t>
  </si>
  <si>
    <t>Somalium 3mg caixa c 30 comprimidos, frasco</t>
  </si>
  <si>
    <t>Torsilax cx com 30 comprimidos, caixa</t>
  </si>
  <si>
    <t>Vonau flash 4mg cx com 10 comprimido, caixa</t>
  </si>
  <si>
    <t>Valeriane 600 mg cx com 30 comprimido, caixa</t>
  </si>
  <si>
    <t>Histamin 2mg cx com 20 comprimido, caixa</t>
  </si>
  <si>
    <t>Nimesulida 100mg cx com 12 comp., caixa</t>
  </si>
  <si>
    <t>Sulfadiazina 10mg tubo com 30mg Queimadura, caixa</t>
  </si>
  <si>
    <t>MÉDICO DO TRABALHO / TÉCNICO DE ENFERMAGEM</t>
  </si>
  <si>
    <t>Técnico de Enfermagem do Trabalho</t>
  </si>
  <si>
    <t>Psícólogo do Trabalho</t>
  </si>
  <si>
    <t>Total Mensal</t>
  </si>
  <si>
    <t>Custo mensal por empregado (R$ 1.100,60/4)</t>
  </si>
  <si>
    <t>Salário Base unitário (R$)</t>
  </si>
  <si>
    <t>Reserva Total  (R$)</t>
  </si>
  <si>
    <t>Médico Psiquiatra - 12 horas semanais</t>
  </si>
  <si>
    <t>Médico(a) do Trabalho (30h)</t>
  </si>
  <si>
    <t>Médico Psiquiatra (12h)</t>
  </si>
  <si>
    <t>Nutricionista (8h)</t>
  </si>
  <si>
    <t>Técnico(a) de Enfermagem do Trabalho (30h)</t>
  </si>
  <si>
    <t>Psicólogo(a) do Trabalho (30h)</t>
  </si>
  <si>
    <t>Fisioterapeuta do Trabalho (30h)</t>
  </si>
  <si>
    <t>Assistência Social (30h)</t>
  </si>
  <si>
    <r>
      <t>Ref.: Pregão eletrônico nº 900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</si>
</sst>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&quot;R$&quot;\ #,##0.00"/>
    <numFmt numFmtId="167" formatCode="_-[$R$-416]\ * #,##0.00_-;\-[$R$-416]\ * #,##0.00_-;_-[$R$-416]\ * &quot;-&quot;??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  <font>
      <b/>
      <sz val="9"/>
      <color rgb="FF000000"/>
      <name val="Tahoma"/>
      <family val="2"/>
    </font>
    <font>
      <b/>
      <sz val="9"/>
      <name val="Arial"/>
      <family val="2"/>
    </font>
    <font>
      <sz val="12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3">
    <xf numFmtId="0" fontId="0" fillId="0" borderId="0" xfId="0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vertical="center"/>
    </xf>
    <xf numFmtId="10" fontId="15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3" fontId="8" fillId="0" borderId="1" xfId="3" applyFont="1" applyBorder="1" applyAlignment="1">
      <alignment vertical="center"/>
    </xf>
    <xf numFmtId="43" fontId="7" fillId="3" borderId="1" xfId="3" applyFont="1" applyFill="1" applyBorder="1" applyAlignment="1">
      <alignment vertical="center"/>
    </xf>
    <xf numFmtId="43" fontId="7" fillId="0" borderId="0" xfId="3" applyFont="1" applyFill="1" applyBorder="1" applyAlignment="1">
      <alignment vertical="center"/>
    </xf>
    <xf numFmtId="10" fontId="8" fillId="0" borderId="1" xfId="0" applyNumberFormat="1" applyFont="1" applyBorder="1" applyAlignment="1">
      <alignment horizontal="center" vertical="center"/>
    </xf>
    <xf numFmtId="43" fontId="8" fillId="0" borderId="1" xfId="3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7" fillId="3" borderId="13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3" fontId="8" fillId="0" borderId="1" xfId="3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vertical="center"/>
    </xf>
    <xf numFmtId="164" fontId="7" fillId="3" borderId="1" xfId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165" fontId="16" fillId="2" borderId="1" xfId="0" applyNumberFormat="1" applyFont="1" applyFill="1" applyBorder="1" applyAlignment="1">
      <alignment vertical="center"/>
    </xf>
    <xf numFmtId="43" fontId="8" fillId="7" borderId="1" xfId="3" applyFont="1" applyFill="1" applyBorder="1" applyAlignment="1">
      <alignment vertical="center"/>
    </xf>
    <xf numFmtId="9" fontId="8" fillId="7" borderId="1" xfId="2" applyFont="1" applyFill="1" applyBorder="1" applyAlignment="1">
      <alignment horizontal="center" vertical="center"/>
    </xf>
    <xf numFmtId="10" fontId="8" fillId="7" borderId="1" xfId="2" applyNumberFormat="1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vertical="center"/>
    </xf>
    <xf numFmtId="9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3" fontId="8" fillId="7" borderId="1" xfId="3" applyFont="1" applyFill="1" applyBorder="1" applyAlignment="1">
      <alignment horizontal="right" vertical="center"/>
    </xf>
    <xf numFmtId="10" fontId="8" fillId="7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right" vertical="center"/>
    </xf>
    <xf numFmtId="10" fontId="8" fillId="7" borderId="1" xfId="2" applyNumberFormat="1" applyFont="1" applyFill="1" applyBorder="1" applyAlignment="1">
      <alignment horizontal="right" vertical="center"/>
    </xf>
    <xf numFmtId="0" fontId="8" fillId="3" borderId="1" xfId="2" applyNumberFormat="1" applyFont="1" applyFill="1" applyBorder="1" applyAlignment="1">
      <alignment horizontal="right" vertical="center"/>
    </xf>
    <xf numFmtId="43" fontId="8" fillId="0" borderId="1" xfId="3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8" fontId="8" fillId="0" borderId="0" xfId="0" applyNumberFormat="1" applyFont="1" applyAlignment="1">
      <alignment vertical="center"/>
    </xf>
    <xf numFmtId="2" fontId="8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8" fillId="5" borderId="9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43" fontId="8" fillId="5" borderId="1" xfId="3" applyFont="1" applyFill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7" fillId="5" borderId="14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18" xfId="0" applyFont="1" applyFill="1" applyBorder="1" applyAlignment="1">
      <alignment horizontal="left" vertical="center" wrapText="1"/>
    </xf>
    <xf numFmtId="10" fontId="7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5" fillId="7" borderId="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3" fontId="7" fillId="0" borderId="1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3" fontId="8" fillId="0" borderId="0" xfId="3" applyFont="1" applyBorder="1" applyAlignment="1">
      <alignment vertical="center"/>
    </xf>
    <xf numFmtId="43" fontId="8" fillId="5" borderId="0" xfId="3" applyFont="1" applyFill="1" applyBorder="1" applyAlignment="1">
      <alignment vertical="center"/>
    </xf>
    <xf numFmtId="43" fontId="8" fillId="0" borderId="0" xfId="3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3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43" fontId="7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center" vertical="center"/>
    </xf>
    <xf numFmtId="165" fontId="15" fillId="5" borderId="0" xfId="0" applyNumberFormat="1" applyFont="1" applyFill="1" applyAlignment="1">
      <alignment vertical="center"/>
    </xf>
    <xf numFmtId="165" fontId="12" fillId="0" borderId="0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5" fillId="0" borderId="1" xfId="0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8" fillId="0" borderId="0" xfId="3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/>
    </xf>
    <xf numFmtId="10" fontId="8" fillId="8" borderId="1" xfId="2" applyNumberFormat="1" applyFont="1" applyFill="1" applyBorder="1" applyAlignment="1">
      <alignment horizontal="center" vertical="center"/>
    </xf>
    <xf numFmtId="43" fontId="8" fillId="8" borderId="1" xfId="3" applyFont="1" applyFill="1" applyBorder="1" applyAlignment="1">
      <alignment vertical="center"/>
    </xf>
    <xf numFmtId="43" fontId="12" fillId="5" borderId="0" xfId="3" applyFont="1" applyFill="1" applyBorder="1" applyAlignment="1">
      <alignment vertical="center"/>
    </xf>
    <xf numFmtId="0" fontId="7" fillId="8" borderId="13" xfId="0" applyFont="1" applyFill="1" applyBorder="1" applyAlignment="1">
      <alignment horizontal="center" vertical="center"/>
    </xf>
    <xf numFmtId="10" fontId="8" fillId="8" borderId="1" xfId="2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7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10" fontId="8" fillId="0" borderId="2" xfId="0" applyNumberFormat="1" applyFont="1" applyBorder="1" applyAlignment="1">
      <alignment horizontal="center" vertical="center"/>
    </xf>
    <xf numFmtId="43" fontId="8" fillId="0" borderId="2" xfId="3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vertical="center"/>
    </xf>
    <xf numFmtId="165" fontId="15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15" fillId="5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8" fontId="8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4" fillId="7" borderId="1" xfId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7" fontId="8" fillId="5" borderId="1" xfId="1" applyNumberFormat="1" applyFont="1" applyFill="1" applyBorder="1" applyAlignment="1">
      <alignment horizontal="center" vertical="center" wrapText="1"/>
    </xf>
    <xf numFmtId="164" fontId="8" fillId="0" borderId="1" xfId="1" applyFont="1" applyFill="1" applyBorder="1"/>
    <xf numFmtId="167" fontId="7" fillId="5" borderId="1" xfId="1" applyNumberFormat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7" fillId="0" borderId="1" xfId="1" applyFont="1" applyBorder="1" applyAlignment="1">
      <alignment vertical="center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64" fontId="4" fillId="0" borderId="1" xfId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64" fontId="0" fillId="7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4" fillId="5" borderId="1" xfId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4" fillId="5" borderId="0" xfId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vertical="center"/>
    </xf>
    <xf numFmtId="164" fontId="8" fillId="0" borderId="0" xfId="1" applyFont="1" applyBorder="1" applyAlignment="1">
      <alignment horizontal="center"/>
    </xf>
    <xf numFmtId="164" fontId="8" fillId="0" borderId="0" xfId="1" applyFont="1" applyBorder="1" applyAlignment="1">
      <alignment vertical="center"/>
    </xf>
    <xf numFmtId="164" fontId="8" fillId="0" borderId="0" xfId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3" fontId="8" fillId="0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166" fontId="15" fillId="7" borderId="1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</cellXfs>
  <cellStyles count="22">
    <cellStyle name="Moeda" xfId="1" builtinId="4"/>
    <cellStyle name="Moeda 2" xfId="6" xr:uid="{00000000-0005-0000-0000-000001000000}"/>
    <cellStyle name="Moeda 3" xfId="11" xr:uid="{00000000-0005-0000-0000-000002000000}"/>
    <cellStyle name="Moeda 3 2" xfId="19" xr:uid="{5DEC317B-DFA2-4DA3-8080-61625CBB1E49}"/>
    <cellStyle name="Normal" xfId="0" builtinId="0"/>
    <cellStyle name="Normal 2" xfId="5" xr:uid="{00000000-0005-0000-0000-000004000000}"/>
    <cellStyle name="Normal 3" xfId="4" xr:uid="{00000000-0005-0000-0000-000005000000}"/>
    <cellStyle name="Normal 3 2" xfId="15" xr:uid="{EEE57AC9-5D68-48FC-8B5A-F169DEA3665C}"/>
    <cellStyle name="Normal 4" xfId="12" xr:uid="{00000000-0005-0000-0000-000006000000}"/>
    <cellStyle name="Normal 4 2" xfId="20" xr:uid="{C55D55DA-9124-4F5B-BC56-347F790E281F}"/>
    <cellStyle name="Porcentagem" xfId="2" builtinId="5"/>
    <cellStyle name="Porcentagem 2" xfId="7" xr:uid="{00000000-0005-0000-0000-000008000000}"/>
    <cellStyle name="Porcentagem 3" xfId="10" xr:uid="{00000000-0005-0000-0000-000009000000}"/>
    <cellStyle name="Porcentagem 3 2" xfId="18" xr:uid="{004E9B42-E067-448A-BC72-B35C71BFDD36}"/>
    <cellStyle name="Vírgula" xfId="3" builtinId="3"/>
    <cellStyle name="Vírgula 2" xfId="8" xr:uid="{00000000-0005-0000-0000-00000B000000}"/>
    <cellStyle name="Vírgula 2 2" xfId="16" xr:uid="{FE48E254-90EC-40FB-B8AD-D279ECED6614}"/>
    <cellStyle name="Vírgula 3" xfId="9" xr:uid="{00000000-0005-0000-0000-00000C000000}"/>
    <cellStyle name="Vírgula 3 2" xfId="17" xr:uid="{AF5F656D-8A54-44E6-A8F8-EFE41ABD0F99}"/>
    <cellStyle name="Vírgula 4" xfId="13" xr:uid="{00000000-0005-0000-0000-00000D000000}"/>
    <cellStyle name="Vírgula 4 2" xfId="21" xr:uid="{FEA83A60-2B28-4795-9CB9-F3CC7250DFE7}"/>
    <cellStyle name="Vírgula 5" xfId="14" xr:uid="{21B2A8FF-DB76-4867-932A-0345517040CB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M50"/>
  <sheetViews>
    <sheetView showGridLines="0" topLeftCell="A12" zoomScaleNormal="100" workbookViewId="0">
      <selection activeCell="D24" sqref="D24"/>
    </sheetView>
  </sheetViews>
  <sheetFormatPr defaultColWidth="9.140625" defaultRowHeight="22.5" customHeight="1" x14ac:dyDescent="0.2"/>
  <cols>
    <col min="1" max="1" width="3.28515625" style="179" customWidth="1"/>
    <col min="2" max="2" width="25.28515625" style="179" customWidth="1"/>
    <col min="3" max="3" width="13.28515625" style="179" customWidth="1"/>
    <col min="4" max="4" width="15.85546875" style="179" bestFit="1" customWidth="1"/>
    <col min="5" max="5" width="14.42578125" style="179" bestFit="1" customWidth="1"/>
    <col min="6" max="6" width="14.28515625" style="179" customWidth="1"/>
    <col min="7" max="7" width="17.85546875" style="179" bestFit="1" customWidth="1"/>
    <col min="8" max="8" width="14.7109375" style="179" bestFit="1" customWidth="1"/>
    <col min="9" max="9" width="12.85546875" style="179" bestFit="1" customWidth="1"/>
    <col min="10" max="10" width="37.140625" style="179" customWidth="1"/>
    <col min="11" max="11" width="15.140625" style="179" customWidth="1"/>
    <col min="12" max="12" width="13.28515625" style="179" customWidth="1"/>
    <col min="13" max="13" width="13.28515625" style="179" bestFit="1" customWidth="1"/>
    <col min="14" max="16384" width="9.140625" style="179"/>
  </cols>
  <sheetData>
    <row r="1" spans="2:13" ht="22.5" customHeight="1" x14ac:dyDescent="0.2">
      <c r="B1" s="212" t="s">
        <v>219</v>
      </c>
      <c r="C1" s="212"/>
      <c r="D1" s="212"/>
      <c r="E1" s="212"/>
      <c r="F1" s="212"/>
      <c r="G1" s="212"/>
    </row>
    <row r="2" spans="2:13" ht="11.25" customHeight="1" x14ac:dyDescent="0.2">
      <c r="B2" s="215" t="s">
        <v>186</v>
      </c>
      <c r="C2" s="215"/>
      <c r="D2" s="215"/>
      <c r="E2" s="215"/>
      <c r="F2" s="215"/>
      <c r="G2" s="215"/>
      <c r="H2" s="215"/>
    </row>
    <row r="3" spans="2:13" ht="11.25" customHeight="1" x14ac:dyDescent="0.2">
      <c r="B3" s="88"/>
      <c r="C3" s="88"/>
      <c r="D3" s="88"/>
      <c r="E3" s="88"/>
      <c r="F3" s="88"/>
      <c r="G3" s="88"/>
      <c r="H3" s="88"/>
    </row>
    <row r="4" spans="2:13" ht="22.5" customHeight="1" x14ac:dyDescent="0.2">
      <c r="B4" s="48" t="s">
        <v>349</v>
      </c>
    </row>
    <row r="5" spans="2:13" ht="18.75" customHeight="1" x14ac:dyDescent="0.2">
      <c r="B5" s="48"/>
    </row>
    <row r="6" spans="2:13" ht="22.5" customHeight="1" x14ac:dyDescent="0.2">
      <c r="B6" s="216" t="s">
        <v>217</v>
      </c>
      <c r="C6" s="216"/>
      <c r="D6" s="216"/>
      <c r="E6" s="216"/>
      <c r="F6" s="216"/>
      <c r="G6" s="216"/>
      <c r="H6" s="46"/>
    </row>
    <row r="7" spans="2:13" ht="18.75" customHeight="1" thickBot="1" x14ac:dyDescent="0.25"/>
    <row r="8" spans="2:13" ht="22.5" customHeight="1" thickBot="1" x14ac:dyDescent="0.25">
      <c r="B8" s="210" t="s">
        <v>88</v>
      </c>
      <c r="C8" s="223"/>
      <c r="D8" s="223"/>
      <c r="E8" s="223"/>
      <c r="F8" s="223"/>
      <c r="G8" s="211"/>
    </row>
    <row r="9" spans="2:13" ht="18.75" customHeight="1" thickBot="1" x14ac:dyDescent="0.25">
      <c r="B9" s="87"/>
      <c r="C9" s="87"/>
      <c r="D9" s="87"/>
      <c r="E9" s="87"/>
      <c r="F9" s="87"/>
      <c r="G9" s="87"/>
    </row>
    <row r="10" spans="2:13" ht="22.5" customHeight="1" thickBot="1" x14ac:dyDescent="0.25">
      <c r="B10" s="213" t="s">
        <v>220</v>
      </c>
      <c r="C10" s="213"/>
      <c r="D10" s="213"/>
      <c r="E10" s="213"/>
      <c r="F10" s="213"/>
      <c r="G10" s="213"/>
      <c r="J10" s="210" t="s">
        <v>216</v>
      </c>
      <c r="K10" s="211"/>
      <c r="L10" s="48"/>
      <c r="M10" s="48"/>
    </row>
    <row r="11" spans="2:13" ht="22.5" customHeight="1" x14ac:dyDescent="0.15">
      <c r="B11" s="171" t="s">
        <v>85</v>
      </c>
      <c r="C11" s="170" t="s">
        <v>197</v>
      </c>
      <c r="D11" s="170" t="s">
        <v>199</v>
      </c>
      <c r="E11" s="170" t="s">
        <v>201</v>
      </c>
      <c r="F11" s="170" t="s">
        <v>198</v>
      </c>
      <c r="G11" s="170" t="s">
        <v>200</v>
      </c>
      <c r="J11" s="166"/>
      <c r="K11" s="166"/>
      <c r="L11" s="166"/>
    </row>
    <row r="12" spans="2:13" x14ac:dyDescent="0.2">
      <c r="B12" s="168" t="s">
        <v>218</v>
      </c>
      <c r="C12" s="169">
        <v>540</v>
      </c>
      <c r="D12" s="186">
        <v>2.23</v>
      </c>
      <c r="E12" s="187">
        <f>C12*D12</f>
        <v>1204.2</v>
      </c>
      <c r="F12" s="178">
        <v>30</v>
      </c>
      <c r="G12" s="187">
        <f t="shared" ref="G12:G18" si="0">F12*E12</f>
        <v>36126</v>
      </c>
      <c r="J12" s="165" t="s">
        <v>87</v>
      </c>
      <c r="K12" s="165" t="s">
        <v>339</v>
      </c>
      <c r="L12" s="121"/>
      <c r="M12" s="121"/>
    </row>
    <row r="13" spans="2:13" x14ac:dyDescent="0.15">
      <c r="B13" s="167" t="s">
        <v>223</v>
      </c>
      <c r="C13" s="178">
        <v>2</v>
      </c>
      <c r="D13" s="205">
        <f>'Médico do Trabalho'!H135</f>
        <v>36806.283333333333</v>
      </c>
      <c r="E13" s="187">
        <f t="shared" ref="E13:E19" si="1">C13*D13</f>
        <v>73612.566666666666</v>
      </c>
      <c r="F13" s="178">
        <v>30</v>
      </c>
      <c r="G13" s="187">
        <f t="shared" si="0"/>
        <v>2208377</v>
      </c>
      <c r="J13" s="70" t="s">
        <v>342</v>
      </c>
      <c r="K13" s="188">
        <f>'Médico do Trabalho'!H25</f>
        <v>12453.55</v>
      </c>
      <c r="L13" s="207"/>
      <c r="M13" s="208"/>
    </row>
    <row r="14" spans="2:13" ht="22.5" customHeight="1" x14ac:dyDescent="0.15">
      <c r="B14" s="168" t="s">
        <v>341</v>
      </c>
      <c r="C14" s="178">
        <v>1</v>
      </c>
      <c r="D14" s="205">
        <f>Psiquiatra!H135</f>
        <v>17774.081666666665</v>
      </c>
      <c r="E14" s="187">
        <f t="shared" si="1"/>
        <v>17774.081666666665</v>
      </c>
      <c r="F14" s="178">
        <v>30</v>
      </c>
      <c r="G14" s="187">
        <f t="shared" si="0"/>
        <v>533222.44999999995</v>
      </c>
      <c r="J14" s="70" t="s">
        <v>343</v>
      </c>
      <c r="K14" s="188">
        <f>Psiquiatra!H25</f>
        <v>6116.48</v>
      </c>
      <c r="L14" s="207"/>
      <c r="M14" s="208"/>
    </row>
    <row r="15" spans="2:13" ht="22.5" customHeight="1" x14ac:dyDescent="0.15">
      <c r="B15" s="168" t="s">
        <v>202</v>
      </c>
      <c r="C15" s="178">
        <v>1</v>
      </c>
      <c r="D15" s="205">
        <f>Nutricionista!H135</f>
        <v>3603.5716666666667</v>
      </c>
      <c r="E15" s="187">
        <f t="shared" si="1"/>
        <v>3603.5716666666667</v>
      </c>
      <c r="F15" s="178">
        <v>30</v>
      </c>
      <c r="G15" s="187">
        <f t="shared" si="0"/>
        <v>108107.15</v>
      </c>
      <c r="J15" s="70" t="s">
        <v>344</v>
      </c>
      <c r="K15" s="188">
        <f>Nutricionista!H25</f>
        <v>984.03</v>
      </c>
      <c r="L15" s="207"/>
      <c r="M15" s="208"/>
    </row>
    <row r="16" spans="2:13" ht="22.5" customHeight="1" x14ac:dyDescent="0.15">
      <c r="B16" s="168" t="s">
        <v>224</v>
      </c>
      <c r="C16" s="178">
        <v>2</v>
      </c>
      <c r="D16" s="205">
        <f>'Téc. de Enfermagem'!H135</f>
        <v>9730.0933333333342</v>
      </c>
      <c r="E16" s="187">
        <f t="shared" si="1"/>
        <v>19460.186666666668</v>
      </c>
      <c r="F16" s="178">
        <v>30</v>
      </c>
      <c r="G16" s="187">
        <f t="shared" si="0"/>
        <v>583805.60000000009</v>
      </c>
      <c r="J16" s="70" t="s">
        <v>345</v>
      </c>
      <c r="K16" s="188">
        <f>'Téc. de Enfermagem'!H25</f>
        <v>2399.3200000000002</v>
      </c>
      <c r="L16" s="207"/>
      <c r="M16" s="208"/>
    </row>
    <row r="17" spans="2:13" ht="22.5" customHeight="1" x14ac:dyDescent="0.15">
      <c r="B17" s="168" t="s">
        <v>226</v>
      </c>
      <c r="C17" s="178">
        <v>1</v>
      </c>
      <c r="D17" s="205">
        <f>Psicólogo!H135</f>
        <v>13983.283333333335</v>
      </c>
      <c r="E17" s="187">
        <f t="shared" si="1"/>
        <v>13983.283333333335</v>
      </c>
      <c r="F17" s="178">
        <v>30</v>
      </c>
      <c r="G17" s="187">
        <f t="shared" si="0"/>
        <v>419498.50000000006</v>
      </c>
      <c r="J17" s="70" t="s">
        <v>346</v>
      </c>
      <c r="K17" s="188">
        <f>Psicólogo!H25</f>
        <v>4465.8999999999996</v>
      </c>
      <c r="L17" s="207"/>
      <c r="M17" s="208"/>
    </row>
    <row r="18" spans="2:13" x14ac:dyDescent="0.15">
      <c r="B18" s="168" t="s">
        <v>225</v>
      </c>
      <c r="C18" s="178">
        <v>1</v>
      </c>
      <c r="D18" s="205">
        <f>Fisioterapeuta!H135</f>
        <v>14233.495833333332</v>
      </c>
      <c r="E18" s="187">
        <f t="shared" si="1"/>
        <v>14233.495833333332</v>
      </c>
      <c r="F18" s="178">
        <v>30</v>
      </c>
      <c r="G18" s="187">
        <f t="shared" si="0"/>
        <v>427004.875</v>
      </c>
      <c r="J18" s="70" t="s">
        <v>347</v>
      </c>
      <c r="K18" s="188">
        <f>Fisioterapeuta!H25</f>
        <v>4197</v>
      </c>
      <c r="L18" s="207"/>
      <c r="M18" s="208"/>
    </row>
    <row r="19" spans="2:13" x14ac:dyDescent="0.2">
      <c r="B19" s="168" t="s">
        <v>203</v>
      </c>
      <c r="C19" s="178">
        <v>1</v>
      </c>
      <c r="D19" s="205">
        <f>'Assistente Social'!H135</f>
        <v>13491.613333333335</v>
      </c>
      <c r="E19" s="187">
        <f t="shared" si="1"/>
        <v>13491.613333333335</v>
      </c>
      <c r="F19" s="178">
        <v>30</v>
      </c>
      <c r="G19" s="187">
        <f>F19*E19</f>
        <v>404748.4</v>
      </c>
      <c r="J19" s="70" t="s">
        <v>348</v>
      </c>
      <c r="K19" s="206">
        <f>'Assistente Social'!H25</f>
        <v>4279.54</v>
      </c>
      <c r="L19" s="209"/>
      <c r="M19" s="208"/>
    </row>
    <row r="20" spans="2:13" ht="22.5" customHeight="1" x14ac:dyDescent="0.2">
      <c r="B20" s="214" t="s">
        <v>212</v>
      </c>
      <c r="C20" s="214"/>
      <c r="D20" s="214"/>
      <c r="E20" s="214"/>
      <c r="F20" s="214"/>
      <c r="G20" s="175">
        <f>SUM(G12:G19)</f>
        <v>4720889.9750000006</v>
      </c>
    </row>
    <row r="21" spans="2:13" ht="18.75" customHeight="1" x14ac:dyDescent="0.2"/>
    <row r="22" spans="2:13" ht="22.5" customHeight="1" x14ac:dyDescent="0.2">
      <c r="B22" s="217" t="s">
        <v>204</v>
      </c>
      <c r="C22" s="217"/>
      <c r="D22" s="217"/>
      <c r="E22" s="217"/>
    </row>
    <row r="23" spans="2:13" ht="22.5" customHeight="1" x14ac:dyDescent="0.2">
      <c r="B23" s="173" t="s">
        <v>85</v>
      </c>
      <c r="C23" s="173" t="s">
        <v>205</v>
      </c>
      <c r="D23" s="185" t="s">
        <v>199</v>
      </c>
      <c r="E23" s="185" t="s">
        <v>200</v>
      </c>
    </row>
    <row r="24" spans="2:13" ht="22.5" customHeight="1" x14ac:dyDescent="0.2">
      <c r="B24" s="182" t="s">
        <v>206</v>
      </c>
      <c r="C24" s="184">
        <v>110</v>
      </c>
      <c r="D24" s="174">
        <v>50.25</v>
      </c>
      <c r="E24" s="187">
        <f>C24*D24</f>
        <v>5527.5</v>
      </c>
      <c r="I24" s="92"/>
    </row>
    <row r="25" spans="2:13" ht="22.5" customHeight="1" x14ac:dyDescent="0.2">
      <c r="B25" s="182" t="s">
        <v>207</v>
      </c>
      <c r="C25" s="184">
        <v>12</v>
      </c>
      <c r="D25" s="174">
        <v>484.5</v>
      </c>
      <c r="E25" s="187">
        <f>C25*D25</f>
        <v>5814</v>
      </c>
    </row>
    <row r="26" spans="2:13" ht="22.5" customHeight="1" x14ac:dyDescent="0.2">
      <c r="B26" s="218" t="s">
        <v>213</v>
      </c>
      <c r="C26" s="219"/>
      <c r="D26" s="220"/>
      <c r="E26" s="189">
        <f>SUM(E24:E25)</f>
        <v>11341.5</v>
      </c>
    </row>
    <row r="27" spans="2:13" ht="18.75" customHeight="1" x14ac:dyDescent="0.2"/>
    <row r="28" spans="2:13" ht="22.5" customHeight="1" x14ac:dyDescent="0.15">
      <c r="B28" s="172" t="s">
        <v>221</v>
      </c>
      <c r="C28" s="166"/>
      <c r="D28" s="166"/>
    </row>
    <row r="29" spans="2:13" ht="22.5" customHeight="1" x14ac:dyDescent="0.2">
      <c r="B29" s="173" t="s">
        <v>85</v>
      </c>
      <c r="C29" s="173" t="s">
        <v>205</v>
      </c>
      <c r="D29" s="173" t="s">
        <v>340</v>
      </c>
    </row>
    <row r="30" spans="2:13" ht="22.5" customHeight="1" x14ac:dyDescent="0.2">
      <c r="B30" s="182" t="s">
        <v>208</v>
      </c>
      <c r="C30" s="183">
        <v>10</v>
      </c>
      <c r="D30" s="190">
        <v>2000</v>
      </c>
    </row>
    <row r="31" spans="2:13" ht="22.5" customHeight="1" x14ac:dyDescent="0.2">
      <c r="B31" s="182" t="s">
        <v>209</v>
      </c>
      <c r="C31" s="183">
        <v>63</v>
      </c>
      <c r="D31" s="190">
        <v>122459.8</v>
      </c>
    </row>
    <row r="32" spans="2:13" ht="22.5" customHeight="1" x14ac:dyDescent="0.2">
      <c r="B32" s="182" t="s">
        <v>210</v>
      </c>
      <c r="C32" s="183">
        <v>135</v>
      </c>
      <c r="D32" s="190">
        <v>83196.45</v>
      </c>
    </row>
    <row r="33" spans="2:7" ht="22.5" customHeight="1" x14ac:dyDescent="0.2">
      <c r="B33" s="221" t="s">
        <v>214</v>
      </c>
      <c r="C33" s="221"/>
      <c r="D33" s="191">
        <f>SUM(D30:D32)</f>
        <v>207656.25</v>
      </c>
    </row>
    <row r="34" spans="2:7" ht="18.75" customHeight="1" x14ac:dyDescent="0.2"/>
    <row r="35" spans="2:7" ht="22.5" customHeight="1" x14ac:dyDescent="0.2">
      <c r="B35" s="213" t="s">
        <v>222</v>
      </c>
      <c r="C35" s="213"/>
      <c r="D35" s="213"/>
      <c r="E35" s="213"/>
    </row>
    <row r="36" spans="2:7" ht="22.5" customHeight="1" x14ac:dyDescent="0.2">
      <c r="B36" s="214" t="s">
        <v>215</v>
      </c>
      <c r="C36" s="214"/>
      <c r="D36" s="222">
        <f>G20+E26+D33</f>
        <v>4939887.7250000006</v>
      </c>
      <c r="E36" s="222"/>
      <c r="G36" s="92">
        <f>E26+G20</f>
        <v>4732231.4750000006</v>
      </c>
    </row>
    <row r="37" spans="2:7" ht="22.5" customHeight="1" x14ac:dyDescent="0.2">
      <c r="B37" s="214" t="s">
        <v>211</v>
      </c>
      <c r="C37" s="214"/>
      <c r="D37" s="214"/>
      <c r="E37" s="214"/>
    </row>
    <row r="38" spans="2:7" ht="18.75" customHeight="1" x14ac:dyDescent="0.2"/>
    <row r="39" spans="2:7" ht="18.75" customHeight="1" x14ac:dyDescent="0.2"/>
    <row r="40" spans="2:7" ht="22.5" customHeight="1" x14ac:dyDescent="0.2">
      <c r="B40" s="1" t="s">
        <v>53</v>
      </c>
      <c r="C40" s="2"/>
      <c r="D40" s="67"/>
      <c r="E40" s="177" t="s">
        <v>54</v>
      </c>
    </row>
    <row r="41" spans="2:7" ht="22.5" customHeight="1" x14ac:dyDescent="0.2">
      <c r="B41" s="179" t="s">
        <v>185</v>
      </c>
    </row>
    <row r="43" spans="2:7" ht="22.5" customHeight="1" x14ac:dyDescent="0.2">
      <c r="F43" s="180" t="s">
        <v>178</v>
      </c>
    </row>
    <row r="44" spans="2:7" ht="22.5" customHeight="1" x14ac:dyDescent="0.2">
      <c r="F44" s="181"/>
    </row>
    <row r="45" spans="2:7" ht="22.5" customHeight="1" x14ac:dyDescent="0.2">
      <c r="F45" s="181" t="s">
        <v>179</v>
      </c>
    </row>
    <row r="46" spans="2:7" ht="22.5" customHeight="1" x14ac:dyDescent="0.2">
      <c r="F46" s="181" t="s">
        <v>180</v>
      </c>
    </row>
    <row r="47" spans="2:7" ht="22.5" customHeight="1" x14ac:dyDescent="0.2">
      <c r="F47" s="181" t="s">
        <v>181</v>
      </c>
    </row>
    <row r="48" spans="2:7" ht="22.5" customHeight="1" x14ac:dyDescent="0.2">
      <c r="F48" s="181" t="s">
        <v>182</v>
      </c>
    </row>
    <row r="49" spans="6:6" ht="22.5" customHeight="1" x14ac:dyDescent="0.2">
      <c r="F49" s="181" t="s">
        <v>183</v>
      </c>
    </row>
    <row r="50" spans="6:6" ht="22.5" customHeight="1" x14ac:dyDescent="0.2">
      <c r="F50" s="181" t="s">
        <v>184</v>
      </c>
    </row>
  </sheetData>
  <mergeCells count="14">
    <mergeCell ref="J10:K10"/>
    <mergeCell ref="B1:G1"/>
    <mergeCell ref="B10:G10"/>
    <mergeCell ref="B37:E37"/>
    <mergeCell ref="B35:E35"/>
    <mergeCell ref="B2:H2"/>
    <mergeCell ref="B6:G6"/>
    <mergeCell ref="B20:F20"/>
    <mergeCell ref="B22:E22"/>
    <mergeCell ref="B26:D26"/>
    <mergeCell ref="B33:C33"/>
    <mergeCell ref="B36:C36"/>
    <mergeCell ref="D36:E36"/>
    <mergeCell ref="B8:G8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7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148"/>
  <sheetViews>
    <sheetView showGridLines="0" topLeftCell="A82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193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12453.55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>
        <v>0.2</v>
      </c>
      <c r="H27" s="11">
        <f>TRUNC($G27*1518,2)</f>
        <v>303.60000000000002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12757.15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1063.0899999999999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1417.46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2480.5500000000002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3047.54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380.94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457.13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228.56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152.37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91.42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30.47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1219.01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5607.4400000000005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 t="str">
        <f>IF((TRUNC((8.55*2*22)-(H$25*6%),2))&lt;0,"0,00",(TRUNC((8.55*2*22)-(H$25*6%),2)))</f>
        <v>0,00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924.44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2480.5500000000002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5607.4400000000005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924.44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9012.43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1936.02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1448.42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487.6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487.6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487.6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173.7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2597.3199999999997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2030.57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541.48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812.23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2572.0500000000002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2572.0500000000002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2572.0500000000002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Insumos!G122</f>
        <v>275.14999999999998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386.95333333333332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1366.29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2869.21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36806.300000000003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607.29999999999995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2797.27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1840.31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9480.3799999999974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12757.15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9012.43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2597.3199999999997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2572.0500000000002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386.95333333333332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27325.903333333335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9480.3799999999974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36806.283333333333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36806.283333333333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7649.92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912.84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428.13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899.08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1643.52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11533.49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25272.793333333335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127:F127"/>
    <mergeCell ref="D122:F122"/>
    <mergeCell ref="D143:F143"/>
    <mergeCell ref="D144:F144"/>
    <mergeCell ref="D145:F145"/>
    <mergeCell ref="B137:F137"/>
    <mergeCell ref="B148:G148"/>
    <mergeCell ref="B139:F139"/>
    <mergeCell ref="D140:F140"/>
    <mergeCell ref="D141:F141"/>
    <mergeCell ref="D142:F142"/>
    <mergeCell ref="D147:F147"/>
  </mergeCells>
  <dataValidations count="9">
    <dataValidation type="list" allowBlank="1" showInputMessage="1" showErrorMessage="1" sqref="G81" xr:uid="{00000000-0002-0000-0100-000000000000}">
      <formula1>"3,6,9,12,15"</formula1>
    </dataValidation>
    <dataValidation type="custom" allowBlank="1" showInputMessage="1" showErrorMessage="1" sqref="G118" xr:uid="{00000000-0002-0000-0100-000001000000}">
      <formula1>1-(G119+G120+G121)</formula1>
    </dataValidation>
    <dataValidation type="list" operator="equal" allowBlank="1" showInputMessage="1" showErrorMessage="1" errorTitle="Valor errado" error="Percentual fixo. Preencher com 40%." sqref="F78 F80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8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B8CE-B581-416D-9E9C-4E6574C1FEAF}">
  <sheetPr>
    <tabColor theme="9"/>
  </sheetPr>
  <dimension ref="B1:I148"/>
  <sheetViews>
    <sheetView showGridLines="0" topLeftCell="A103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194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6116.48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/>
      <c r="H27" s="11">
        <f>TRUNC(H$25*$G27,2)</f>
        <v>0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6116.48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509.7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679.6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1189.3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1461.15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182.64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219.17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109.58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73.05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43.83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14.61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584.46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2688.4900000000002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 t="str">
        <f>IF((TRUNC((8.55*2*15)-(H$25*6%),2))&lt;0,"0,00",(TRUNC((8.55*2*15)-(H$25*6%),2)))</f>
        <v>0,00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42.02*15</f>
        <v>630.30000000000007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630.30000000000007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1189.3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2688.4900000000002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630.30000000000007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4508.09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943.82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710.04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233.78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233.78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233.78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83.28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1260.8800000000001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990.45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264.12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396.18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1254.57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1254.57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1254.57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Insumos!G14</f>
        <v>55.901666666666671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55.901666666666671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659.79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1385.57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17774.080000000002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293.27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1350.83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888.7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4578.16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6116.48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4508.09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1260.8800000000001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1254.57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55.901666666666671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13195.921666666667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4578.16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17774.081666666665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17774.081666666665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3704.75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437.66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207.12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434.95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795.08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5579.5599999999995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12194.521666666666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DF7C7194-B177-4A2F-B337-A59BEA473487}">
      <formula1>"0%, 30%"</formula1>
    </dataValidation>
    <dataValidation type="list" allowBlank="1" showInputMessage="1" showErrorMessage="1" sqref="G27" xr:uid="{42EDD084-5298-40CD-BC80-1F514DE02D9E}">
      <formula1>"0%, 10%, 20%, 40%"</formula1>
    </dataValidation>
    <dataValidation type="list" allowBlank="1" showInputMessage="1" showErrorMessage="1" sqref="E50" xr:uid="{389CD631-B29F-4E76-867D-664DF4860D75}">
      <formula1>"1%, 2%, 3%"</formula1>
    </dataValidation>
    <dataValidation type="list" allowBlank="1" showInputMessage="1" showErrorMessage="1" sqref="G28:G29" xr:uid="{3369F0C6-F6BD-41F8-8F6A-C81F0FF221F9}">
      <formula1>"0, 20%"</formula1>
    </dataValidation>
    <dataValidation type="list" allowBlank="1" showInputMessage="1" showErrorMessage="1" sqref="G30" xr:uid="{ECBDCC97-A2AD-482C-8A34-B0141461AB0A}">
      <formula1>"0, 50%, 100%"</formula1>
    </dataValidation>
    <dataValidation type="whole" allowBlank="1" showInputMessage="1" showErrorMessage="1" errorTitle="Valor errado" error="Quantidade fixa de dias. Prencher com 30" sqref="G88" xr:uid="{DE5710EF-812C-4237-B6BE-19E5A207C02E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88756760-0F30-46B1-A71A-042C42493406}">
      <formula1>"40%"</formula1>
    </dataValidation>
    <dataValidation type="custom" allowBlank="1" showInputMessage="1" showErrorMessage="1" sqref="G118" xr:uid="{6D47B0DF-5F55-491E-B4CB-6BA42C1EA497}">
      <formula1>1-(G119+G120+G121)</formula1>
    </dataValidation>
    <dataValidation type="list" allowBlank="1" showInputMessage="1" showErrorMessage="1" sqref="G81" xr:uid="{50814E1E-9166-4654-82D4-07B9CE56F871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CBDE-64C7-4E12-AB3C-00CCBCF07399}">
  <sheetPr>
    <tabColor theme="9"/>
  </sheetPr>
  <dimension ref="B1:I148"/>
  <sheetViews>
    <sheetView showGridLines="0" topLeftCell="A106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195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984.03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/>
      <c r="H27" s="11">
        <f>TRUNC(H$25*$G27,2)</f>
        <v>0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984.03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82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109.33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191.32999999999998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235.07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29.38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35.26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17.63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11.75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7.05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2.35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94.02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432.51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IF((TRUNC((8.55*2*10)-(H$25*6%),2))&lt;0,"0,00",(TRUNC((8.55*2*10)-(H$25*6%),2)))</f>
        <v>111.95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42.02*10</f>
        <v>420.20000000000005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532.15000000000009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191.32999999999998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432.51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532.15000000000009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1155.99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178.39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140.79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37.6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37.6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37.6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13.39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229.38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197.45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52.65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78.98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250.1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250.1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250.1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Insumos!G14</f>
        <v>55.901666666666671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55.901666666666671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133.77000000000001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280.91000000000003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3603.59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59.45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273.87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180.17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928.17000000000007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984.03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1155.99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229.38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250.1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55.901666666666671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2675.4016666666666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928.17000000000007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3603.5716666666667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3603.5716666666667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670.81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70.400000000000006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37.06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77.819999999999993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142.26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998.34999999999991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2605.2216666666668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81" xr:uid="{CFF102A1-5FCA-45E9-9273-2994CCCAC5FD}">
      <formula1>"3,6,9,12,15"</formula1>
    </dataValidation>
    <dataValidation type="custom" allowBlank="1" showInputMessage="1" showErrorMessage="1" sqref="G118" xr:uid="{7378F3ED-591D-480B-9657-EFFBA6578B58}">
      <formula1>1-(G119+G120+G121)</formula1>
    </dataValidation>
    <dataValidation type="list" operator="equal" allowBlank="1" showInputMessage="1" showErrorMessage="1" errorTitle="Valor errado" error="Percentual fixo. Preencher com 40%." sqref="F78 F80" xr:uid="{1C223C30-8204-4F68-B8B6-A214805BE31C}">
      <formula1>"40%"</formula1>
    </dataValidation>
    <dataValidation type="whole" allowBlank="1" showInputMessage="1" showErrorMessage="1" errorTitle="Valor errado" error="Quantidade fixa de dias. Prencher com 30" sqref="G88" xr:uid="{9D328F2E-D85D-4125-80E1-363C17A183C7}">
      <formula1>30</formula1>
      <formula2>30</formula2>
    </dataValidation>
    <dataValidation type="list" allowBlank="1" showInputMessage="1" showErrorMessage="1" sqref="G30" xr:uid="{AEA4011D-717E-4510-93D8-FF5CCD362D95}">
      <formula1>"0, 50%, 100%"</formula1>
    </dataValidation>
    <dataValidation type="list" allowBlank="1" showInputMessage="1" showErrorMessage="1" sqref="G28:G29" xr:uid="{926B8030-E24D-4B10-904B-4E834775DD7A}">
      <formula1>"0, 20%"</formula1>
    </dataValidation>
    <dataValidation type="list" allowBlank="1" showInputMessage="1" showErrorMessage="1" sqref="E50" xr:uid="{34DE5AB4-8AAD-4F77-B985-5D656E4CA3CC}">
      <formula1>"1%, 2%, 3%"</formula1>
    </dataValidation>
    <dataValidation type="list" allowBlank="1" showInputMessage="1" showErrorMessage="1" sqref="G27" xr:uid="{FADF325E-BEE3-4945-95DB-99B6DB90F860}">
      <formula1>"0%, 10%, 20%, 40%"</formula1>
    </dataValidation>
    <dataValidation type="list" allowBlank="1" showInputMessage="1" showErrorMessage="1" sqref="G26" xr:uid="{2433BDB2-8F48-4EA1-8439-FA4203297A89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9045-503B-4C3C-8847-4664B1E7E257}">
  <sheetPr>
    <tabColor theme="9"/>
  </sheetPr>
  <dimension ref="B1:I148"/>
  <sheetViews>
    <sheetView showGridLines="0" topLeftCell="A97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335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2399.3200000000002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>
        <v>0.2</v>
      </c>
      <c r="H27" s="11">
        <f>TRUNC($G27*1518,2)</f>
        <v>303.60000000000002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2702.92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225.24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300.32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525.55999999999995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645.69000000000005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80.709999999999994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96.85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48.42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32.28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19.37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6.45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258.27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1188.04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232.24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1156.68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525.55999999999995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1188.04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1156.68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2870.2799999999997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470.89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367.59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103.3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103.3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103.3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36.799999999999997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610.9899999999999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515.32000000000005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137.41999999999999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206.13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652.74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652.74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652.74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Insumos!G122</f>
        <v>275.14999999999998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386.95333333333332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361.19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758.5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9730.11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160.54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739.48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486.5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2506.2100000000009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2702.92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2870.2799999999997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610.9899999999999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652.74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386.95333333333332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7223.8833333333323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2506.2100000000009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9730.0933333333342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9730.0933333333342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1789.2899999999997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193.4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99.13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208.18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380.55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2670.5499999999997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7059.5433333333349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D5AA0642-F602-4F8E-87AF-AA29CDBA6918}">
      <formula1>"0%, 30%"</formula1>
    </dataValidation>
    <dataValidation type="list" allowBlank="1" showInputMessage="1" showErrorMessage="1" sqref="G27" xr:uid="{960FB0E4-F276-43B5-82F6-A91C88ECBCB8}">
      <formula1>"0%, 10%, 20%, 40%"</formula1>
    </dataValidation>
    <dataValidation type="list" allowBlank="1" showInputMessage="1" showErrorMessage="1" sqref="E50" xr:uid="{815A948C-D63F-4E47-8C70-09E460B535E5}">
      <formula1>"1%, 2%, 3%"</formula1>
    </dataValidation>
    <dataValidation type="list" allowBlank="1" showInputMessage="1" showErrorMessage="1" sqref="G28:G29" xr:uid="{7D459070-E531-4D22-8533-76CB24EB4AE2}">
      <formula1>"0, 20%"</formula1>
    </dataValidation>
    <dataValidation type="list" allowBlank="1" showInputMessage="1" showErrorMessage="1" sqref="G30" xr:uid="{A92DB3D6-171E-4128-9FAA-AD03BD48BF2B}">
      <formula1>"0, 50%, 100%"</formula1>
    </dataValidation>
    <dataValidation type="whole" allowBlank="1" showInputMessage="1" showErrorMessage="1" errorTitle="Valor errado" error="Quantidade fixa de dias. Prencher com 30" sqref="G88" xr:uid="{2EE4CDB7-0295-457E-9BF2-9AAFD3FC61E7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8650B9F2-2E44-42AC-AE8E-C286197AEB57}">
      <formula1>"40%"</formula1>
    </dataValidation>
    <dataValidation type="custom" allowBlank="1" showInputMessage="1" showErrorMessage="1" sqref="G118" xr:uid="{01739FBE-7FBA-49C3-A32D-4E88501F5B61}">
      <formula1>1-(G119+G120+G121)</formula1>
    </dataValidation>
    <dataValidation type="list" allowBlank="1" showInputMessage="1" showErrorMessage="1" sqref="G81" xr:uid="{B288D459-2BA9-4B96-BEF1-904B88801D74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FE28-6076-4091-844C-A47C19020DD7}">
  <sheetPr>
    <tabColor theme="9"/>
  </sheetPr>
  <dimension ref="B1:I148"/>
  <sheetViews>
    <sheetView showGridLines="0" topLeftCell="A90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336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4465.8999999999996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/>
      <c r="H27" s="11">
        <f>TRUNC(H$25*$G27,2)</f>
        <v>0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4465.8999999999996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372.15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496.21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868.3599999999999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1066.8499999999999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133.35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160.02000000000001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80.010000000000005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53.34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32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10.66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426.74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1962.9699999999998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108.24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1032.68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868.3599999999999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1962.9699999999998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1032.68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3864.01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727.81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557.12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170.69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170.69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170.69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60.81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959.31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774.1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206.42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309.64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980.52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980.52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980.52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111.80333333333334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519.07000000000005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1090.06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13983.29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230.72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1062.73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699.16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3601.7400000000016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4465.8999999999996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3864.01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959.31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980.52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111.80333333333334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10381.543333333333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3601.7400000000016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13983.283333333335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13983.283333333335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2808.1899999999996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319.55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156.38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328.41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600.33000000000004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4212.8599999999997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9770.4233333333359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81" xr:uid="{532EDC59-8509-43DC-A994-8AC832A6FBD2}">
      <formula1>"3,6,9,12,15"</formula1>
    </dataValidation>
    <dataValidation type="custom" allowBlank="1" showInputMessage="1" showErrorMessage="1" sqref="G118" xr:uid="{A304826D-C051-493B-B40D-718E538B61ED}">
      <formula1>1-(G119+G120+G121)</formula1>
    </dataValidation>
    <dataValidation type="list" operator="equal" allowBlank="1" showInputMessage="1" showErrorMessage="1" errorTitle="Valor errado" error="Percentual fixo. Preencher com 40%." sqref="F78 F80" xr:uid="{64F4FB11-2F00-4627-96AD-E0C44734F657}">
      <formula1>"40%"</formula1>
    </dataValidation>
    <dataValidation type="whole" allowBlank="1" showInputMessage="1" showErrorMessage="1" errorTitle="Valor errado" error="Quantidade fixa de dias. Prencher com 30" sqref="G88" xr:uid="{500BBB60-E814-4C79-A78F-28911D321316}">
      <formula1>30</formula1>
      <formula2>30</formula2>
    </dataValidation>
    <dataValidation type="list" allowBlank="1" showInputMessage="1" showErrorMessage="1" sqref="G30" xr:uid="{044D3061-74E0-4CCD-BA91-73B728B0AAA3}">
      <formula1>"0, 50%, 100%"</formula1>
    </dataValidation>
    <dataValidation type="list" allowBlank="1" showInputMessage="1" showErrorMessage="1" sqref="G28:G29" xr:uid="{EAAB4E1F-0A24-4B5D-BC75-11B382D1E206}">
      <formula1>"0, 20%"</formula1>
    </dataValidation>
    <dataValidation type="list" allowBlank="1" showInputMessage="1" showErrorMessage="1" sqref="E50" xr:uid="{3A52EE72-0355-4E04-BBEE-990805F53BA6}">
      <formula1>"1%, 2%, 3%"</formula1>
    </dataValidation>
    <dataValidation type="list" allowBlank="1" showInputMessage="1" showErrorMessage="1" sqref="G27" xr:uid="{A694BAE3-D34B-43E1-843C-251D5C71AF09}">
      <formula1>"0%, 10%, 20%, 40%"</formula1>
    </dataValidation>
    <dataValidation type="list" allowBlank="1" showInputMessage="1" showErrorMessage="1" sqref="G26" xr:uid="{F52DA21D-D0C9-4657-B1F8-4951705FBDB1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D889-F8D1-493A-B5F9-8DB0BDF9D95E}">
  <sheetPr>
    <tabColor theme="9"/>
  </sheetPr>
  <dimension ref="B1:I148"/>
  <sheetViews>
    <sheetView showGridLines="0" topLeftCell="A86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227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4197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/>
      <c r="H27" s="11">
        <f>TRUNC(H$25*$G27,2)</f>
        <v>0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4197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349.75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466.33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816.07999999999993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1002.61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125.32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150.38999999999999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75.19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50.13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30.07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10.02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401.04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1844.7700000000002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124.38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1048.8200000000002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816.07999999999993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1844.7700000000002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1048.8200000000002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3709.6700000000005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688.62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528.21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160.41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160.41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160.41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57.14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906.17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734.4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195.84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293.76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930.24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930.24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930.24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Insumos!G43</f>
        <v>712.43249999999989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824.23583333333318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528.36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1109.56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14233.51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234.85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1081.74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711.67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3666.1799999999985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4197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3709.6700000000005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906.17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930.24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824.23583333333318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10567.315833333334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3666.1799999999985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14233.495833333332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14233.495833333332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2652.49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300.31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147.63999999999999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310.04000000000002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566.75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3977.2299999999996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10256.265833333333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81" xr:uid="{AF456B95-250E-4F1B-B8B0-552FDB76772A}">
      <formula1>"3,6,9,12,15"</formula1>
    </dataValidation>
    <dataValidation type="custom" allowBlank="1" showInputMessage="1" showErrorMessage="1" sqref="G118" xr:uid="{9FF29944-07E1-46E9-8577-47AB2E5C43E1}">
      <formula1>1-(G119+G120+G121)</formula1>
    </dataValidation>
    <dataValidation type="list" operator="equal" allowBlank="1" showInputMessage="1" showErrorMessage="1" errorTitle="Valor errado" error="Percentual fixo. Preencher com 40%." sqref="F78 F80" xr:uid="{731177A8-011F-4E05-8663-C7071FB90B13}">
      <formula1>"40%"</formula1>
    </dataValidation>
    <dataValidation type="whole" allowBlank="1" showInputMessage="1" showErrorMessage="1" errorTitle="Valor errado" error="Quantidade fixa de dias. Prencher com 30" sqref="G88" xr:uid="{5423D22B-5569-4369-B10A-FC277B568AF2}">
      <formula1>30</formula1>
      <formula2>30</formula2>
    </dataValidation>
    <dataValidation type="list" allowBlank="1" showInputMessage="1" showErrorMessage="1" sqref="G30" xr:uid="{01EF323F-F010-440B-BF6E-626550B56C3F}">
      <formula1>"0, 50%, 100%"</formula1>
    </dataValidation>
    <dataValidation type="list" allowBlank="1" showInputMessage="1" showErrorMessage="1" sqref="G28:G29" xr:uid="{F900B1F1-DD0A-4F6B-871A-B6E857CFB305}">
      <formula1>"0, 20%"</formula1>
    </dataValidation>
    <dataValidation type="list" allowBlank="1" showInputMessage="1" showErrorMessage="1" sqref="E50" xr:uid="{E88EA06E-3406-4D70-BE14-64CD3A85B0E0}">
      <formula1>"1%, 2%, 3%"</formula1>
    </dataValidation>
    <dataValidation type="list" allowBlank="1" showInputMessage="1" showErrorMessage="1" sqref="G27" xr:uid="{545091B4-3694-45AD-9470-6996D61BEA4B}">
      <formula1>"0%, 10%, 20%, 40%"</formula1>
    </dataValidation>
    <dataValidation type="list" allowBlank="1" showInputMessage="1" showErrorMessage="1" sqref="G26" xr:uid="{3FD53879-D007-4474-90B0-CCDB885BA5B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A298-5D18-4B0D-895F-0F559D3C7792}">
  <sheetPr>
    <tabColor theme="9"/>
  </sheetPr>
  <dimension ref="B1:I148"/>
  <sheetViews>
    <sheetView showGridLines="0" tabSelected="1" topLeftCell="A91" zoomScaleNormal="100" workbookViewId="0">
      <selection activeCell="G120" sqref="G120"/>
    </sheetView>
  </sheetViews>
  <sheetFormatPr defaultColWidth="9.140625" defaultRowHeight="12.75" x14ac:dyDescent="0.2"/>
  <cols>
    <col min="1" max="1" width="3.5703125" style="49" customWidth="1"/>
    <col min="2" max="2" width="8.28515625" style="49" customWidth="1"/>
    <col min="3" max="3" width="39.140625" style="49" customWidth="1"/>
    <col min="4" max="4" width="29.140625" style="49" customWidth="1"/>
    <col min="5" max="6" width="8.140625" style="49" customWidth="1"/>
    <col min="7" max="7" width="9.140625" style="49" customWidth="1"/>
    <col min="8" max="9" width="15.28515625" style="49" customWidth="1"/>
    <col min="10" max="16384" width="9.140625" style="49"/>
  </cols>
  <sheetData>
    <row r="1" spans="2:9" x14ac:dyDescent="0.2">
      <c r="C1" s="100"/>
      <c r="D1" s="7"/>
      <c r="E1" s="7"/>
      <c r="F1" s="7"/>
      <c r="G1" s="7"/>
      <c r="H1" s="7"/>
      <c r="I1" s="7"/>
    </row>
    <row r="2" spans="2:9" x14ac:dyDescent="0.2">
      <c r="B2" s="286" t="s">
        <v>50</v>
      </c>
      <c r="C2" s="286"/>
      <c r="D2" s="286"/>
      <c r="E2" s="286"/>
      <c r="F2" s="286"/>
      <c r="G2" s="286"/>
      <c r="H2" s="286"/>
      <c r="I2" s="86"/>
    </row>
    <row r="3" spans="2:9" x14ac:dyDescent="0.2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">
      <c r="B4" s="51"/>
      <c r="C4" s="51"/>
      <c r="D4" s="51"/>
      <c r="E4" s="51"/>
      <c r="F4" s="51"/>
      <c r="G4" s="51"/>
      <c r="H4" s="51"/>
      <c r="I4" s="51"/>
    </row>
    <row r="5" spans="2:9" x14ac:dyDescent="0.2">
      <c r="B5" s="51"/>
      <c r="C5" s="51"/>
      <c r="D5" s="51"/>
      <c r="E5" s="51"/>
      <c r="F5" s="51"/>
      <c r="G5" s="51"/>
      <c r="H5" s="51"/>
      <c r="I5" s="51"/>
    </row>
    <row r="6" spans="2:9" x14ac:dyDescent="0.2">
      <c r="B6" s="125" t="s">
        <v>121</v>
      </c>
      <c r="C6" s="125"/>
      <c r="D6" s="288" t="s">
        <v>196</v>
      </c>
      <c r="E6" s="289"/>
      <c r="F6" s="290"/>
      <c r="I6" s="8"/>
    </row>
    <row r="7" spans="2:9" x14ac:dyDescent="0.2">
      <c r="B7" s="51"/>
      <c r="C7" s="51"/>
      <c r="D7" s="51"/>
      <c r="E7" s="51"/>
      <c r="F7" s="51"/>
      <c r="G7" s="51"/>
      <c r="H7" s="51"/>
      <c r="I7" s="7"/>
    </row>
    <row r="8" spans="2:9" x14ac:dyDescent="0.2">
      <c r="B8" s="291" t="s">
        <v>51</v>
      </c>
      <c r="C8" s="291"/>
      <c r="D8" s="291"/>
      <c r="E8" s="291"/>
      <c r="F8" s="291"/>
      <c r="G8" s="126"/>
      <c r="H8" s="126"/>
      <c r="I8" s="50"/>
    </row>
    <row r="9" spans="2:9" x14ac:dyDescent="0.2">
      <c r="B9" s="287">
        <v>1</v>
      </c>
      <c r="C9" s="292" t="s">
        <v>52</v>
      </c>
      <c r="D9" s="292"/>
      <c r="E9" s="292"/>
      <c r="F9" s="292"/>
      <c r="G9" s="126"/>
      <c r="H9" s="126"/>
      <c r="I9" s="50"/>
    </row>
    <row r="10" spans="2:9" x14ac:dyDescent="0.2">
      <c r="B10" s="287"/>
      <c r="C10" s="293"/>
      <c r="D10" s="293"/>
      <c r="E10" s="293"/>
      <c r="F10" s="293"/>
      <c r="G10" s="126"/>
      <c r="H10" s="126"/>
      <c r="I10" s="50"/>
    </row>
    <row r="11" spans="2:9" x14ac:dyDescent="0.2">
      <c r="B11" s="287">
        <v>2</v>
      </c>
      <c r="C11" s="292" t="s">
        <v>55</v>
      </c>
      <c r="D11" s="292"/>
      <c r="E11" s="292"/>
      <c r="F11" s="292"/>
      <c r="G11" s="126"/>
      <c r="H11" s="126"/>
      <c r="I11" s="50"/>
    </row>
    <row r="12" spans="2:9" x14ac:dyDescent="0.2">
      <c r="B12" s="287"/>
      <c r="C12" s="293"/>
      <c r="D12" s="293"/>
      <c r="E12" s="293"/>
      <c r="F12" s="293"/>
      <c r="G12" s="126"/>
      <c r="H12" s="126"/>
      <c r="I12" s="50"/>
    </row>
    <row r="13" spans="2:9" x14ac:dyDescent="0.2">
      <c r="B13" s="287">
        <v>3</v>
      </c>
      <c r="C13" s="292" t="s">
        <v>56</v>
      </c>
      <c r="D13" s="292"/>
      <c r="E13" s="292"/>
      <c r="F13" s="292"/>
      <c r="G13" s="126"/>
      <c r="H13" s="126"/>
      <c r="I13" s="50"/>
    </row>
    <row r="14" spans="2:9" x14ac:dyDescent="0.2">
      <c r="B14" s="287"/>
      <c r="C14" s="294"/>
      <c r="D14" s="294"/>
      <c r="E14" s="294"/>
      <c r="F14" s="294"/>
      <c r="G14" s="126"/>
      <c r="H14" s="126"/>
      <c r="I14" s="50"/>
    </row>
    <row r="15" spans="2:9" x14ac:dyDescent="0.2">
      <c r="B15" s="287">
        <v>4</v>
      </c>
      <c r="C15" s="292" t="s">
        <v>57</v>
      </c>
      <c r="D15" s="292"/>
      <c r="E15" s="292"/>
      <c r="F15" s="292"/>
      <c r="G15" s="126"/>
      <c r="H15" s="126"/>
      <c r="I15" s="50"/>
    </row>
    <row r="16" spans="2:9" x14ac:dyDescent="0.2">
      <c r="B16" s="287"/>
      <c r="C16" s="293"/>
      <c r="D16" s="293"/>
      <c r="E16" s="293"/>
      <c r="F16" s="293"/>
      <c r="G16" s="126"/>
      <c r="H16" s="126"/>
      <c r="I16" s="50"/>
    </row>
    <row r="17" spans="2:9" x14ac:dyDescent="0.2">
      <c r="B17" s="287">
        <v>5</v>
      </c>
      <c r="C17" s="292" t="s">
        <v>58</v>
      </c>
      <c r="D17" s="292"/>
      <c r="E17" s="292"/>
      <c r="F17" s="292"/>
      <c r="G17" s="126"/>
      <c r="H17" s="126"/>
      <c r="I17" s="50"/>
    </row>
    <row r="18" spans="2:9" x14ac:dyDescent="0.2">
      <c r="B18" s="287"/>
      <c r="C18" s="293"/>
      <c r="D18" s="293"/>
      <c r="E18" s="293"/>
      <c r="F18" s="293"/>
      <c r="G18" s="126"/>
      <c r="H18" s="126"/>
      <c r="I18" s="50"/>
    </row>
    <row r="19" spans="2:9" x14ac:dyDescent="0.2">
      <c r="B19" s="287">
        <v>6</v>
      </c>
      <c r="C19" s="292" t="s">
        <v>59</v>
      </c>
      <c r="D19" s="292"/>
      <c r="E19" s="292"/>
      <c r="F19" s="292"/>
      <c r="G19" s="126"/>
      <c r="H19" s="126"/>
      <c r="I19" s="50"/>
    </row>
    <row r="20" spans="2:9" x14ac:dyDescent="0.2">
      <c r="B20" s="287"/>
      <c r="C20" s="293"/>
      <c r="D20" s="293"/>
      <c r="E20" s="293"/>
      <c r="F20" s="293"/>
      <c r="G20" s="126"/>
      <c r="H20" s="126"/>
      <c r="I20" s="50"/>
    </row>
    <row r="21" spans="2:9" x14ac:dyDescent="0.2">
      <c r="B21" s="52"/>
      <c r="C21" s="52"/>
      <c r="D21" s="52"/>
      <c r="E21" s="52"/>
      <c r="F21" s="52"/>
      <c r="G21" s="53"/>
      <c r="H21" s="53"/>
      <c r="I21" s="50"/>
    </row>
    <row r="22" spans="2:9" x14ac:dyDescent="0.2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">
      <c r="B23" s="248" t="s">
        <v>66</v>
      </c>
      <c r="C23" s="249"/>
      <c r="D23" s="249"/>
      <c r="E23" s="249"/>
      <c r="F23" s="249"/>
      <c r="G23" s="129"/>
      <c r="H23" s="130"/>
      <c r="I23" s="87"/>
    </row>
    <row r="24" spans="2:9" x14ac:dyDescent="0.2">
      <c r="B24" s="82">
        <v>1</v>
      </c>
      <c r="C24" s="245" t="s">
        <v>60</v>
      </c>
      <c r="D24" s="246"/>
      <c r="E24" s="246"/>
      <c r="F24" s="247"/>
      <c r="G24" s="128" t="s">
        <v>1</v>
      </c>
      <c r="H24" s="128" t="s">
        <v>49</v>
      </c>
      <c r="I24" s="87"/>
    </row>
    <row r="25" spans="2:9" ht="12.75" customHeight="1" x14ac:dyDescent="0.2">
      <c r="B25" s="9" t="s">
        <v>4</v>
      </c>
      <c r="C25" s="80" t="s">
        <v>17</v>
      </c>
      <c r="D25" s="242"/>
      <c r="E25" s="243"/>
      <c r="F25" s="244"/>
      <c r="G25" s="10"/>
      <c r="H25" s="27">
        <v>4279.54</v>
      </c>
      <c r="I25" s="93"/>
    </row>
    <row r="26" spans="2:9" x14ac:dyDescent="0.2">
      <c r="B26" s="9" t="s">
        <v>5</v>
      </c>
      <c r="C26" s="80" t="s">
        <v>24</v>
      </c>
      <c r="D26" s="242" t="s">
        <v>122</v>
      </c>
      <c r="E26" s="243"/>
      <c r="F26" s="244"/>
      <c r="G26" s="28"/>
      <c r="H26" s="11">
        <f>TRUNC(H$25*$G26,2)</f>
        <v>0</v>
      </c>
      <c r="I26" s="89"/>
    </row>
    <row r="27" spans="2:9" x14ac:dyDescent="0.2">
      <c r="B27" s="9" t="s">
        <v>6</v>
      </c>
      <c r="C27" s="81" t="s">
        <v>25</v>
      </c>
      <c r="D27" s="242" t="s">
        <v>165</v>
      </c>
      <c r="E27" s="243"/>
      <c r="F27" s="244"/>
      <c r="G27" s="28"/>
      <c r="H27" s="11">
        <f>TRUNC(H$25*$G27,2)</f>
        <v>0</v>
      </c>
      <c r="I27" s="89"/>
    </row>
    <row r="28" spans="2:9" x14ac:dyDescent="0.2">
      <c r="B28" s="9" t="s">
        <v>7</v>
      </c>
      <c r="C28" s="81" t="s">
        <v>0</v>
      </c>
      <c r="D28" s="242" t="s">
        <v>172</v>
      </c>
      <c r="E28" s="243"/>
      <c r="F28" s="244"/>
      <c r="G28" s="29"/>
      <c r="H28" s="58">
        <f>TRUNC(((H$25+H26)*$G28)/220*8*15,2)</f>
        <v>0</v>
      </c>
      <c r="I28" s="90"/>
    </row>
    <row r="29" spans="2:9" x14ac:dyDescent="0.2">
      <c r="B29" s="110" t="s">
        <v>8</v>
      </c>
      <c r="C29" s="111" t="s">
        <v>26</v>
      </c>
      <c r="D29" s="283" t="s">
        <v>172</v>
      </c>
      <c r="E29" s="284"/>
      <c r="F29" s="285"/>
      <c r="G29" s="112"/>
      <c r="H29" s="113">
        <f>TRUNC(((H25+H26)*$G29)/220*1*15,2)</f>
        <v>0</v>
      </c>
      <c r="I29" s="114" t="s">
        <v>177</v>
      </c>
    </row>
    <row r="30" spans="2:9" x14ac:dyDescent="0.2">
      <c r="B30" s="115" t="s">
        <v>9</v>
      </c>
      <c r="C30" s="111" t="s">
        <v>107</v>
      </c>
      <c r="D30" s="283" t="s">
        <v>173</v>
      </c>
      <c r="E30" s="284"/>
      <c r="F30" s="285"/>
      <c r="G30" s="116"/>
      <c r="H30" s="113">
        <f>TRUNC($G$34*H34*(1+$G$30),2)</f>
        <v>0</v>
      </c>
      <c r="I30" s="114" t="s">
        <v>177</v>
      </c>
    </row>
    <row r="31" spans="2:9" x14ac:dyDescent="0.2">
      <c r="B31" s="9" t="s">
        <v>10</v>
      </c>
      <c r="C31" s="81" t="s">
        <v>2</v>
      </c>
      <c r="D31" s="242"/>
      <c r="E31" s="243"/>
      <c r="F31" s="244"/>
      <c r="G31" s="29"/>
      <c r="H31" s="42"/>
      <c r="I31" s="91"/>
    </row>
    <row r="32" spans="2:9" x14ac:dyDescent="0.2">
      <c r="B32" s="9" t="s">
        <v>123</v>
      </c>
      <c r="C32" s="245" t="s">
        <v>61</v>
      </c>
      <c r="D32" s="246"/>
      <c r="E32" s="246"/>
      <c r="F32" s="247"/>
      <c r="G32" s="23"/>
      <c r="H32" s="12">
        <f>SUM(H25:H31)</f>
        <v>4279.54</v>
      </c>
      <c r="I32" s="13"/>
    </row>
    <row r="33" spans="2:9" ht="22.5" x14ac:dyDescent="0.2">
      <c r="B33" s="86"/>
      <c r="C33" s="282" t="s">
        <v>117</v>
      </c>
      <c r="D33" s="282"/>
      <c r="E33" s="282"/>
      <c r="F33" s="282"/>
      <c r="G33" s="45" t="s">
        <v>108</v>
      </c>
      <c r="H33" s="44" t="s">
        <v>118</v>
      </c>
      <c r="I33" s="3"/>
    </row>
    <row r="34" spans="2:9" x14ac:dyDescent="0.2">
      <c r="B34" s="86"/>
      <c r="C34" s="282"/>
      <c r="D34" s="282"/>
      <c r="E34" s="282"/>
      <c r="F34" s="282"/>
      <c r="G34" s="43"/>
      <c r="H34" s="30">
        <f>IF($G$34="",0,TRUNC((H25+H26+H27)/220,2))</f>
        <v>0</v>
      </c>
      <c r="I34" s="92"/>
    </row>
    <row r="35" spans="2:9" x14ac:dyDescent="0.2">
      <c r="B35" s="86"/>
      <c r="C35" s="86"/>
      <c r="D35" s="86"/>
      <c r="E35" s="86"/>
      <c r="F35" s="86"/>
      <c r="G35" s="86"/>
      <c r="H35" s="59"/>
      <c r="I35" s="13"/>
    </row>
    <row r="36" spans="2:9" x14ac:dyDescent="0.2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29"/>
      <c r="H37" s="130"/>
      <c r="I37" s="87"/>
    </row>
    <row r="38" spans="2:9" x14ac:dyDescent="0.2">
      <c r="B38" s="269"/>
      <c r="C38" s="270"/>
      <c r="D38" s="270"/>
      <c r="E38" s="270"/>
      <c r="F38" s="270"/>
      <c r="G38" s="48"/>
      <c r="H38" s="48"/>
      <c r="I38" s="87"/>
    </row>
    <row r="39" spans="2:9" x14ac:dyDescent="0.2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">
      <c r="B40" s="128" t="s">
        <v>38</v>
      </c>
      <c r="C40" s="276" t="s">
        <v>27</v>
      </c>
      <c r="D40" s="277"/>
      <c r="E40" s="277"/>
      <c r="F40" s="278"/>
      <c r="G40" s="82" t="s">
        <v>1</v>
      </c>
      <c r="H40" s="82" t="s">
        <v>49</v>
      </c>
      <c r="I40" s="87"/>
    </row>
    <row r="41" spans="2:9" x14ac:dyDescent="0.2">
      <c r="B41" s="9" t="s">
        <v>4</v>
      </c>
      <c r="C41" s="80" t="s">
        <v>110</v>
      </c>
      <c r="D41" s="242" t="s">
        <v>124</v>
      </c>
      <c r="E41" s="243"/>
      <c r="F41" s="244"/>
      <c r="G41" s="134">
        <f>1/12</f>
        <v>8.3333333333333329E-2</v>
      </c>
      <c r="H41" s="135">
        <f>TRUNC((H$32*$G41),2)</f>
        <v>356.62</v>
      </c>
      <c r="I41" s="93"/>
    </row>
    <row r="42" spans="2:9" x14ac:dyDescent="0.2">
      <c r="B42" s="9" t="s">
        <v>5</v>
      </c>
      <c r="C42" s="80" t="s">
        <v>65</v>
      </c>
      <c r="D42" s="242" t="s">
        <v>126</v>
      </c>
      <c r="E42" s="243"/>
      <c r="F42" s="244"/>
      <c r="G42" s="14">
        <f>(1/12)+(1/3/12)</f>
        <v>0.1111111111111111</v>
      </c>
      <c r="H42" s="15">
        <f>TRUNC((H$32*$G42),2)</f>
        <v>475.5</v>
      </c>
      <c r="I42" s="93"/>
    </row>
    <row r="43" spans="2:9" x14ac:dyDescent="0.2">
      <c r="B43" s="9" t="s">
        <v>125</v>
      </c>
      <c r="C43" s="245" t="s">
        <v>61</v>
      </c>
      <c r="D43" s="246"/>
      <c r="E43" s="246"/>
      <c r="F43" s="247"/>
      <c r="G43" s="16">
        <f>TRUNC(SUM(G41:G42),4)</f>
        <v>0.19439999999999999</v>
      </c>
      <c r="H43" s="12">
        <f>SUM(H41:H42)</f>
        <v>832.12</v>
      </c>
      <c r="I43" s="13"/>
    </row>
    <row r="44" spans="2:9" x14ac:dyDescent="0.2">
      <c r="B44" s="257"/>
      <c r="C44" s="256"/>
      <c r="D44" s="256"/>
      <c r="E44" s="256"/>
      <c r="F44" s="256"/>
      <c r="G44" s="256"/>
      <c r="H44" s="258"/>
      <c r="I44" s="86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2"/>
      <c r="H45" s="133"/>
      <c r="I45" s="94"/>
    </row>
    <row r="46" spans="2:9" x14ac:dyDescent="0.2">
      <c r="B46" s="82" t="s">
        <v>39</v>
      </c>
      <c r="C46" s="245" t="s">
        <v>69</v>
      </c>
      <c r="D46" s="246"/>
      <c r="E46" s="246"/>
      <c r="F46" s="247"/>
      <c r="G46" s="82" t="s">
        <v>1</v>
      </c>
      <c r="H46" s="82" t="s">
        <v>49</v>
      </c>
      <c r="I46" s="87"/>
    </row>
    <row r="47" spans="2:9" x14ac:dyDescent="0.2">
      <c r="B47" s="9" t="s">
        <v>4</v>
      </c>
      <c r="C47" s="80" t="s">
        <v>30</v>
      </c>
      <c r="D47" s="242" t="s">
        <v>127</v>
      </c>
      <c r="E47" s="243"/>
      <c r="F47" s="244"/>
      <c r="G47" s="14">
        <v>0.2</v>
      </c>
      <c r="H47" s="15">
        <f>TRUNC((H$32+H$43)*$G47,2)</f>
        <v>1022.33</v>
      </c>
      <c r="I47" s="93"/>
    </row>
    <row r="48" spans="2:9" x14ac:dyDescent="0.2">
      <c r="B48" s="9" t="s">
        <v>5</v>
      </c>
      <c r="C48" s="68" t="s">
        <v>31</v>
      </c>
      <c r="D48" s="242" t="s">
        <v>128</v>
      </c>
      <c r="E48" s="243"/>
      <c r="F48" s="244"/>
      <c r="G48" s="14">
        <v>2.5000000000000001E-2</v>
      </c>
      <c r="H48" s="15">
        <f>TRUNC((H$32+H$43)*$G48,2)</f>
        <v>127.79</v>
      </c>
      <c r="I48" s="93"/>
    </row>
    <row r="49" spans="2:9" x14ac:dyDescent="0.2">
      <c r="B49" s="271" t="s">
        <v>6</v>
      </c>
      <c r="C49" s="273" t="s">
        <v>100</v>
      </c>
      <c r="D49" s="275" t="s">
        <v>134</v>
      </c>
      <c r="E49" s="4" t="s">
        <v>101</v>
      </c>
      <c r="F49" s="4" t="s">
        <v>99</v>
      </c>
      <c r="G49" s="279">
        <f>E50*F50</f>
        <v>0.03</v>
      </c>
      <c r="H49" s="281">
        <f>TRUNC((H$32+H$43)*$G49,2)</f>
        <v>153.34</v>
      </c>
      <c r="I49" s="96"/>
    </row>
    <row r="50" spans="2:9" x14ac:dyDescent="0.2">
      <c r="B50" s="272"/>
      <c r="C50" s="274"/>
      <c r="D50" s="275"/>
      <c r="E50" s="31">
        <v>0.03</v>
      </c>
      <c r="F50" s="32">
        <v>1</v>
      </c>
      <c r="G50" s="280"/>
      <c r="H50" s="281"/>
      <c r="I50" s="96"/>
    </row>
    <row r="51" spans="2:9" x14ac:dyDescent="0.2">
      <c r="B51" s="9" t="s">
        <v>7</v>
      </c>
      <c r="C51" s="80" t="s">
        <v>29</v>
      </c>
      <c r="D51" s="242" t="s">
        <v>129</v>
      </c>
      <c r="E51" s="243"/>
      <c r="F51" s="244"/>
      <c r="G51" s="14">
        <v>1.4999999999999999E-2</v>
      </c>
      <c r="H51" s="15">
        <f>TRUNC((H$32+H$43)*$G51,2)</f>
        <v>76.67</v>
      </c>
      <c r="I51" s="93"/>
    </row>
    <row r="52" spans="2:9" x14ac:dyDescent="0.2">
      <c r="B52" s="9" t="s">
        <v>8</v>
      </c>
      <c r="C52" s="80" t="s">
        <v>32</v>
      </c>
      <c r="D52" s="242" t="s">
        <v>130</v>
      </c>
      <c r="E52" s="243"/>
      <c r="F52" s="244"/>
      <c r="G52" s="14">
        <v>0.01</v>
      </c>
      <c r="H52" s="15">
        <f>TRUNC((H$32+H$43)*$G52,2)</f>
        <v>51.11</v>
      </c>
      <c r="I52" s="93"/>
    </row>
    <row r="53" spans="2:9" x14ac:dyDescent="0.2">
      <c r="B53" s="9" t="s">
        <v>9</v>
      </c>
      <c r="C53" s="80" t="s">
        <v>33</v>
      </c>
      <c r="D53" s="242" t="s">
        <v>131</v>
      </c>
      <c r="E53" s="243"/>
      <c r="F53" s="244"/>
      <c r="G53" s="14">
        <v>6.0000000000000001E-3</v>
      </c>
      <c r="H53" s="15">
        <f>TRUNC((H$32+H$43)*$G53,2)</f>
        <v>30.66</v>
      </c>
      <c r="I53" s="93"/>
    </row>
    <row r="54" spans="2:9" x14ac:dyDescent="0.2">
      <c r="B54" s="9" t="s">
        <v>10</v>
      </c>
      <c r="C54" s="80" t="s">
        <v>34</v>
      </c>
      <c r="D54" s="242" t="s">
        <v>132</v>
      </c>
      <c r="E54" s="243"/>
      <c r="F54" s="244"/>
      <c r="G54" s="14">
        <v>2E-3</v>
      </c>
      <c r="H54" s="15">
        <f>TRUNC((H$32+H$43)*$G54,2)</f>
        <v>10.220000000000001</v>
      </c>
      <c r="I54" s="93"/>
    </row>
    <row r="55" spans="2:9" x14ac:dyDescent="0.2">
      <c r="B55" s="9" t="s">
        <v>11</v>
      </c>
      <c r="C55" s="80" t="s">
        <v>35</v>
      </c>
      <c r="D55" s="242" t="s">
        <v>133</v>
      </c>
      <c r="E55" s="243"/>
      <c r="F55" s="244"/>
      <c r="G55" s="14">
        <v>0.08</v>
      </c>
      <c r="H55" s="15">
        <f>TRUNC((H$32+H$43)*$G55,2)</f>
        <v>408.93</v>
      </c>
      <c r="I55" s="93"/>
    </row>
    <row r="56" spans="2:9" x14ac:dyDescent="0.2">
      <c r="B56" s="9" t="s">
        <v>135</v>
      </c>
      <c r="C56" s="245" t="s">
        <v>61</v>
      </c>
      <c r="D56" s="246"/>
      <c r="E56" s="246"/>
      <c r="F56" s="247"/>
      <c r="G56" s="17">
        <f>SUM(G47:G55)</f>
        <v>0.36800000000000005</v>
      </c>
      <c r="H56" s="12">
        <f>SUM(H47:H55)</f>
        <v>1881.0500000000002</v>
      </c>
      <c r="I56" s="13"/>
    </row>
    <row r="57" spans="2:9" x14ac:dyDescent="0.2">
      <c r="B57" s="266"/>
      <c r="C57" s="267"/>
      <c r="D57" s="267"/>
      <c r="E57" s="267"/>
      <c r="F57" s="267"/>
      <c r="G57" s="267"/>
      <c r="H57" s="268"/>
      <c r="I57" s="105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2"/>
      <c r="H58" s="133"/>
      <c r="I58" s="105"/>
    </row>
    <row r="59" spans="2:9" x14ac:dyDescent="0.2">
      <c r="B59" s="82" t="s">
        <v>40</v>
      </c>
      <c r="C59" s="245" t="s">
        <v>41</v>
      </c>
      <c r="D59" s="246"/>
      <c r="E59" s="246"/>
      <c r="F59" s="246"/>
      <c r="G59" s="69"/>
      <c r="H59" s="82" t="s">
        <v>49</v>
      </c>
      <c r="I59" s="87"/>
    </row>
    <row r="60" spans="2:9" ht="12.75" customHeight="1" x14ac:dyDescent="0.2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119.42</v>
      </c>
      <c r="I60" s="106"/>
    </row>
    <row r="61" spans="2:9" ht="12.75" customHeight="1" x14ac:dyDescent="0.2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">
      <c r="B64" s="9" t="s">
        <v>136</v>
      </c>
      <c r="C64" s="245" t="s">
        <v>61</v>
      </c>
      <c r="D64" s="246"/>
      <c r="E64" s="246"/>
      <c r="F64" s="246"/>
      <c r="G64" s="69"/>
      <c r="H64" s="12">
        <f>SUM(H60:H63)</f>
        <v>1043.8600000000001</v>
      </c>
      <c r="I64" s="13"/>
    </row>
    <row r="65" spans="2:9" x14ac:dyDescent="0.2">
      <c r="B65" s="257"/>
      <c r="C65" s="256"/>
      <c r="D65" s="256"/>
      <c r="E65" s="256"/>
      <c r="F65" s="256"/>
      <c r="G65" s="256"/>
      <c r="H65" s="258"/>
      <c r="I65" s="86"/>
    </row>
    <row r="66" spans="2:9" x14ac:dyDescent="0.2">
      <c r="B66" s="254" t="s">
        <v>71</v>
      </c>
      <c r="C66" s="255"/>
      <c r="D66" s="255"/>
      <c r="E66" s="255"/>
      <c r="F66" s="255"/>
      <c r="G66" s="136"/>
      <c r="H66" s="136"/>
      <c r="I66" s="86"/>
    </row>
    <row r="67" spans="2:9" x14ac:dyDescent="0.2">
      <c r="B67" s="82">
        <v>2</v>
      </c>
      <c r="C67" s="245" t="s">
        <v>70</v>
      </c>
      <c r="D67" s="246"/>
      <c r="E67" s="246"/>
      <c r="F67" s="246"/>
      <c r="G67" s="69"/>
      <c r="H67" s="82" t="s">
        <v>49</v>
      </c>
      <c r="I67" s="87"/>
    </row>
    <row r="68" spans="2:9" x14ac:dyDescent="0.2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832.12</v>
      </c>
      <c r="I68" s="93"/>
    </row>
    <row r="69" spans="2:9" x14ac:dyDescent="0.2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1881.0500000000002</v>
      </c>
      <c r="I69" s="93"/>
    </row>
    <row r="70" spans="2:9" x14ac:dyDescent="0.2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1043.8600000000001</v>
      </c>
      <c r="I70" s="93"/>
    </row>
    <row r="71" spans="2:9" x14ac:dyDescent="0.2">
      <c r="B71" s="9" t="s">
        <v>137</v>
      </c>
      <c r="C71" s="245" t="s">
        <v>61</v>
      </c>
      <c r="D71" s="246"/>
      <c r="E71" s="246"/>
      <c r="F71" s="246"/>
      <c r="G71" s="69"/>
      <c r="H71" s="12">
        <f>SUM(H68:H70)</f>
        <v>3757.03</v>
      </c>
      <c r="I71" s="13"/>
    </row>
    <row r="72" spans="2:9" x14ac:dyDescent="0.2">
      <c r="B72" s="256"/>
      <c r="C72" s="256"/>
      <c r="D72" s="256"/>
      <c r="E72" s="256"/>
      <c r="F72" s="256"/>
      <c r="G72" s="256"/>
      <c r="H72" s="256"/>
      <c r="I72" s="87"/>
    </row>
    <row r="73" spans="2:9" x14ac:dyDescent="0.2">
      <c r="B73" s="86"/>
      <c r="C73" s="86"/>
      <c r="D73" s="86"/>
      <c r="E73" s="86"/>
      <c r="F73" s="86"/>
      <c r="G73" s="86"/>
      <c r="H73" s="86"/>
      <c r="I73" s="87"/>
    </row>
    <row r="74" spans="2:9" x14ac:dyDescent="0.2">
      <c r="B74" s="248" t="s">
        <v>72</v>
      </c>
      <c r="C74" s="249"/>
      <c r="D74" s="249"/>
      <c r="E74" s="249"/>
      <c r="F74" s="253"/>
      <c r="G74" s="129"/>
      <c r="H74" s="130"/>
      <c r="I74" s="87"/>
    </row>
    <row r="75" spans="2:9" x14ac:dyDescent="0.2">
      <c r="B75" s="82">
        <v>3</v>
      </c>
      <c r="C75" s="245" t="s">
        <v>62</v>
      </c>
      <c r="D75" s="246"/>
      <c r="E75" s="246"/>
      <c r="F75" s="247"/>
      <c r="G75" s="82" t="s">
        <v>1</v>
      </c>
      <c r="H75" s="82" t="s">
        <v>49</v>
      </c>
      <c r="I75" s="87"/>
    </row>
    <row r="76" spans="2:9" x14ac:dyDescent="0.2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700.65</v>
      </c>
      <c r="I76" s="13"/>
    </row>
    <row r="77" spans="2:9" x14ac:dyDescent="0.2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537.08000000000004</v>
      </c>
      <c r="I77" s="93"/>
    </row>
    <row r="78" spans="2:9" x14ac:dyDescent="0.2">
      <c r="B78" s="9" t="s">
        <v>6</v>
      </c>
      <c r="C78" s="80" t="s">
        <v>96</v>
      </c>
      <c r="D78" s="242" t="s">
        <v>166</v>
      </c>
      <c r="E78" s="244"/>
      <c r="F78" s="36">
        <v>0.4</v>
      </c>
      <c r="G78" s="19"/>
      <c r="H78" s="15">
        <f>TRUNC(H$55*$F78,2)</f>
        <v>163.57</v>
      </c>
      <c r="I78" s="93"/>
    </row>
    <row r="79" spans="2:9" x14ac:dyDescent="0.2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163.57</v>
      </c>
      <c r="I79" s="95"/>
    </row>
    <row r="80" spans="2:9" x14ac:dyDescent="0.2">
      <c r="B80" s="9" t="s">
        <v>8</v>
      </c>
      <c r="C80" s="80" t="s">
        <v>98</v>
      </c>
      <c r="D80" s="242" t="s">
        <v>166</v>
      </c>
      <c r="E80" s="244"/>
      <c r="F80" s="36">
        <v>0.4</v>
      </c>
      <c r="G80" s="19"/>
      <c r="H80" s="15">
        <f>TRUNC(H$55*$F80,2)</f>
        <v>163.57</v>
      </c>
      <c r="I80" s="93"/>
    </row>
    <row r="81" spans="2:9" x14ac:dyDescent="0.2">
      <c r="B81" s="9" t="s">
        <v>9</v>
      </c>
      <c r="C81" s="71" t="s">
        <v>171</v>
      </c>
      <c r="D81" s="259" t="s">
        <v>192</v>
      </c>
      <c r="E81" s="260"/>
      <c r="F81" s="35">
        <v>12</v>
      </c>
      <c r="G81" s="35">
        <v>3</v>
      </c>
      <c r="H81" s="15">
        <f>TRUNC(((H$32+H$43+H$56)/30)*$G81/$F81,2)</f>
        <v>58.27</v>
      </c>
      <c r="I81" s="93"/>
    </row>
    <row r="82" spans="2:9" x14ac:dyDescent="0.2">
      <c r="B82" s="9" t="s">
        <v>141</v>
      </c>
      <c r="C82" s="245" t="s">
        <v>61</v>
      </c>
      <c r="D82" s="246"/>
      <c r="E82" s="246"/>
      <c r="F82" s="246"/>
      <c r="G82" s="69"/>
      <c r="H82" s="12">
        <f>H$76+H$79+H$81</f>
        <v>922.49</v>
      </c>
      <c r="I82" s="13"/>
    </row>
    <row r="83" spans="2:9" x14ac:dyDescent="0.2">
      <c r="B83" s="83"/>
      <c r="C83" s="83"/>
      <c r="D83" s="83"/>
      <c r="E83" s="83"/>
      <c r="F83" s="83"/>
      <c r="G83" s="83"/>
      <c r="H83" s="83"/>
      <c r="I83" s="83"/>
    </row>
    <row r="84" spans="2:9" x14ac:dyDescent="0.2">
      <c r="B84" s="86"/>
      <c r="C84" s="86"/>
      <c r="D84" s="86"/>
      <c r="E84" s="86"/>
      <c r="F84" s="86"/>
      <c r="G84" s="86"/>
      <c r="H84" s="86"/>
      <c r="I84" s="87"/>
    </row>
    <row r="85" spans="2:9" x14ac:dyDescent="0.2">
      <c r="B85" s="248" t="s">
        <v>73</v>
      </c>
      <c r="C85" s="249"/>
      <c r="D85" s="249"/>
      <c r="E85" s="249"/>
      <c r="F85" s="253"/>
      <c r="G85" s="129"/>
      <c r="H85" s="130"/>
      <c r="I85" s="87"/>
    </row>
    <row r="86" spans="2:9" x14ac:dyDescent="0.2">
      <c r="B86" s="261" t="s">
        <v>89</v>
      </c>
      <c r="C86" s="262"/>
      <c r="D86" s="262"/>
      <c r="E86" s="262"/>
      <c r="F86" s="262"/>
      <c r="G86" s="137"/>
      <c r="H86" s="138"/>
      <c r="I86" s="87"/>
    </row>
    <row r="87" spans="2:9" x14ac:dyDescent="0.2">
      <c r="B87" s="82" t="s">
        <v>14</v>
      </c>
      <c r="C87" s="245" t="s">
        <v>90</v>
      </c>
      <c r="D87" s="246"/>
      <c r="E87" s="246"/>
      <c r="F87" s="247"/>
      <c r="G87" s="82" t="s">
        <v>103</v>
      </c>
      <c r="H87" s="82" t="s">
        <v>49</v>
      </c>
      <c r="I87" s="87"/>
    </row>
    <row r="88" spans="2:9" x14ac:dyDescent="0.2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746.57</v>
      </c>
      <c r="I88" s="93"/>
    </row>
    <row r="89" spans="2:9" ht="22.5" x14ac:dyDescent="0.2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199.08</v>
      </c>
      <c r="I89" s="93"/>
    </row>
    <row r="90" spans="2:9" x14ac:dyDescent="0.2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298.63</v>
      </c>
      <c r="I90" s="93"/>
    </row>
    <row r="91" spans="2:9" x14ac:dyDescent="0.2">
      <c r="B91" s="9" t="s">
        <v>142</v>
      </c>
      <c r="C91" s="245" t="s">
        <v>61</v>
      </c>
      <c r="D91" s="246"/>
      <c r="E91" s="246"/>
      <c r="F91" s="246"/>
      <c r="G91" s="69"/>
      <c r="H91" s="12">
        <f>TRUNC(H$88+H$89,2)</f>
        <v>945.65</v>
      </c>
      <c r="I91" s="13"/>
    </row>
    <row r="92" spans="2:9" x14ac:dyDescent="0.2">
      <c r="B92" s="61"/>
      <c r="C92" s="62"/>
      <c r="D92" s="62"/>
      <c r="E92" s="62"/>
      <c r="F92" s="62"/>
      <c r="G92" s="62"/>
      <c r="H92" s="63"/>
      <c r="I92" s="20"/>
    </row>
    <row r="93" spans="2:9" x14ac:dyDescent="0.2">
      <c r="B93" s="254" t="s">
        <v>91</v>
      </c>
      <c r="C93" s="255"/>
      <c r="D93" s="255"/>
      <c r="E93" s="255"/>
      <c r="F93" s="255"/>
      <c r="G93" s="139"/>
      <c r="H93" s="140"/>
      <c r="I93" s="87"/>
    </row>
    <row r="94" spans="2:9" x14ac:dyDescent="0.2">
      <c r="B94" s="82" t="s">
        <v>15</v>
      </c>
      <c r="C94" s="245" t="s">
        <v>92</v>
      </c>
      <c r="D94" s="246"/>
      <c r="E94" s="246"/>
      <c r="F94" s="247"/>
      <c r="G94" s="82" t="s">
        <v>103</v>
      </c>
      <c r="H94" s="82" t="s">
        <v>49</v>
      </c>
      <c r="I94" s="87"/>
    </row>
    <row r="95" spans="2:9" ht="22.5" x14ac:dyDescent="0.2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">
      <c r="B96" s="9" t="s">
        <v>143</v>
      </c>
      <c r="C96" s="245" t="s">
        <v>61</v>
      </c>
      <c r="D96" s="246"/>
      <c r="E96" s="246"/>
      <c r="F96" s="246"/>
      <c r="G96" s="117"/>
      <c r="H96" s="12">
        <f>H95</f>
        <v>0</v>
      </c>
      <c r="I96" s="93"/>
    </row>
    <row r="97" spans="2:9" x14ac:dyDescent="0.2">
      <c r="B97" s="85"/>
      <c r="C97" s="84"/>
      <c r="D97" s="84"/>
      <c r="E97" s="84"/>
      <c r="F97" s="84"/>
      <c r="G97" s="86"/>
      <c r="H97" s="154"/>
      <c r="I97" s="109"/>
    </row>
    <row r="98" spans="2:9" x14ac:dyDescent="0.2">
      <c r="B98" s="254" t="s">
        <v>74</v>
      </c>
      <c r="C98" s="255"/>
      <c r="D98" s="255"/>
      <c r="E98" s="255"/>
      <c r="F98" s="255"/>
      <c r="G98" s="139"/>
      <c r="H98" s="140"/>
      <c r="I98" s="87"/>
    </row>
    <row r="99" spans="2:9" x14ac:dyDescent="0.2">
      <c r="B99" s="82">
        <v>4</v>
      </c>
      <c r="C99" s="245" t="s">
        <v>75</v>
      </c>
      <c r="D99" s="246"/>
      <c r="E99" s="246"/>
      <c r="F99" s="246"/>
      <c r="G99" s="247"/>
      <c r="H99" s="82" t="s">
        <v>49</v>
      </c>
      <c r="I99" s="87"/>
    </row>
    <row r="100" spans="2:9" x14ac:dyDescent="0.2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945.65</v>
      </c>
      <c r="I100" s="93"/>
    </row>
    <row r="101" spans="2:9" x14ac:dyDescent="0.2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">
      <c r="B102" s="9" t="s">
        <v>144</v>
      </c>
      <c r="C102" s="245" t="s">
        <v>61</v>
      </c>
      <c r="D102" s="246"/>
      <c r="E102" s="246"/>
      <c r="F102" s="246"/>
      <c r="G102" s="69"/>
      <c r="H102" s="12">
        <f>SUM(H100:H101)</f>
        <v>945.65</v>
      </c>
      <c r="I102" s="13"/>
    </row>
    <row r="103" spans="2:9" x14ac:dyDescent="0.2">
      <c r="B103" s="86"/>
      <c r="C103" s="86"/>
      <c r="D103" s="86"/>
      <c r="E103" s="86"/>
      <c r="F103" s="86"/>
      <c r="G103" s="86"/>
      <c r="H103" s="86"/>
      <c r="I103" s="87"/>
    </row>
    <row r="104" spans="2:9" x14ac:dyDescent="0.2">
      <c r="B104" s="86"/>
      <c r="C104" s="86"/>
      <c r="D104" s="86"/>
      <c r="E104" s="86"/>
      <c r="F104" s="86"/>
      <c r="G104" s="86"/>
      <c r="H104" s="86"/>
      <c r="I104" s="87"/>
    </row>
    <row r="105" spans="2:9" x14ac:dyDescent="0.2">
      <c r="B105" s="248" t="s">
        <v>76</v>
      </c>
      <c r="C105" s="249"/>
      <c r="D105" s="249"/>
      <c r="E105" s="249"/>
      <c r="F105" s="253"/>
      <c r="G105" s="129"/>
      <c r="H105" s="130"/>
      <c r="I105" s="87"/>
    </row>
    <row r="106" spans="2:9" x14ac:dyDescent="0.2">
      <c r="B106" s="82">
        <v>5</v>
      </c>
      <c r="C106" s="250" t="s">
        <v>63</v>
      </c>
      <c r="D106" s="251"/>
      <c r="E106" s="251"/>
      <c r="F106" s="251"/>
      <c r="G106" s="252"/>
      <c r="H106" s="82" t="s">
        <v>49</v>
      </c>
      <c r="I106" s="87"/>
    </row>
    <row r="107" spans="2:9" x14ac:dyDescent="0.2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">
      <c r="B111" s="9" t="s">
        <v>145</v>
      </c>
      <c r="C111" s="245" t="s">
        <v>61</v>
      </c>
      <c r="D111" s="246"/>
      <c r="E111" s="246"/>
      <c r="F111" s="246"/>
      <c r="G111" s="69"/>
      <c r="H111" s="12">
        <f>SUM(H107:H110)</f>
        <v>111.80333333333334</v>
      </c>
      <c r="I111" s="13"/>
    </row>
    <row r="112" spans="2:9" x14ac:dyDescent="0.2">
      <c r="B112" s="86"/>
      <c r="C112" s="86"/>
      <c r="D112" s="86"/>
      <c r="E112" s="86"/>
      <c r="F112" s="86"/>
      <c r="G112" s="64"/>
      <c r="H112" s="59"/>
      <c r="I112" s="13"/>
    </row>
    <row r="113" spans="2:9" x14ac:dyDescent="0.2">
      <c r="B113" s="86"/>
      <c r="C113" s="86"/>
      <c r="D113" s="86"/>
      <c r="E113" s="86"/>
      <c r="F113" s="86"/>
      <c r="G113" s="86"/>
      <c r="H113" s="86"/>
      <c r="I113" s="87"/>
    </row>
    <row r="114" spans="2:9" x14ac:dyDescent="0.2">
      <c r="B114" s="248" t="s">
        <v>77</v>
      </c>
      <c r="C114" s="249"/>
      <c r="D114" s="249"/>
      <c r="E114" s="249"/>
      <c r="F114" s="253"/>
      <c r="G114" s="129"/>
      <c r="H114" s="130"/>
      <c r="I114" s="87"/>
    </row>
    <row r="115" spans="2:9" x14ac:dyDescent="0.2">
      <c r="B115" s="82">
        <v>6</v>
      </c>
      <c r="C115" s="245" t="s">
        <v>64</v>
      </c>
      <c r="D115" s="246"/>
      <c r="E115" s="246"/>
      <c r="F115" s="247"/>
      <c r="G115" s="82" t="s">
        <v>1</v>
      </c>
      <c r="H115" s="82" t="s">
        <v>49</v>
      </c>
      <c r="I115" s="87"/>
    </row>
    <row r="116" spans="2:9" x14ac:dyDescent="0.2">
      <c r="B116" s="9" t="s">
        <v>4</v>
      </c>
      <c r="C116" s="80" t="s">
        <v>16</v>
      </c>
      <c r="D116" s="242" t="s">
        <v>157</v>
      </c>
      <c r="E116" s="243"/>
      <c r="F116" s="244"/>
      <c r="G116" s="39">
        <v>0.05</v>
      </c>
      <c r="H116" s="15">
        <f>TRUNC(H$133*$G116,2)</f>
        <v>500.82</v>
      </c>
      <c r="I116" s="93"/>
    </row>
    <row r="117" spans="2:9" x14ac:dyDescent="0.2">
      <c r="B117" s="9" t="s">
        <v>5</v>
      </c>
      <c r="C117" s="80" t="s">
        <v>3</v>
      </c>
      <c r="D117" s="242" t="s">
        <v>158</v>
      </c>
      <c r="E117" s="243"/>
      <c r="F117" s="244"/>
      <c r="G117" s="39">
        <v>0.1</v>
      </c>
      <c r="H117" s="15">
        <f>TRUNC((H$133+H$116)*$G117,2)</f>
        <v>1051.73</v>
      </c>
      <c r="I117" s="93"/>
    </row>
    <row r="118" spans="2:9" x14ac:dyDescent="0.2">
      <c r="B118" s="9" t="s">
        <v>6</v>
      </c>
      <c r="C118" s="80" t="s">
        <v>115</v>
      </c>
      <c r="D118" s="242" t="s">
        <v>159</v>
      </c>
      <c r="E118" s="243"/>
      <c r="F118" s="244"/>
      <c r="G118" s="41">
        <f>1-(G119+G120+G121)</f>
        <v>0.85749999999999993</v>
      </c>
      <c r="H118" s="21">
        <f>TRUNC(((H$133+H$116+H$117)/$G118),2)</f>
        <v>13491.61</v>
      </c>
      <c r="I118" s="96"/>
    </row>
    <row r="119" spans="2:9" x14ac:dyDescent="0.2">
      <c r="B119" s="9" t="s">
        <v>21</v>
      </c>
      <c r="C119" s="80" t="s">
        <v>18</v>
      </c>
      <c r="D119" s="242" t="s">
        <v>160</v>
      </c>
      <c r="E119" s="243"/>
      <c r="F119" s="244"/>
      <c r="G119" s="40">
        <v>1.6500000000000001E-2</v>
      </c>
      <c r="H119" s="15">
        <f>TRUNC(H$118*$G119,2)</f>
        <v>222.61</v>
      </c>
      <c r="I119" s="93"/>
    </row>
    <row r="120" spans="2:9" x14ac:dyDescent="0.2">
      <c r="B120" s="9" t="s">
        <v>22</v>
      </c>
      <c r="C120" s="80" t="s">
        <v>19</v>
      </c>
      <c r="D120" s="242" t="s">
        <v>160</v>
      </c>
      <c r="E120" s="243"/>
      <c r="F120" s="244"/>
      <c r="G120" s="40">
        <v>7.5999999999999998E-2</v>
      </c>
      <c r="H120" s="15">
        <f>TRUNC(H$118*$G120,2)</f>
        <v>1025.3599999999999</v>
      </c>
      <c r="I120" s="93"/>
    </row>
    <row r="121" spans="2:9" x14ac:dyDescent="0.2">
      <c r="B121" s="9" t="s">
        <v>23</v>
      </c>
      <c r="C121" s="80" t="s">
        <v>20</v>
      </c>
      <c r="D121" s="242" t="s">
        <v>160</v>
      </c>
      <c r="E121" s="243"/>
      <c r="F121" s="244"/>
      <c r="G121" s="40">
        <v>0.05</v>
      </c>
      <c r="H121" s="15">
        <f>TRUNC(H$118*$G121,2)</f>
        <v>674.58</v>
      </c>
      <c r="I121" s="93"/>
    </row>
    <row r="122" spans="2:9" x14ac:dyDescent="0.2">
      <c r="B122" s="9" t="s">
        <v>146</v>
      </c>
      <c r="C122" s="76" t="s">
        <v>61</v>
      </c>
      <c r="D122" s="226" t="s">
        <v>148</v>
      </c>
      <c r="E122" s="226"/>
      <c r="F122" s="226"/>
      <c r="G122" s="153"/>
      <c r="H122" s="12">
        <f>SUM(H116:H121)-H118</f>
        <v>3475.1000000000022</v>
      </c>
      <c r="I122" s="13"/>
    </row>
    <row r="123" spans="2:9" x14ac:dyDescent="0.2">
      <c r="B123" s="53"/>
      <c r="C123" s="53"/>
      <c r="D123" s="53"/>
      <c r="E123" s="53"/>
      <c r="F123" s="53"/>
      <c r="G123" s="53"/>
      <c r="H123" s="65"/>
      <c r="I123" s="22"/>
    </row>
    <row r="124" spans="2:9" x14ac:dyDescent="0.2">
      <c r="B124" s="230" t="s">
        <v>187</v>
      </c>
      <c r="C124" s="230"/>
      <c r="D124" s="230"/>
      <c r="E124" s="230"/>
      <c r="F124" s="230"/>
      <c r="G124" s="230"/>
      <c r="H124" s="230"/>
      <c r="I124" s="103"/>
    </row>
    <row r="125" spans="2:9" x14ac:dyDescent="0.2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">
      <c r="B126" s="248" t="s">
        <v>188</v>
      </c>
      <c r="C126" s="249"/>
      <c r="D126" s="249"/>
      <c r="E126" s="249"/>
      <c r="F126" s="249"/>
      <c r="G126" s="147"/>
      <c r="H126" s="130"/>
      <c r="I126" s="87"/>
    </row>
    <row r="127" spans="2:9" ht="12.75" customHeight="1" x14ac:dyDescent="0.2">
      <c r="B127" s="145"/>
      <c r="C127" s="224" t="s">
        <v>116</v>
      </c>
      <c r="D127" s="225"/>
      <c r="E127" s="225"/>
      <c r="F127" s="225"/>
      <c r="G127" s="146"/>
      <c r="H127" s="128" t="s">
        <v>49</v>
      </c>
      <c r="I127" s="87"/>
    </row>
    <row r="128" spans="2:9" x14ac:dyDescent="0.2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4279.54</v>
      </c>
      <c r="I128" s="93"/>
    </row>
    <row r="129" spans="2:9" ht="22.5" x14ac:dyDescent="0.2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3757.03</v>
      </c>
      <c r="I129" s="93"/>
    </row>
    <row r="130" spans="2:9" x14ac:dyDescent="0.2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922.49</v>
      </c>
      <c r="I130" s="93"/>
    </row>
    <row r="131" spans="2:9" ht="22.5" x14ac:dyDescent="0.2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945.65</v>
      </c>
      <c r="I131" s="93"/>
    </row>
    <row r="132" spans="2:9" x14ac:dyDescent="0.2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111.80333333333334</v>
      </c>
      <c r="I132" s="93"/>
    </row>
    <row r="133" spans="2:9" x14ac:dyDescent="0.2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10016.513333333332</v>
      </c>
      <c r="I133" s="13"/>
    </row>
    <row r="134" spans="2:9" x14ac:dyDescent="0.2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3475.1000000000022</v>
      </c>
      <c r="I134" s="93"/>
    </row>
    <row r="135" spans="2:9" x14ac:dyDescent="0.2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13491.613333333335</v>
      </c>
      <c r="I135" s="107"/>
    </row>
    <row r="136" spans="2:9" ht="12.75" customHeight="1" x14ac:dyDescent="0.2">
      <c r="B136" s="7"/>
      <c r="C136" s="7"/>
      <c r="D136" s="7"/>
      <c r="E136" s="7"/>
      <c r="F136" s="7"/>
      <c r="G136" s="7"/>
      <c r="H136" s="25"/>
      <c r="I136" s="25"/>
    </row>
    <row r="137" spans="2:9" x14ac:dyDescent="0.2">
      <c r="B137" s="230" t="s">
        <v>189</v>
      </c>
      <c r="C137" s="230"/>
      <c r="D137" s="230"/>
      <c r="E137" s="230"/>
      <c r="F137" s="230"/>
      <c r="I137" s="7"/>
    </row>
    <row r="138" spans="2:9" x14ac:dyDescent="0.2">
      <c r="B138" s="66"/>
      <c r="C138" s="66"/>
      <c r="D138" s="66"/>
      <c r="E138" s="60"/>
      <c r="F138" s="60"/>
      <c r="I138" s="7"/>
    </row>
    <row r="139" spans="2:9" x14ac:dyDescent="0.2">
      <c r="B139" s="234" t="s">
        <v>190</v>
      </c>
      <c r="C139" s="235"/>
      <c r="D139" s="235"/>
      <c r="E139" s="235"/>
      <c r="F139" s="235"/>
      <c r="G139" s="147"/>
      <c r="H139" s="130"/>
      <c r="I139" s="104"/>
    </row>
    <row r="140" spans="2:9" x14ac:dyDescent="0.2">
      <c r="B140" s="118" t="s">
        <v>4</v>
      </c>
      <c r="C140" s="148" t="s">
        <v>104</v>
      </c>
      <c r="D140" s="236" t="s">
        <v>149</v>
      </c>
      <c r="E140" s="237"/>
      <c r="F140" s="237"/>
      <c r="G140" s="149"/>
      <c r="H140" s="150">
        <f>H135</f>
        <v>13491.613333333335</v>
      </c>
      <c r="I140" s="102"/>
    </row>
    <row r="141" spans="2:9" ht="22.5" x14ac:dyDescent="0.2">
      <c r="B141" s="9" t="s">
        <v>5</v>
      </c>
      <c r="C141" s="73" t="s">
        <v>151</v>
      </c>
      <c r="D141" s="238" t="s">
        <v>152</v>
      </c>
      <c r="E141" s="239"/>
      <c r="F141" s="239"/>
      <c r="G141" s="143"/>
      <c r="H141" s="5">
        <f>H43+H82+H100</f>
        <v>2700.26</v>
      </c>
      <c r="I141" s="97"/>
    </row>
    <row r="142" spans="2:9" ht="22.5" x14ac:dyDescent="0.2">
      <c r="B142" s="9" t="s">
        <v>6</v>
      </c>
      <c r="C142" s="73" t="s">
        <v>167</v>
      </c>
      <c r="D142" s="238" t="s">
        <v>175</v>
      </c>
      <c r="E142" s="239"/>
      <c r="F142" s="239"/>
      <c r="G142" s="144"/>
      <c r="H142" s="101">
        <f>TRUNC((H$43*$G56),2)</f>
        <v>306.22000000000003</v>
      </c>
      <c r="I142" s="102"/>
    </row>
    <row r="143" spans="2:9" ht="12.75" customHeight="1" x14ac:dyDescent="0.2">
      <c r="B143" s="9" t="s">
        <v>7</v>
      </c>
      <c r="C143" s="73" t="s">
        <v>16</v>
      </c>
      <c r="D143" s="227" t="s">
        <v>161</v>
      </c>
      <c r="E143" s="228"/>
      <c r="F143" s="229"/>
      <c r="G143" s="6">
        <f>G116</f>
        <v>0.05</v>
      </c>
      <c r="H143" s="5">
        <f>TRUNC((H$141+H$142)*$G143,2)</f>
        <v>150.32</v>
      </c>
      <c r="I143" s="97"/>
    </row>
    <row r="144" spans="2:9" ht="12.75" customHeight="1" x14ac:dyDescent="0.2">
      <c r="B144" s="9" t="s">
        <v>8</v>
      </c>
      <c r="C144" s="73" t="s">
        <v>3</v>
      </c>
      <c r="D144" s="227" t="s">
        <v>162</v>
      </c>
      <c r="E144" s="228"/>
      <c r="F144" s="229"/>
      <c r="G144" s="6">
        <f>G117</f>
        <v>0.1</v>
      </c>
      <c r="H144" s="5">
        <f>TRUNC((H$141+H$142+H$143)*$G144,2)</f>
        <v>315.68</v>
      </c>
      <c r="I144" s="97"/>
    </row>
    <row r="145" spans="2:9" ht="12.75" customHeight="1" x14ac:dyDescent="0.2">
      <c r="B145" s="9" t="s">
        <v>9</v>
      </c>
      <c r="C145" s="73" t="s">
        <v>105</v>
      </c>
      <c r="D145" s="227" t="s">
        <v>169</v>
      </c>
      <c r="E145" s="228"/>
      <c r="F145" s="229"/>
      <c r="G145" s="6">
        <f>G119+G120+G121</f>
        <v>0.14250000000000002</v>
      </c>
      <c r="H145" s="5">
        <f>TRUNC((H$141+H$142+H$143+H$144)/(1-$G145)-(H$141+H$142+H$143+H$144),2)</f>
        <v>577.04999999999995</v>
      </c>
      <c r="I145" s="97"/>
    </row>
    <row r="146" spans="2:9" ht="22.5" x14ac:dyDescent="0.2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4049.5300000000007</v>
      </c>
      <c r="I146" s="98"/>
    </row>
    <row r="147" spans="2:9" x14ac:dyDescent="0.2">
      <c r="B147" s="9" t="s">
        <v>150</v>
      </c>
      <c r="C147" s="77" t="s">
        <v>120</v>
      </c>
      <c r="D147" s="240" t="s">
        <v>168</v>
      </c>
      <c r="E147" s="241"/>
      <c r="F147" s="241"/>
      <c r="G147" s="151"/>
      <c r="H147" s="26">
        <f>H140-H146</f>
        <v>9442.0833333333339</v>
      </c>
      <c r="I147" s="108"/>
    </row>
    <row r="148" spans="2:9" ht="45" customHeight="1" x14ac:dyDescent="0.2">
      <c r="B148" s="231" t="s">
        <v>119</v>
      </c>
      <c r="C148" s="232"/>
      <c r="D148" s="232"/>
      <c r="E148" s="232"/>
      <c r="F148" s="232"/>
      <c r="G148" s="233"/>
      <c r="H148" s="127"/>
      <c r="I148" s="9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B3367162-D159-4C56-887B-24D32C3E54A0}">
      <formula1>"0%, 30%"</formula1>
    </dataValidation>
    <dataValidation type="list" allowBlank="1" showInputMessage="1" showErrorMessage="1" sqref="G27" xr:uid="{F459DB6F-1ADE-4E9E-8578-0A84ACBF84D5}">
      <formula1>"0%, 10%, 20%, 40%"</formula1>
    </dataValidation>
    <dataValidation type="list" allowBlank="1" showInputMessage="1" showErrorMessage="1" sqref="E50" xr:uid="{C4CF3741-D44D-4B60-A3D5-BAED13F82ED2}">
      <formula1>"1%, 2%, 3%"</formula1>
    </dataValidation>
    <dataValidation type="list" allowBlank="1" showInputMessage="1" showErrorMessage="1" sqref="G28:G29" xr:uid="{C46AAFAC-DF9D-4550-AA5A-C186AA71C547}">
      <formula1>"0, 20%"</formula1>
    </dataValidation>
    <dataValidation type="list" allowBlank="1" showInputMessage="1" showErrorMessage="1" sqref="G30" xr:uid="{072350DC-D682-46D8-B55A-94249A7CE778}">
      <formula1>"0, 50%, 100%"</formula1>
    </dataValidation>
    <dataValidation type="whole" allowBlank="1" showInputMessage="1" showErrorMessage="1" errorTitle="Valor errado" error="Quantidade fixa de dias. Prencher com 30" sqref="G88" xr:uid="{CFB46255-9533-485E-98FB-38E263DB2411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3E638FEF-88A3-46C4-9BFF-E95EFBA1A7AF}">
      <formula1>"40%"</formula1>
    </dataValidation>
    <dataValidation type="custom" allowBlank="1" showInputMessage="1" showErrorMessage="1" sqref="G118" xr:uid="{BB25EAEE-BB87-45D0-B826-88182200B05C}">
      <formula1>1-(G119+G120+G121)</formula1>
    </dataValidation>
    <dataValidation type="list" allowBlank="1" showInputMessage="1" showErrorMessage="1" sqref="G81" xr:uid="{06C3980A-4BCF-440A-B052-5D4C9DC47867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U122"/>
  <sheetViews>
    <sheetView showGridLines="0" topLeftCell="A112" zoomScaleNormal="100" workbookViewId="0">
      <selection activeCell="J11" sqref="J11"/>
    </sheetView>
  </sheetViews>
  <sheetFormatPr defaultColWidth="9.140625" defaultRowHeight="11.25" x14ac:dyDescent="0.2"/>
  <cols>
    <col min="1" max="1" width="3.5703125" style="37" customWidth="1"/>
    <col min="2" max="2" width="3.7109375" style="37" customWidth="1"/>
    <col min="3" max="3" width="25.7109375" style="37" customWidth="1"/>
    <col min="4" max="4" width="14.140625" style="37" customWidth="1"/>
    <col min="5" max="5" width="15.42578125" style="37" customWidth="1"/>
    <col min="6" max="6" width="14" style="37" customWidth="1"/>
    <col min="7" max="8" width="13.140625" style="37" customWidth="1"/>
    <col min="9" max="9" width="5.28515625" style="37" customWidth="1"/>
    <col min="10" max="10" width="22.85546875" style="37" customWidth="1"/>
    <col min="11" max="12" width="15.7109375" style="37" customWidth="1"/>
    <col min="13" max="13" width="12.140625" style="37" bestFit="1" customWidth="1"/>
    <col min="14" max="14" width="13.28515625" style="37" bestFit="1" customWidth="1"/>
    <col min="15" max="16384" width="9.140625" style="37"/>
  </cols>
  <sheetData>
    <row r="1" spans="2:14" ht="12" thickBot="1" x14ac:dyDescent="0.25"/>
    <row r="2" spans="2:14" ht="22.5" customHeight="1" thickBot="1" x14ac:dyDescent="0.25">
      <c r="B2" s="299" t="s">
        <v>84</v>
      </c>
      <c r="C2" s="300"/>
      <c r="D2" s="300"/>
      <c r="E2" s="300"/>
      <c r="F2" s="300"/>
      <c r="G2" s="301"/>
      <c r="H2" s="124"/>
      <c r="I2" s="124"/>
      <c r="J2" s="124"/>
      <c r="K2" s="124"/>
    </row>
    <row r="3" spans="2:14" ht="22.5" customHeight="1" x14ac:dyDescent="0.2"/>
    <row r="4" spans="2:14" ht="22.5" customHeight="1" x14ac:dyDescent="0.2">
      <c r="B4" s="302" t="s">
        <v>229</v>
      </c>
      <c r="C4" s="302"/>
      <c r="D4" s="302"/>
      <c r="E4" s="302"/>
      <c r="F4" s="302"/>
      <c r="G4" s="302"/>
      <c r="H4" s="198"/>
      <c r="I4" s="198"/>
    </row>
    <row r="5" spans="2:14" s="38" customFormat="1" ht="22.5" customHeight="1" x14ac:dyDescent="0.2">
      <c r="B5" s="296" t="s">
        <v>85</v>
      </c>
      <c r="C5" s="296"/>
      <c r="D5" s="165" t="s">
        <v>86</v>
      </c>
      <c r="E5" s="165" t="s">
        <v>112</v>
      </c>
      <c r="F5" s="165" t="s">
        <v>113</v>
      </c>
      <c r="G5" s="165" t="s">
        <v>114</v>
      </c>
      <c r="H5" s="121"/>
      <c r="I5" s="121"/>
      <c r="J5" s="121"/>
      <c r="K5" s="121"/>
      <c r="M5" s="37"/>
      <c r="N5" s="37"/>
    </row>
    <row r="6" spans="2:14" ht="22.5" customHeight="1" x14ac:dyDescent="0.2">
      <c r="B6" s="178">
        <v>1</v>
      </c>
      <c r="C6" s="194" t="s">
        <v>230</v>
      </c>
      <c r="D6" s="176">
        <v>145.97</v>
      </c>
      <c r="E6" s="195">
        <v>2</v>
      </c>
      <c r="F6" s="196">
        <f>D6*E6*2</f>
        <v>583.88</v>
      </c>
      <c r="G6" s="196">
        <f>F6/12</f>
        <v>48.656666666666666</v>
      </c>
      <c r="H6" s="192"/>
      <c r="I6" s="192"/>
      <c r="J6" s="122"/>
      <c r="K6" s="122"/>
    </row>
    <row r="7" spans="2:14" ht="22.5" customHeight="1" x14ac:dyDescent="0.2">
      <c r="B7" s="178">
        <v>2</v>
      </c>
      <c r="C7" s="194" t="s">
        <v>228</v>
      </c>
      <c r="D7" s="176">
        <v>189.44</v>
      </c>
      <c r="E7" s="195">
        <v>2</v>
      </c>
      <c r="F7" s="196">
        <f>D7*E7*2</f>
        <v>757.76</v>
      </c>
      <c r="G7" s="196">
        <f>F7/12</f>
        <v>63.146666666666668</v>
      </c>
      <c r="H7" s="192"/>
      <c r="I7" s="192"/>
      <c r="J7" s="122"/>
      <c r="K7" s="122"/>
    </row>
    <row r="8" spans="2:14" ht="22.5" customHeight="1" x14ac:dyDescent="0.2">
      <c r="B8" s="297" t="s">
        <v>61</v>
      </c>
      <c r="C8" s="297"/>
      <c r="D8" s="297"/>
      <c r="E8" s="297"/>
      <c r="F8" s="297"/>
      <c r="G8" s="197">
        <f>SUM(G6:G7)</f>
        <v>111.80333333333334</v>
      </c>
      <c r="H8" s="192"/>
      <c r="I8" s="192"/>
      <c r="J8" s="122"/>
      <c r="K8" s="122"/>
    </row>
    <row r="9" spans="2:14" ht="22.5" customHeight="1" x14ac:dyDescent="0.2">
      <c r="B9" s="122"/>
      <c r="C9" s="193"/>
      <c r="D9" s="123"/>
      <c r="E9" s="192"/>
      <c r="F9" s="192"/>
      <c r="G9" s="192"/>
      <c r="H9" s="192"/>
      <c r="I9" s="192"/>
      <c r="J9" s="122"/>
      <c r="K9" s="122"/>
    </row>
    <row r="10" spans="2:14" ht="22.5" customHeight="1" x14ac:dyDescent="0.2">
      <c r="B10" s="302" t="s">
        <v>231</v>
      </c>
      <c r="C10" s="302"/>
      <c r="D10" s="302"/>
      <c r="E10" s="302"/>
      <c r="F10" s="302"/>
      <c r="G10" s="302"/>
      <c r="H10" s="192"/>
      <c r="I10" s="192"/>
      <c r="J10" s="122"/>
      <c r="K10" s="122"/>
    </row>
    <row r="11" spans="2:14" ht="22.5" customHeight="1" x14ac:dyDescent="0.2">
      <c r="B11" s="296" t="s">
        <v>85</v>
      </c>
      <c r="C11" s="296"/>
      <c r="D11" s="165" t="s">
        <v>86</v>
      </c>
      <c r="E11" s="165" t="s">
        <v>112</v>
      </c>
      <c r="F11" s="165" t="s">
        <v>113</v>
      </c>
      <c r="G11" s="165" t="s">
        <v>114</v>
      </c>
      <c r="H11" s="192"/>
      <c r="I11" s="192"/>
      <c r="J11" s="122"/>
      <c r="K11" s="122"/>
    </row>
    <row r="12" spans="2:14" ht="22.5" customHeight="1" x14ac:dyDescent="0.2">
      <c r="B12" s="178">
        <v>1</v>
      </c>
      <c r="C12" s="194" t="s">
        <v>230</v>
      </c>
      <c r="D12" s="176">
        <v>145.97</v>
      </c>
      <c r="E12" s="195">
        <v>1</v>
      </c>
      <c r="F12" s="196">
        <f>D12*E12*2</f>
        <v>291.94</v>
      </c>
      <c r="G12" s="196">
        <f>F12/12</f>
        <v>24.328333333333333</v>
      </c>
      <c r="H12" s="192"/>
      <c r="I12" s="192"/>
      <c r="J12" s="122"/>
      <c r="K12" s="122"/>
    </row>
    <row r="13" spans="2:14" ht="22.5" customHeight="1" x14ac:dyDescent="0.2">
      <c r="B13" s="178">
        <v>2</v>
      </c>
      <c r="C13" s="194" t="s">
        <v>228</v>
      </c>
      <c r="D13" s="176">
        <v>189.44</v>
      </c>
      <c r="E13" s="195">
        <v>1</v>
      </c>
      <c r="F13" s="196">
        <f>D13*E13*2</f>
        <v>378.88</v>
      </c>
      <c r="G13" s="196">
        <f>F13/12</f>
        <v>31.573333333333334</v>
      </c>
      <c r="H13" s="192"/>
      <c r="I13" s="192"/>
      <c r="J13" s="122"/>
      <c r="K13" s="122"/>
    </row>
    <row r="14" spans="2:14" ht="22.5" customHeight="1" x14ac:dyDescent="0.2">
      <c r="B14" s="297" t="s">
        <v>61</v>
      </c>
      <c r="C14" s="297"/>
      <c r="D14" s="297"/>
      <c r="E14" s="297"/>
      <c r="F14" s="297"/>
      <c r="G14" s="197">
        <f>SUM(G12:G13)</f>
        <v>55.901666666666671</v>
      </c>
      <c r="H14" s="192"/>
      <c r="I14" s="192"/>
      <c r="J14" s="122"/>
      <c r="K14" s="122"/>
    </row>
    <row r="15" spans="2:14" ht="22.5" customHeight="1" x14ac:dyDescent="0.2">
      <c r="B15" s="122"/>
      <c r="C15" s="193"/>
      <c r="D15" s="123"/>
      <c r="E15" s="192"/>
      <c r="F15" s="192"/>
      <c r="G15" s="192"/>
      <c r="H15" s="192"/>
      <c r="I15" s="192"/>
      <c r="J15" s="123"/>
      <c r="K15" s="123"/>
    </row>
    <row r="16" spans="2:14" ht="22.5" customHeight="1" thickBot="1" x14ac:dyDescent="0.25">
      <c r="B16" s="122"/>
      <c r="C16" s="193"/>
      <c r="D16" s="123"/>
      <c r="E16" s="192"/>
      <c r="F16" s="192"/>
      <c r="G16" s="192"/>
      <c r="H16" s="192"/>
      <c r="I16" s="192"/>
      <c r="J16" s="123"/>
      <c r="K16" s="123"/>
    </row>
    <row r="17" spans="2:21" ht="22.5" customHeight="1" thickBot="1" x14ac:dyDescent="0.25">
      <c r="B17" s="299" t="s">
        <v>232</v>
      </c>
      <c r="C17" s="300"/>
      <c r="D17" s="300"/>
      <c r="E17" s="300"/>
      <c r="F17" s="300"/>
      <c r="G17" s="301"/>
      <c r="H17" s="124"/>
      <c r="I17" s="124"/>
      <c r="J17" s="124"/>
      <c r="K17" s="124"/>
    </row>
    <row r="18" spans="2:21" ht="22.5" customHeight="1" x14ac:dyDescent="0.2">
      <c r="B18" s="200"/>
      <c r="C18" s="200"/>
      <c r="D18" s="200"/>
      <c r="E18" s="200"/>
      <c r="F18" s="200"/>
      <c r="G18" s="200"/>
      <c r="H18" s="200"/>
      <c r="I18" s="200"/>
      <c r="J18" s="123"/>
      <c r="K18" s="123"/>
      <c r="L18" s="123"/>
    </row>
    <row r="19" spans="2:21" ht="22.5" customHeight="1" x14ac:dyDescent="0.2">
      <c r="B19" s="298" t="s">
        <v>259</v>
      </c>
      <c r="C19" s="298"/>
      <c r="D19" s="298"/>
      <c r="E19" s="298"/>
      <c r="F19" s="298"/>
      <c r="G19" s="298"/>
    </row>
    <row r="20" spans="2:21" s="38" customFormat="1" ht="22.5" customHeight="1" x14ac:dyDescent="0.2">
      <c r="B20" s="296" t="s">
        <v>85</v>
      </c>
      <c r="C20" s="296"/>
      <c r="D20" s="165" t="s">
        <v>233</v>
      </c>
      <c r="E20" s="165" t="s">
        <v>234</v>
      </c>
      <c r="F20" s="165" t="s">
        <v>235</v>
      </c>
      <c r="G20" s="165" t="s">
        <v>236</v>
      </c>
      <c r="H20" s="121"/>
      <c r="P20" s="121"/>
      <c r="Q20" s="121"/>
      <c r="R20" s="121"/>
      <c r="S20" s="121"/>
      <c r="T20" s="121"/>
      <c r="U20" s="121"/>
    </row>
    <row r="21" spans="2:21" ht="22.5" customHeight="1" x14ac:dyDescent="0.2">
      <c r="B21" s="178">
        <v>1</v>
      </c>
      <c r="C21" s="178" t="s">
        <v>237</v>
      </c>
      <c r="D21" s="178">
        <v>1</v>
      </c>
      <c r="E21" s="176">
        <v>29.61</v>
      </c>
      <c r="F21" s="196">
        <f>D21*E21</f>
        <v>29.61</v>
      </c>
      <c r="G21" s="196">
        <f>F21/12</f>
        <v>2.4674999999999998</v>
      </c>
      <c r="H21" s="192"/>
      <c r="P21" s="122"/>
      <c r="Q21" s="295"/>
      <c r="R21" s="295"/>
      <c r="S21" s="295"/>
      <c r="T21" s="295"/>
      <c r="U21" s="295"/>
    </row>
    <row r="22" spans="2:21" ht="22.5" customHeight="1" x14ac:dyDescent="0.2">
      <c r="B22" s="178">
        <f>B21+1</f>
        <v>2</v>
      </c>
      <c r="C22" s="178" t="s">
        <v>238</v>
      </c>
      <c r="D22" s="178">
        <v>6</v>
      </c>
      <c r="E22" s="176">
        <v>7.96</v>
      </c>
      <c r="F22" s="196">
        <f t="shared" ref="F22:F42" si="0">D22*E22</f>
        <v>47.76</v>
      </c>
      <c r="G22" s="196">
        <f t="shared" ref="G22:G42" si="1">F22/12</f>
        <v>3.98</v>
      </c>
      <c r="H22" s="123"/>
      <c r="P22" s="122"/>
      <c r="Q22" s="295"/>
      <c r="R22" s="295"/>
      <c r="S22" s="295"/>
      <c r="T22" s="295"/>
      <c r="U22" s="295"/>
    </row>
    <row r="23" spans="2:21" ht="22.5" customHeight="1" x14ac:dyDescent="0.2">
      <c r="B23" s="178">
        <f t="shared" ref="B23:B42" si="2">B22+1</f>
        <v>3</v>
      </c>
      <c r="C23" s="178" t="s">
        <v>239</v>
      </c>
      <c r="D23" s="178">
        <v>1</v>
      </c>
      <c r="E23" s="199">
        <v>40.549999999999997</v>
      </c>
      <c r="F23" s="196">
        <f t="shared" si="0"/>
        <v>40.549999999999997</v>
      </c>
      <c r="G23" s="196">
        <f t="shared" si="1"/>
        <v>3.3791666666666664</v>
      </c>
      <c r="H23" s="123"/>
      <c r="P23" s="122"/>
      <c r="Q23" s="295"/>
      <c r="R23" s="295"/>
      <c r="S23" s="295"/>
      <c r="T23" s="295"/>
      <c r="U23" s="295"/>
    </row>
    <row r="24" spans="2:21" ht="22.5" customHeight="1" x14ac:dyDescent="0.2">
      <c r="B24" s="178">
        <f t="shared" si="2"/>
        <v>4</v>
      </c>
      <c r="C24" s="178" t="s">
        <v>240</v>
      </c>
      <c r="D24" s="178">
        <v>1</v>
      </c>
      <c r="E24" s="176">
        <v>28.33</v>
      </c>
      <c r="F24" s="196">
        <f t="shared" si="0"/>
        <v>28.33</v>
      </c>
      <c r="G24" s="196">
        <f t="shared" si="1"/>
        <v>2.3608333333333333</v>
      </c>
      <c r="H24" s="123"/>
      <c r="P24" s="122"/>
      <c r="Q24" s="295"/>
      <c r="R24" s="295"/>
      <c r="S24" s="295"/>
      <c r="T24" s="295"/>
      <c r="U24" s="295"/>
    </row>
    <row r="25" spans="2:21" ht="22.5" customHeight="1" x14ac:dyDescent="0.2">
      <c r="B25" s="178">
        <f t="shared" si="2"/>
        <v>5</v>
      </c>
      <c r="C25" s="178" t="s">
        <v>241</v>
      </c>
      <c r="D25" s="178">
        <v>1</v>
      </c>
      <c r="E25" s="176">
        <v>26.52</v>
      </c>
      <c r="F25" s="196">
        <f t="shared" si="0"/>
        <v>26.52</v>
      </c>
      <c r="G25" s="196">
        <f t="shared" si="1"/>
        <v>2.21</v>
      </c>
      <c r="H25" s="123"/>
    </row>
    <row r="26" spans="2:21" ht="22.5" customHeight="1" x14ac:dyDescent="0.2">
      <c r="B26" s="178">
        <f t="shared" si="2"/>
        <v>6</v>
      </c>
      <c r="C26" s="178" t="s">
        <v>242</v>
      </c>
      <c r="D26" s="178">
        <v>1</v>
      </c>
      <c r="E26" s="176">
        <v>558.11</v>
      </c>
      <c r="F26" s="196">
        <f t="shared" si="0"/>
        <v>558.11</v>
      </c>
      <c r="G26" s="196">
        <f t="shared" si="1"/>
        <v>46.509166666666665</v>
      </c>
      <c r="H26" s="123"/>
    </row>
    <row r="27" spans="2:21" ht="22.5" customHeight="1" x14ac:dyDescent="0.2">
      <c r="B27" s="178">
        <f t="shared" si="2"/>
        <v>7</v>
      </c>
      <c r="C27" s="178" t="s">
        <v>243</v>
      </c>
      <c r="D27" s="178">
        <v>200</v>
      </c>
      <c r="E27" s="176">
        <v>6.32</v>
      </c>
      <c r="F27" s="196">
        <f t="shared" si="0"/>
        <v>1264</v>
      </c>
      <c r="G27" s="196">
        <f t="shared" si="1"/>
        <v>105.33333333333333</v>
      </c>
      <c r="H27" s="123"/>
    </row>
    <row r="28" spans="2:21" ht="22.5" customHeight="1" x14ac:dyDescent="0.2">
      <c r="B28" s="178">
        <f t="shared" si="2"/>
        <v>8</v>
      </c>
      <c r="C28" s="178" t="s">
        <v>244</v>
      </c>
      <c r="D28" s="178">
        <v>1</v>
      </c>
      <c r="E28" s="176">
        <v>125.1</v>
      </c>
      <c r="F28" s="196">
        <f t="shared" si="0"/>
        <v>125.1</v>
      </c>
      <c r="G28" s="196">
        <f t="shared" si="1"/>
        <v>10.424999999999999</v>
      </c>
      <c r="H28" s="123"/>
    </row>
    <row r="29" spans="2:21" ht="22.5" customHeight="1" x14ac:dyDescent="0.2">
      <c r="B29" s="178">
        <f t="shared" si="2"/>
        <v>9</v>
      </c>
      <c r="C29" s="178" t="s">
        <v>245</v>
      </c>
      <c r="D29" s="178">
        <v>2</v>
      </c>
      <c r="E29" s="176">
        <v>292.84999999999997</v>
      </c>
      <c r="F29" s="196">
        <f t="shared" si="0"/>
        <v>585.69999999999993</v>
      </c>
      <c r="G29" s="196">
        <f t="shared" si="1"/>
        <v>48.80833333333333</v>
      </c>
      <c r="H29" s="123"/>
    </row>
    <row r="30" spans="2:21" ht="22.5" customHeight="1" x14ac:dyDescent="0.2">
      <c r="B30" s="178">
        <f t="shared" si="2"/>
        <v>10</v>
      </c>
      <c r="C30" s="178" t="s">
        <v>246</v>
      </c>
      <c r="D30" s="178">
        <v>3</v>
      </c>
      <c r="E30" s="176">
        <v>86.14</v>
      </c>
      <c r="F30" s="196">
        <f t="shared" si="0"/>
        <v>258.42</v>
      </c>
      <c r="G30" s="196">
        <f t="shared" si="1"/>
        <v>21.535</v>
      </c>
      <c r="H30" s="123"/>
    </row>
    <row r="31" spans="2:21" ht="22.5" customHeight="1" x14ac:dyDescent="0.2">
      <c r="B31" s="178">
        <f t="shared" si="2"/>
        <v>11</v>
      </c>
      <c r="C31" s="178" t="s">
        <v>247</v>
      </c>
      <c r="D31" s="178">
        <v>1</v>
      </c>
      <c r="E31" s="176">
        <v>2003.61</v>
      </c>
      <c r="F31" s="196">
        <f t="shared" si="0"/>
        <v>2003.61</v>
      </c>
      <c r="G31" s="196">
        <f t="shared" si="1"/>
        <v>166.9675</v>
      </c>
      <c r="H31" s="123"/>
    </row>
    <row r="32" spans="2:21" ht="22.5" customHeight="1" x14ac:dyDescent="0.2">
      <c r="B32" s="178">
        <f t="shared" si="2"/>
        <v>12</v>
      </c>
      <c r="C32" s="178" t="s">
        <v>248</v>
      </c>
      <c r="D32" s="178">
        <v>10</v>
      </c>
      <c r="E32" s="176">
        <v>18.48</v>
      </c>
      <c r="F32" s="196">
        <f t="shared" si="0"/>
        <v>184.8</v>
      </c>
      <c r="G32" s="196">
        <f t="shared" si="1"/>
        <v>15.4</v>
      </c>
      <c r="H32" s="123"/>
    </row>
    <row r="33" spans="2:8" ht="22.5" customHeight="1" x14ac:dyDescent="0.2">
      <c r="B33" s="178">
        <f t="shared" si="2"/>
        <v>13</v>
      </c>
      <c r="C33" s="178" t="s">
        <v>249</v>
      </c>
      <c r="D33" s="178">
        <v>2</v>
      </c>
      <c r="E33" s="176">
        <v>137.93</v>
      </c>
      <c r="F33" s="196">
        <f t="shared" si="0"/>
        <v>275.86</v>
      </c>
      <c r="G33" s="196">
        <f t="shared" si="1"/>
        <v>22.988333333333333</v>
      </c>
      <c r="H33" s="123"/>
    </row>
    <row r="34" spans="2:8" ht="22.5" customHeight="1" x14ac:dyDescent="0.2">
      <c r="B34" s="178">
        <f t="shared" si="2"/>
        <v>14</v>
      </c>
      <c r="C34" s="178" t="s">
        <v>250</v>
      </c>
      <c r="D34" s="178">
        <v>24</v>
      </c>
      <c r="E34" s="176">
        <v>29.98</v>
      </c>
      <c r="F34" s="196">
        <f t="shared" si="0"/>
        <v>719.52</v>
      </c>
      <c r="G34" s="196">
        <f t="shared" si="1"/>
        <v>59.96</v>
      </c>
      <c r="H34" s="123"/>
    </row>
    <row r="35" spans="2:8" ht="22.5" customHeight="1" x14ac:dyDescent="0.2">
      <c r="B35" s="178">
        <f t="shared" si="2"/>
        <v>15</v>
      </c>
      <c r="C35" s="178" t="s">
        <v>251</v>
      </c>
      <c r="D35" s="178">
        <v>12</v>
      </c>
      <c r="E35" s="176">
        <v>44.91</v>
      </c>
      <c r="F35" s="196">
        <f t="shared" si="0"/>
        <v>538.91999999999996</v>
      </c>
      <c r="G35" s="196">
        <f t="shared" si="1"/>
        <v>44.91</v>
      </c>
      <c r="H35" s="123"/>
    </row>
    <row r="36" spans="2:8" ht="22.5" customHeight="1" x14ac:dyDescent="0.2">
      <c r="B36" s="178">
        <f t="shared" si="2"/>
        <v>16</v>
      </c>
      <c r="C36" s="178" t="s">
        <v>252</v>
      </c>
      <c r="D36" s="178">
        <v>1</v>
      </c>
      <c r="E36" s="176">
        <v>1395.99</v>
      </c>
      <c r="F36" s="196">
        <f t="shared" si="0"/>
        <v>1395.99</v>
      </c>
      <c r="G36" s="196">
        <f t="shared" si="1"/>
        <v>116.3325</v>
      </c>
      <c r="H36" s="123"/>
    </row>
    <row r="37" spans="2:8" ht="22.5" customHeight="1" x14ac:dyDescent="0.2">
      <c r="B37" s="178">
        <f t="shared" si="2"/>
        <v>17</v>
      </c>
      <c r="C37" s="178" t="s">
        <v>253</v>
      </c>
      <c r="D37" s="178">
        <v>1</v>
      </c>
      <c r="E37" s="176">
        <v>107.89</v>
      </c>
      <c r="F37" s="196">
        <f t="shared" si="0"/>
        <v>107.89</v>
      </c>
      <c r="G37" s="196">
        <f t="shared" si="1"/>
        <v>8.9908333333333328</v>
      </c>
      <c r="H37" s="123"/>
    </row>
    <row r="38" spans="2:8" ht="22.5" customHeight="1" x14ac:dyDescent="0.2">
      <c r="B38" s="178">
        <f t="shared" si="2"/>
        <v>18</v>
      </c>
      <c r="C38" s="178" t="s">
        <v>254</v>
      </c>
      <c r="D38" s="178">
        <v>4</v>
      </c>
      <c r="E38" s="176">
        <v>31.2</v>
      </c>
      <c r="F38" s="196">
        <f t="shared" si="0"/>
        <v>124.8</v>
      </c>
      <c r="G38" s="196">
        <f t="shared" si="1"/>
        <v>10.4</v>
      </c>
      <c r="H38" s="123"/>
    </row>
    <row r="39" spans="2:8" ht="22.5" customHeight="1" x14ac:dyDescent="0.2">
      <c r="B39" s="178">
        <f t="shared" si="2"/>
        <v>19</v>
      </c>
      <c r="C39" s="178" t="s">
        <v>255</v>
      </c>
      <c r="D39" s="178">
        <v>1</v>
      </c>
      <c r="E39" s="176">
        <v>56.88</v>
      </c>
      <c r="F39" s="196">
        <f t="shared" si="0"/>
        <v>56.88</v>
      </c>
      <c r="G39" s="196">
        <f t="shared" si="1"/>
        <v>4.74</v>
      </c>
      <c r="H39" s="123"/>
    </row>
    <row r="40" spans="2:8" ht="22.5" customHeight="1" x14ac:dyDescent="0.2">
      <c r="B40" s="178">
        <f t="shared" si="2"/>
        <v>20</v>
      </c>
      <c r="C40" s="178" t="s">
        <v>256</v>
      </c>
      <c r="D40" s="178">
        <v>1</v>
      </c>
      <c r="E40" s="176">
        <v>115.33999999999999</v>
      </c>
      <c r="F40" s="196">
        <f t="shared" si="0"/>
        <v>115.33999999999999</v>
      </c>
      <c r="G40" s="196">
        <f t="shared" si="1"/>
        <v>9.6116666666666664</v>
      </c>
      <c r="H40" s="123"/>
    </row>
    <row r="41" spans="2:8" ht="22.5" customHeight="1" x14ac:dyDescent="0.2">
      <c r="B41" s="178">
        <f t="shared" si="2"/>
        <v>21</v>
      </c>
      <c r="C41" s="178" t="s">
        <v>257</v>
      </c>
      <c r="D41" s="178">
        <v>2</v>
      </c>
      <c r="E41" s="176">
        <v>26.819999999999997</v>
      </c>
      <c r="F41" s="196">
        <f t="shared" si="0"/>
        <v>53.639999999999993</v>
      </c>
      <c r="G41" s="196">
        <f t="shared" si="1"/>
        <v>4.47</v>
      </c>
      <c r="H41" s="123"/>
    </row>
    <row r="42" spans="2:8" ht="22.5" customHeight="1" x14ac:dyDescent="0.2">
      <c r="B42" s="178">
        <f t="shared" si="2"/>
        <v>22</v>
      </c>
      <c r="C42" s="178" t="s">
        <v>258</v>
      </c>
      <c r="D42" s="178">
        <v>2</v>
      </c>
      <c r="E42" s="176">
        <v>3.92</v>
      </c>
      <c r="F42" s="196">
        <f t="shared" si="0"/>
        <v>7.84</v>
      </c>
      <c r="G42" s="196">
        <f t="shared" si="1"/>
        <v>0.65333333333333332</v>
      </c>
      <c r="H42" s="123"/>
    </row>
    <row r="43" spans="2:8" ht="22.5" customHeight="1" x14ac:dyDescent="0.2">
      <c r="B43" s="297" t="s">
        <v>61</v>
      </c>
      <c r="C43" s="297"/>
      <c r="D43" s="297"/>
      <c r="E43" s="297"/>
      <c r="F43" s="297"/>
      <c r="G43" s="197">
        <f>SUM(G21:G42)</f>
        <v>712.43249999999989</v>
      </c>
      <c r="H43" s="123"/>
    </row>
    <row r="44" spans="2:8" ht="22.5" customHeight="1" x14ac:dyDescent="0.2"/>
    <row r="45" spans="2:8" ht="22.5" customHeight="1" x14ac:dyDescent="0.2">
      <c r="B45" s="298" t="s">
        <v>334</v>
      </c>
      <c r="C45" s="298"/>
      <c r="D45" s="298"/>
      <c r="E45" s="298"/>
      <c r="F45" s="298"/>
      <c r="G45" s="298"/>
    </row>
    <row r="46" spans="2:8" ht="22.5" customHeight="1" x14ac:dyDescent="0.2">
      <c r="B46" s="296" t="s">
        <v>85</v>
      </c>
      <c r="C46" s="296"/>
      <c r="D46" s="165" t="s">
        <v>233</v>
      </c>
      <c r="E46" s="165" t="s">
        <v>234</v>
      </c>
      <c r="F46" s="165" t="s">
        <v>235</v>
      </c>
      <c r="G46" s="165" t="s">
        <v>236</v>
      </c>
    </row>
    <row r="47" spans="2:8" ht="22.5" customHeight="1" x14ac:dyDescent="0.2">
      <c r="B47" s="178">
        <v>1</v>
      </c>
      <c r="C47" s="178" t="s">
        <v>260</v>
      </c>
      <c r="D47" s="178">
        <v>60</v>
      </c>
      <c r="E47" s="176">
        <v>0.14000000000000001</v>
      </c>
      <c r="F47" s="201">
        <f>D47*E47</f>
        <v>8.4</v>
      </c>
      <c r="G47" s="201">
        <f>F47/12</f>
        <v>0.70000000000000007</v>
      </c>
    </row>
    <row r="48" spans="2:8" ht="22.5" customHeight="1" x14ac:dyDescent="0.2">
      <c r="B48" s="178">
        <f>B47+1</f>
        <v>2</v>
      </c>
      <c r="C48" s="178" t="s">
        <v>261</v>
      </c>
      <c r="D48" s="178">
        <v>60</v>
      </c>
      <c r="E48" s="176">
        <v>0.12</v>
      </c>
      <c r="F48" s="201">
        <f t="shared" ref="F48:F111" si="3">D48*E48</f>
        <v>7.1999999999999993</v>
      </c>
      <c r="G48" s="201">
        <f t="shared" ref="G48:G111" si="4">F48/12</f>
        <v>0.6</v>
      </c>
    </row>
    <row r="49" spans="2:7" ht="22.5" customHeight="1" x14ac:dyDescent="0.2">
      <c r="B49" s="178">
        <f t="shared" ref="B49:B112" si="5">B48+1</f>
        <v>3</v>
      </c>
      <c r="C49" s="178" t="s">
        <v>262</v>
      </c>
      <c r="D49" s="204">
        <v>40</v>
      </c>
      <c r="E49" s="176">
        <v>0.33</v>
      </c>
      <c r="F49" s="201">
        <f t="shared" si="3"/>
        <v>13.200000000000001</v>
      </c>
      <c r="G49" s="201">
        <f t="shared" si="4"/>
        <v>1.1000000000000001</v>
      </c>
    </row>
    <row r="50" spans="2:7" ht="22.5" customHeight="1" x14ac:dyDescent="0.2">
      <c r="B50" s="178">
        <f t="shared" si="5"/>
        <v>4</v>
      </c>
      <c r="C50" s="178" t="s">
        <v>263</v>
      </c>
      <c r="D50" s="178">
        <v>60</v>
      </c>
      <c r="E50" s="176">
        <v>0.13</v>
      </c>
      <c r="F50" s="201">
        <f t="shared" si="3"/>
        <v>7.8000000000000007</v>
      </c>
      <c r="G50" s="201">
        <f t="shared" si="4"/>
        <v>0.65</v>
      </c>
    </row>
    <row r="51" spans="2:7" ht="22.5" customHeight="1" x14ac:dyDescent="0.2">
      <c r="B51" s="178">
        <f t="shared" si="5"/>
        <v>5</v>
      </c>
      <c r="C51" s="178" t="s">
        <v>264</v>
      </c>
      <c r="D51" s="178">
        <v>20</v>
      </c>
      <c r="E51" s="176">
        <v>4.41</v>
      </c>
      <c r="F51" s="201">
        <f t="shared" si="3"/>
        <v>88.2</v>
      </c>
      <c r="G51" s="201">
        <f t="shared" si="4"/>
        <v>7.3500000000000005</v>
      </c>
    </row>
    <row r="52" spans="2:7" ht="22.5" customHeight="1" x14ac:dyDescent="0.2">
      <c r="B52" s="178">
        <f t="shared" si="5"/>
        <v>6</v>
      </c>
      <c r="C52" s="178" t="s">
        <v>265</v>
      </c>
      <c r="D52" s="178">
        <v>20</v>
      </c>
      <c r="E52" s="176">
        <v>4.3499999999999996</v>
      </c>
      <c r="F52" s="201">
        <f t="shared" si="3"/>
        <v>87</v>
      </c>
      <c r="G52" s="201">
        <f t="shared" si="4"/>
        <v>7.25</v>
      </c>
    </row>
    <row r="53" spans="2:7" ht="22.5" customHeight="1" x14ac:dyDescent="0.2">
      <c r="B53" s="178">
        <f t="shared" si="5"/>
        <v>7</v>
      </c>
      <c r="C53" s="178" t="s">
        <v>266</v>
      </c>
      <c r="D53" s="178">
        <v>4</v>
      </c>
      <c r="E53" s="176">
        <v>29.61</v>
      </c>
      <c r="F53" s="201">
        <f t="shared" si="3"/>
        <v>118.44</v>
      </c>
      <c r="G53" s="201">
        <f t="shared" si="4"/>
        <v>9.8699999999999992</v>
      </c>
    </row>
    <row r="54" spans="2:7" ht="22.5" customHeight="1" x14ac:dyDescent="0.2">
      <c r="B54" s="178">
        <f t="shared" si="5"/>
        <v>8</v>
      </c>
      <c r="C54" s="178" t="s">
        <v>267</v>
      </c>
      <c r="D54" s="178">
        <v>10</v>
      </c>
      <c r="E54" s="176">
        <v>7.9600000000000009</v>
      </c>
      <c r="F54" s="201">
        <f t="shared" si="3"/>
        <v>79.600000000000009</v>
      </c>
      <c r="G54" s="201">
        <f t="shared" si="4"/>
        <v>6.6333333333333337</v>
      </c>
    </row>
    <row r="55" spans="2:7" ht="22.5" customHeight="1" x14ac:dyDescent="0.2">
      <c r="B55" s="178">
        <f t="shared" si="5"/>
        <v>9</v>
      </c>
      <c r="C55" s="178" t="s">
        <v>268</v>
      </c>
      <c r="D55" s="178">
        <v>40</v>
      </c>
      <c r="E55" s="176">
        <v>9.33</v>
      </c>
      <c r="F55" s="201">
        <f t="shared" si="3"/>
        <v>373.2</v>
      </c>
      <c r="G55" s="201">
        <f t="shared" si="4"/>
        <v>31.099999999999998</v>
      </c>
    </row>
    <row r="56" spans="2:7" ht="22.5" customHeight="1" x14ac:dyDescent="0.2">
      <c r="B56" s="178">
        <f t="shared" si="5"/>
        <v>10</v>
      </c>
      <c r="C56" s="178" t="s">
        <v>269</v>
      </c>
      <c r="D56" s="178">
        <v>40</v>
      </c>
      <c r="E56" s="176">
        <v>1.0669999999999999</v>
      </c>
      <c r="F56" s="201">
        <f t="shared" si="3"/>
        <v>42.68</v>
      </c>
      <c r="G56" s="201">
        <f t="shared" si="4"/>
        <v>3.5566666666666666</v>
      </c>
    </row>
    <row r="57" spans="2:7" ht="22.5" customHeight="1" x14ac:dyDescent="0.2">
      <c r="B57" s="178">
        <f t="shared" si="5"/>
        <v>11</v>
      </c>
      <c r="C57" s="178" t="s">
        <v>270</v>
      </c>
      <c r="D57" s="178">
        <v>6</v>
      </c>
      <c r="E57" s="176">
        <v>12.43</v>
      </c>
      <c r="F57" s="201">
        <f t="shared" si="3"/>
        <v>74.58</v>
      </c>
      <c r="G57" s="201">
        <f t="shared" si="4"/>
        <v>6.2149999999999999</v>
      </c>
    </row>
    <row r="58" spans="2:7" ht="22.5" customHeight="1" x14ac:dyDescent="0.2">
      <c r="B58" s="178">
        <f t="shared" si="5"/>
        <v>12</v>
      </c>
      <c r="C58" s="178" t="s">
        <v>271</v>
      </c>
      <c r="D58" s="178">
        <v>10</v>
      </c>
      <c r="E58" s="176">
        <v>3.54</v>
      </c>
      <c r="F58" s="201">
        <f t="shared" si="3"/>
        <v>35.4</v>
      </c>
      <c r="G58" s="201">
        <f t="shared" si="4"/>
        <v>2.9499999999999997</v>
      </c>
    </row>
    <row r="59" spans="2:7" ht="22.5" customHeight="1" x14ac:dyDescent="0.2">
      <c r="B59" s="178">
        <f t="shared" si="5"/>
        <v>13</v>
      </c>
      <c r="C59" s="178" t="s">
        <v>272</v>
      </c>
      <c r="D59" s="178">
        <v>6</v>
      </c>
      <c r="E59" s="176">
        <v>7.05</v>
      </c>
      <c r="F59" s="201">
        <f t="shared" si="3"/>
        <v>42.3</v>
      </c>
      <c r="G59" s="201">
        <f t="shared" si="4"/>
        <v>3.5249999999999999</v>
      </c>
    </row>
    <row r="60" spans="2:7" ht="22.5" customHeight="1" x14ac:dyDescent="0.2">
      <c r="B60" s="178">
        <f t="shared" si="5"/>
        <v>14</v>
      </c>
      <c r="C60" s="178" t="s">
        <v>273</v>
      </c>
      <c r="D60" s="178">
        <v>6</v>
      </c>
      <c r="E60" s="176">
        <v>24.33</v>
      </c>
      <c r="F60" s="201">
        <f t="shared" si="3"/>
        <v>145.97999999999999</v>
      </c>
      <c r="G60" s="201">
        <f t="shared" si="4"/>
        <v>12.164999999999999</v>
      </c>
    </row>
    <row r="61" spans="2:7" ht="22.5" customHeight="1" x14ac:dyDescent="0.2">
      <c r="B61" s="178">
        <f t="shared" si="5"/>
        <v>15</v>
      </c>
      <c r="C61" s="178" t="s">
        <v>274</v>
      </c>
      <c r="D61" s="178">
        <v>6</v>
      </c>
      <c r="E61" s="176">
        <v>15.38</v>
      </c>
      <c r="F61" s="201">
        <f t="shared" si="3"/>
        <v>92.28</v>
      </c>
      <c r="G61" s="201">
        <f t="shared" si="4"/>
        <v>7.69</v>
      </c>
    </row>
    <row r="62" spans="2:7" ht="22.5" customHeight="1" x14ac:dyDescent="0.2">
      <c r="B62" s="178">
        <f t="shared" si="5"/>
        <v>16</v>
      </c>
      <c r="C62" s="178" t="s">
        <v>275</v>
      </c>
      <c r="D62" s="178">
        <v>20</v>
      </c>
      <c r="E62" s="176">
        <v>4.91</v>
      </c>
      <c r="F62" s="201">
        <f t="shared" si="3"/>
        <v>98.2</v>
      </c>
      <c r="G62" s="201">
        <f t="shared" si="4"/>
        <v>8.1833333333333336</v>
      </c>
    </row>
    <row r="63" spans="2:7" ht="22.5" customHeight="1" x14ac:dyDescent="0.2">
      <c r="B63" s="178">
        <f t="shared" si="5"/>
        <v>17</v>
      </c>
      <c r="C63" s="178" t="s">
        <v>276</v>
      </c>
      <c r="D63" s="178">
        <v>6</v>
      </c>
      <c r="E63" s="176">
        <v>83.23</v>
      </c>
      <c r="F63" s="201">
        <f t="shared" si="3"/>
        <v>499.38</v>
      </c>
      <c r="G63" s="201">
        <f t="shared" si="4"/>
        <v>41.615000000000002</v>
      </c>
    </row>
    <row r="64" spans="2:7" ht="22.5" customHeight="1" x14ac:dyDescent="0.2">
      <c r="B64" s="178">
        <f t="shared" si="5"/>
        <v>18</v>
      </c>
      <c r="C64" s="178" t="s">
        <v>277</v>
      </c>
      <c r="D64" s="204">
        <v>200</v>
      </c>
      <c r="E64" s="176">
        <v>1.17</v>
      </c>
      <c r="F64" s="201">
        <f t="shared" si="3"/>
        <v>234</v>
      </c>
      <c r="G64" s="201">
        <f t="shared" si="4"/>
        <v>19.5</v>
      </c>
    </row>
    <row r="65" spans="2:7" ht="22.5" customHeight="1" x14ac:dyDescent="0.2">
      <c r="B65" s="178">
        <f t="shared" si="5"/>
        <v>19</v>
      </c>
      <c r="C65" s="178" t="s">
        <v>278</v>
      </c>
      <c r="D65" s="178">
        <v>10</v>
      </c>
      <c r="E65" s="176">
        <v>1.32</v>
      </c>
      <c r="F65" s="201">
        <f t="shared" si="3"/>
        <v>13.200000000000001</v>
      </c>
      <c r="G65" s="201">
        <f t="shared" si="4"/>
        <v>1.1000000000000001</v>
      </c>
    </row>
    <row r="66" spans="2:7" ht="22.5" customHeight="1" x14ac:dyDescent="0.2">
      <c r="B66" s="178">
        <f t="shared" si="5"/>
        <v>20</v>
      </c>
      <c r="C66" s="178" t="s">
        <v>279</v>
      </c>
      <c r="D66" s="178">
        <v>10</v>
      </c>
      <c r="E66" s="176">
        <v>1.65</v>
      </c>
      <c r="F66" s="201">
        <f t="shared" si="3"/>
        <v>16.5</v>
      </c>
      <c r="G66" s="201">
        <f t="shared" si="4"/>
        <v>1.375</v>
      </c>
    </row>
    <row r="67" spans="2:7" ht="22.5" customHeight="1" x14ac:dyDescent="0.2">
      <c r="B67" s="178">
        <f t="shared" si="5"/>
        <v>21</v>
      </c>
      <c r="C67" s="178" t="s">
        <v>280</v>
      </c>
      <c r="D67" s="178">
        <v>20</v>
      </c>
      <c r="E67" s="176">
        <v>139.91</v>
      </c>
      <c r="F67" s="201">
        <f t="shared" si="3"/>
        <v>2798.2</v>
      </c>
      <c r="G67" s="201">
        <f t="shared" si="4"/>
        <v>233.18333333333331</v>
      </c>
    </row>
    <row r="68" spans="2:7" ht="22.5" customHeight="1" x14ac:dyDescent="0.2">
      <c r="B68" s="178">
        <f t="shared" si="5"/>
        <v>22</v>
      </c>
      <c r="C68" s="178" t="s">
        <v>281</v>
      </c>
      <c r="D68" s="178">
        <v>6</v>
      </c>
      <c r="E68" s="176">
        <v>98.27</v>
      </c>
      <c r="F68" s="201">
        <f t="shared" si="3"/>
        <v>589.62</v>
      </c>
      <c r="G68" s="201">
        <f t="shared" si="4"/>
        <v>49.134999999999998</v>
      </c>
    </row>
    <row r="69" spans="2:7" ht="22.5" customHeight="1" x14ac:dyDescent="0.2">
      <c r="B69" s="178">
        <f t="shared" si="5"/>
        <v>23</v>
      </c>
      <c r="C69" s="178" t="s">
        <v>282</v>
      </c>
      <c r="D69" s="178">
        <v>4</v>
      </c>
      <c r="E69" s="176">
        <v>133.56</v>
      </c>
      <c r="F69" s="201">
        <f t="shared" si="3"/>
        <v>534.24</v>
      </c>
      <c r="G69" s="201">
        <f t="shared" si="4"/>
        <v>44.52</v>
      </c>
    </row>
    <row r="70" spans="2:7" ht="22.5" customHeight="1" x14ac:dyDescent="0.2">
      <c r="B70" s="178">
        <f t="shared" si="5"/>
        <v>24</v>
      </c>
      <c r="C70" s="178" t="s">
        <v>283</v>
      </c>
      <c r="D70" s="178">
        <v>4</v>
      </c>
      <c r="E70" s="176">
        <v>11.69</v>
      </c>
      <c r="F70" s="201">
        <f t="shared" si="3"/>
        <v>46.76</v>
      </c>
      <c r="G70" s="201">
        <f t="shared" si="4"/>
        <v>3.8966666666666665</v>
      </c>
    </row>
    <row r="71" spans="2:7" ht="22.5" customHeight="1" x14ac:dyDescent="0.2">
      <c r="B71" s="178">
        <f t="shared" si="5"/>
        <v>25</v>
      </c>
      <c r="C71" s="178" t="s">
        <v>284</v>
      </c>
      <c r="D71" s="178">
        <v>6</v>
      </c>
      <c r="E71" s="176">
        <v>20.98</v>
      </c>
      <c r="F71" s="201">
        <f t="shared" si="3"/>
        <v>125.88</v>
      </c>
      <c r="G71" s="201">
        <f t="shared" si="4"/>
        <v>10.49</v>
      </c>
    </row>
    <row r="72" spans="2:7" ht="22.5" customHeight="1" x14ac:dyDescent="0.2">
      <c r="B72" s="178">
        <f t="shared" si="5"/>
        <v>26</v>
      </c>
      <c r="C72" s="178" t="s">
        <v>285</v>
      </c>
      <c r="D72" s="178">
        <v>6</v>
      </c>
      <c r="E72" s="176">
        <v>23.26</v>
      </c>
      <c r="F72" s="201">
        <f t="shared" si="3"/>
        <v>139.56</v>
      </c>
      <c r="G72" s="201">
        <f t="shared" si="4"/>
        <v>11.63</v>
      </c>
    </row>
    <row r="73" spans="2:7" ht="22.5" customHeight="1" x14ac:dyDescent="0.2">
      <c r="B73" s="178">
        <f t="shared" si="5"/>
        <v>27</v>
      </c>
      <c r="C73" s="178" t="s">
        <v>286</v>
      </c>
      <c r="D73" s="178">
        <v>6</v>
      </c>
      <c r="E73" s="176">
        <v>13.06</v>
      </c>
      <c r="F73" s="201">
        <f t="shared" si="3"/>
        <v>78.36</v>
      </c>
      <c r="G73" s="201">
        <f t="shared" si="4"/>
        <v>6.53</v>
      </c>
    </row>
    <row r="74" spans="2:7" ht="22.5" customHeight="1" x14ac:dyDescent="0.2">
      <c r="B74" s="178">
        <f t="shared" si="5"/>
        <v>28</v>
      </c>
      <c r="C74" s="178" t="s">
        <v>287</v>
      </c>
      <c r="D74" s="178">
        <v>4</v>
      </c>
      <c r="E74" s="176">
        <v>79.33</v>
      </c>
      <c r="F74" s="201">
        <f t="shared" si="3"/>
        <v>317.32</v>
      </c>
      <c r="G74" s="201">
        <f t="shared" si="4"/>
        <v>26.443333333333332</v>
      </c>
    </row>
    <row r="75" spans="2:7" ht="22.5" customHeight="1" x14ac:dyDescent="0.2">
      <c r="B75" s="178">
        <f t="shared" si="5"/>
        <v>29</v>
      </c>
      <c r="C75" s="178" t="s">
        <v>288</v>
      </c>
      <c r="D75" s="178">
        <v>40</v>
      </c>
      <c r="E75" s="176">
        <v>0.97</v>
      </c>
      <c r="F75" s="201">
        <f t="shared" si="3"/>
        <v>38.799999999999997</v>
      </c>
      <c r="G75" s="201">
        <f t="shared" si="4"/>
        <v>3.2333333333333329</v>
      </c>
    </row>
    <row r="76" spans="2:7" ht="22.5" customHeight="1" x14ac:dyDescent="0.2">
      <c r="B76" s="178">
        <f t="shared" si="5"/>
        <v>30</v>
      </c>
      <c r="C76" s="178" t="s">
        <v>289</v>
      </c>
      <c r="D76" s="178">
        <v>10</v>
      </c>
      <c r="E76" s="176">
        <v>10.130000000000001</v>
      </c>
      <c r="F76" s="201">
        <f t="shared" si="3"/>
        <v>101.30000000000001</v>
      </c>
      <c r="G76" s="201">
        <f t="shared" si="4"/>
        <v>8.4416666666666682</v>
      </c>
    </row>
    <row r="77" spans="2:7" ht="22.5" customHeight="1" x14ac:dyDescent="0.2">
      <c r="B77" s="178">
        <f t="shared" si="5"/>
        <v>31</v>
      </c>
      <c r="C77" s="178" t="s">
        <v>290</v>
      </c>
      <c r="D77" s="178">
        <v>10</v>
      </c>
      <c r="E77" s="176">
        <v>1.93</v>
      </c>
      <c r="F77" s="201">
        <f t="shared" si="3"/>
        <v>19.3</v>
      </c>
      <c r="G77" s="201">
        <f t="shared" si="4"/>
        <v>1.6083333333333334</v>
      </c>
    </row>
    <row r="78" spans="2:7" ht="22.5" customHeight="1" x14ac:dyDescent="0.2">
      <c r="B78" s="178">
        <f t="shared" si="5"/>
        <v>32</v>
      </c>
      <c r="C78" s="178" t="s">
        <v>291</v>
      </c>
      <c r="D78" s="178">
        <v>20</v>
      </c>
      <c r="E78" s="176">
        <v>9.33</v>
      </c>
      <c r="F78" s="201">
        <f t="shared" si="3"/>
        <v>186.6</v>
      </c>
      <c r="G78" s="201">
        <f t="shared" si="4"/>
        <v>15.549999999999999</v>
      </c>
    </row>
    <row r="79" spans="2:7" ht="22.5" customHeight="1" x14ac:dyDescent="0.2">
      <c r="B79" s="178">
        <f t="shared" si="5"/>
        <v>33</v>
      </c>
      <c r="C79" s="178" t="s">
        <v>292</v>
      </c>
      <c r="D79" s="178">
        <v>40</v>
      </c>
      <c r="E79" s="176">
        <v>0.95</v>
      </c>
      <c r="F79" s="201">
        <f t="shared" si="3"/>
        <v>38</v>
      </c>
      <c r="G79" s="201">
        <f t="shared" si="4"/>
        <v>3.1666666666666665</v>
      </c>
    </row>
    <row r="80" spans="2:7" ht="22.5" customHeight="1" x14ac:dyDescent="0.2">
      <c r="B80" s="178">
        <f t="shared" si="5"/>
        <v>34</v>
      </c>
      <c r="C80" s="178" t="s">
        <v>293</v>
      </c>
      <c r="D80" s="178">
        <v>40</v>
      </c>
      <c r="E80" s="176">
        <v>0.53</v>
      </c>
      <c r="F80" s="201">
        <f t="shared" si="3"/>
        <v>21.200000000000003</v>
      </c>
      <c r="G80" s="201">
        <f t="shared" si="4"/>
        <v>1.7666666666666668</v>
      </c>
    </row>
    <row r="81" spans="2:14" ht="22.5" customHeight="1" x14ac:dyDescent="0.2">
      <c r="B81" s="178">
        <f t="shared" si="5"/>
        <v>35</v>
      </c>
      <c r="C81" s="178" t="s">
        <v>294</v>
      </c>
      <c r="D81" s="178">
        <v>40</v>
      </c>
      <c r="E81" s="176">
        <v>0.48</v>
      </c>
      <c r="F81" s="201">
        <f t="shared" si="3"/>
        <v>19.2</v>
      </c>
      <c r="G81" s="201">
        <f t="shared" si="4"/>
        <v>1.5999999999999999</v>
      </c>
    </row>
    <row r="82" spans="2:14" ht="22.5" customHeight="1" x14ac:dyDescent="0.2">
      <c r="B82" s="178">
        <f t="shared" si="5"/>
        <v>36</v>
      </c>
      <c r="C82" s="178" t="s">
        <v>295</v>
      </c>
      <c r="D82" s="178">
        <v>40</v>
      </c>
      <c r="E82" s="176">
        <v>0.59</v>
      </c>
      <c r="F82" s="201">
        <f t="shared" si="3"/>
        <v>23.599999999999998</v>
      </c>
      <c r="G82" s="201">
        <f t="shared" si="4"/>
        <v>1.9666666666666666</v>
      </c>
    </row>
    <row r="83" spans="2:14" ht="22.5" customHeight="1" x14ac:dyDescent="0.2">
      <c r="B83" s="178">
        <f t="shared" si="5"/>
        <v>37</v>
      </c>
      <c r="C83" s="178" t="s">
        <v>296</v>
      </c>
      <c r="D83" s="178">
        <v>20</v>
      </c>
      <c r="E83" s="176">
        <v>0.56999999999999995</v>
      </c>
      <c r="F83" s="201">
        <f t="shared" si="3"/>
        <v>11.399999999999999</v>
      </c>
      <c r="G83" s="201">
        <f t="shared" si="4"/>
        <v>0.94999999999999984</v>
      </c>
    </row>
    <row r="84" spans="2:14" ht="22.5" customHeight="1" x14ac:dyDescent="0.2">
      <c r="B84" s="178">
        <f t="shared" si="5"/>
        <v>38</v>
      </c>
      <c r="C84" s="178" t="s">
        <v>297</v>
      </c>
      <c r="D84" s="178">
        <v>20</v>
      </c>
      <c r="E84" s="176">
        <v>0.44</v>
      </c>
      <c r="F84" s="201">
        <f t="shared" si="3"/>
        <v>8.8000000000000007</v>
      </c>
      <c r="G84" s="201">
        <f t="shared" si="4"/>
        <v>0.73333333333333339</v>
      </c>
    </row>
    <row r="85" spans="2:14" ht="22.5" customHeight="1" x14ac:dyDescent="0.2">
      <c r="B85" s="178">
        <f t="shared" si="5"/>
        <v>39</v>
      </c>
      <c r="C85" s="178" t="s">
        <v>298</v>
      </c>
      <c r="D85" s="178">
        <v>20</v>
      </c>
      <c r="E85" s="176">
        <v>0.35000000000000003</v>
      </c>
      <c r="F85" s="201">
        <f t="shared" si="3"/>
        <v>7.0000000000000009</v>
      </c>
      <c r="G85" s="201">
        <f t="shared" si="4"/>
        <v>0.58333333333333337</v>
      </c>
    </row>
    <row r="86" spans="2:14" ht="22.5" customHeight="1" x14ac:dyDescent="0.2">
      <c r="B86" s="178">
        <f t="shared" si="5"/>
        <v>40</v>
      </c>
      <c r="C86" s="178" t="s">
        <v>299</v>
      </c>
      <c r="D86" s="178">
        <v>20</v>
      </c>
      <c r="E86" s="176">
        <v>0.46</v>
      </c>
      <c r="F86" s="201">
        <f t="shared" si="3"/>
        <v>9.2000000000000011</v>
      </c>
      <c r="G86" s="201">
        <f t="shared" si="4"/>
        <v>0.76666666666666672</v>
      </c>
    </row>
    <row r="87" spans="2:14" ht="22.5" customHeight="1" x14ac:dyDescent="0.2">
      <c r="B87" s="178">
        <f t="shared" si="5"/>
        <v>41</v>
      </c>
      <c r="C87" s="178" t="s">
        <v>300</v>
      </c>
      <c r="D87" s="178">
        <v>6</v>
      </c>
      <c r="E87" s="176">
        <v>23.75</v>
      </c>
      <c r="F87" s="201">
        <f t="shared" si="3"/>
        <v>142.5</v>
      </c>
      <c r="G87" s="201">
        <f t="shared" si="4"/>
        <v>11.875</v>
      </c>
    </row>
    <row r="88" spans="2:14" ht="22.5" customHeight="1" x14ac:dyDescent="0.2">
      <c r="B88" s="178">
        <f t="shared" si="5"/>
        <v>42</v>
      </c>
      <c r="C88" s="178" t="s">
        <v>301</v>
      </c>
      <c r="D88" s="178">
        <v>4</v>
      </c>
      <c r="E88" s="176">
        <v>20.49</v>
      </c>
      <c r="F88" s="201">
        <f t="shared" si="3"/>
        <v>81.96</v>
      </c>
      <c r="G88" s="201">
        <f t="shared" si="4"/>
        <v>6.8299999999999992</v>
      </c>
    </row>
    <row r="89" spans="2:14" ht="22.5" customHeight="1" x14ac:dyDescent="0.2">
      <c r="B89" s="178">
        <f t="shared" si="5"/>
        <v>43</v>
      </c>
      <c r="C89" s="178" t="s">
        <v>302</v>
      </c>
      <c r="D89" s="178">
        <v>4</v>
      </c>
      <c r="E89" s="176">
        <v>25.66</v>
      </c>
      <c r="F89" s="201">
        <f t="shared" si="3"/>
        <v>102.64</v>
      </c>
      <c r="G89" s="201">
        <f t="shared" si="4"/>
        <v>8.5533333333333328</v>
      </c>
    </row>
    <row r="90" spans="2:14" ht="22.5" customHeight="1" x14ac:dyDescent="0.2">
      <c r="B90" s="178">
        <f t="shared" si="5"/>
        <v>44</v>
      </c>
      <c r="C90" s="178" t="s">
        <v>303</v>
      </c>
      <c r="D90" s="178">
        <v>6</v>
      </c>
      <c r="E90" s="176">
        <v>4.24</v>
      </c>
      <c r="F90" s="201">
        <f t="shared" si="3"/>
        <v>25.44</v>
      </c>
      <c r="G90" s="201">
        <f t="shared" si="4"/>
        <v>2.12</v>
      </c>
    </row>
    <row r="91" spans="2:14" ht="22.5" customHeight="1" x14ac:dyDescent="0.2">
      <c r="B91" s="178">
        <f t="shared" si="5"/>
        <v>45</v>
      </c>
      <c r="C91" s="178" t="s">
        <v>304</v>
      </c>
      <c r="D91" s="178">
        <v>6</v>
      </c>
      <c r="E91" s="176">
        <v>12.69</v>
      </c>
      <c r="F91" s="201">
        <f t="shared" si="3"/>
        <v>76.14</v>
      </c>
      <c r="G91" s="201">
        <f t="shared" si="4"/>
        <v>6.3449999999999998</v>
      </c>
    </row>
    <row r="92" spans="2:14" ht="22.5" customHeight="1" x14ac:dyDescent="0.2">
      <c r="B92" s="178">
        <f t="shared" si="5"/>
        <v>46</v>
      </c>
      <c r="C92" s="178" t="s">
        <v>305</v>
      </c>
      <c r="D92" s="178">
        <v>12</v>
      </c>
      <c r="E92" s="176">
        <v>12.1</v>
      </c>
      <c r="F92" s="201">
        <f t="shared" si="3"/>
        <v>145.19999999999999</v>
      </c>
      <c r="G92" s="201">
        <f t="shared" si="4"/>
        <v>12.1</v>
      </c>
    </row>
    <row r="93" spans="2:14" ht="22.5" customHeight="1" x14ac:dyDescent="0.2">
      <c r="B93" s="178">
        <f t="shared" si="5"/>
        <v>47</v>
      </c>
      <c r="C93" s="178" t="s">
        <v>306</v>
      </c>
      <c r="D93" s="178">
        <v>8</v>
      </c>
      <c r="E93" s="176">
        <v>34.99</v>
      </c>
      <c r="F93" s="201">
        <f t="shared" si="3"/>
        <v>279.92</v>
      </c>
      <c r="G93" s="201">
        <f t="shared" si="4"/>
        <v>23.326666666666668</v>
      </c>
    </row>
    <row r="94" spans="2:14" ht="22.5" customHeight="1" x14ac:dyDescent="0.2">
      <c r="B94" s="178">
        <f t="shared" si="5"/>
        <v>48</v>
      </c>
      <c r="C94" s="178" t="s">
        <v>307</v>
      </c>
      <c r="D94" s="204">
        <v>4</v>
      </c>
      <c r="E94" s="176">
        <v>22.310000000000002</v>
      </c>
      <c r="F94" s="201">
        <f t="shared" si="3"/>
        <v>89.240000000000009</v>
      </c>
      <c r="G94" s="201">
        <f t="shared" si="4"/>
        <v>7.4366666666666674</v>
      </c>
    </row>
    <row r="95" spans="2:14" ht="22.5" customHeight="1" x14ac:dyDescent="0.2">
      <c r="B95" s="178">
        <f t="shared" si="5"/>
        <v>49</v>
      </c>
      <c r="C95" s="178" t="s">
        <v>308</v>
      </c>
      <c r="D95" s="178">
        <v>2</v>
      </c>
      <c r="E95" s="176">
        <v>13.62</v>
      </c>
      <c r="F95" s="201">
        <f t="shared" si="3"/>
        <v>27.24</v>
      </c>
      <c r="G95" s="201">
        <f t="shared" si="4"/>
        <v>2.27</v>
      </c>
    </row>
    <row r="96" spans="2:14" ht="22.5" x14ac:dyDescent="0.2">
      <c r="B96" s="178">
        <f t="shared" si="5"/>
        <v>50</v>
      </c>
      <c r="C96" s="178" t="s">
        <v>309</v>
      </c>
      <c r="D96" s="178">
        <v>4</v>
      </c>
      <c r="E96" s="176">
        <v>8.34</v>
      </c>
      <c r="F96" s="201">
        <f t="shared" si="3"/>
        <v>33.36</v>
      </c>
      <c r="G96" s="201">
        <f t="shared" si="4"/>
        <v>2.78</v>
      </c>
      <c r="N96" s="203"/>
    </row>
    <row r="97" spans="2:7" ht="22.5" x14ac:dyDescent="0.2">
      <c r="B97" s="178">
        <f t="shared" si="5"/>
        <v>51</v>
      </c>
      <c r="C97" s="178" t="s">
        <v>310</v>
      </c>
      <c r="D97" s="178">
        <v>6</v>
      </c>
      <c r="E97" s="176">
        <v>16.71</v>
      </c>
      <c r="F97" s="201">
        <f t="shared" si="3"/>
        <v>100.26</v>
      </c>
      <c r="G97" s="201">
        <f t="shared" si="4"/>
        <v>8.3550000000000004</v>
      </c>
    </row>
    <row r="98" spans="2:7" ht="22.5" x14ac:dyDescent="0.2">
      <c r="B98" s="178">
        <f t="shared" si="5"/>
        <v>52</v>
      </c>
      <c r="C98" s="178" t="s">
        <v>311</v>
      </c>
      <c r="D98" s="178">
        <v>10</v>
      </c>
      <c r="E98" s="176">
        <v>21.02</v>
      </c>
      <c r="F98" s="201">
        <f t="shared" si="3"/>
        <v>210.2</v>
      </c>
      <c r="G98" s="201">
        <f t="shared" si="4"/>
        <v>17.516666666666666</v>
      </c>
    </row>
    <row r="99" spans="2:7" ht="22.5" x14ac:dyDescent="0.2">
      <c r="B99" s="178">
        <f t="shared" si="5"/>
        <v>53</v>
      </c>
      <c r="C99" s="178" t="s">
        <v>312</v>
      </c>
      <c r="D99" s="204">
        <v>4</v>
      </c>
      <c r="E99" s="176">
        <v>21.15</v>
      </c>
      <c r="F99" s="201">
        <f t="shared" si="3"/>
        <v>84.6</v>
      </c>
      <c r="G99" s="201">
        <f t="shared" si="4"/>
        <v>7.05</v>
      </c>
    </row>
    <row r="100" spans="2:7" ht="22.5" x14ac:dyDescent="0.2">
      <c r="B100" s="178">
        <f t="shared" si="5"/>
        <v>54</v>
      </c>
      <c r="C100" s="178" t="s">
        <v>313</v>
      </c>
      <c r="D100" s="178">
        <v>8</v>
      </c>
      <c r="E100" s="176">
        <v>48.72</v>
      </c>
      <c r="F100" s="201">
        <f t="shared" si="3"/>
        <v>389.76</v>
      </c>
      <c r="G100" s="201">
        <f t="shared" si="4"/>
        <v>32.479999999999997</v>
      </c>
    </row>
    <row r="101" spans="2:7" ht="22.5" x14ac:dyDescent="0.2">
      <c r="B101" s="178">
        <f t="shared" si="5"/>
        <v>55</v>
      </c>
      <c r="C101" s="178" t="s">
        <v>314</v>
      </c>
      <c r="D101" s="178">
        <v>14</v>
      </c>
      <c r="E101" s="176">
        <v>46.66</v>
      </c>
      <c r="F101" s="201">
        <f t="shared" si="3"/>
        <v>653.24</v>
      </c>
      <c r="G101" s="201">
        <f t="shared" si="4"/>
        <v>54.436666666666667</v>
      </c>
    </row>
    <row r="102" spans="2:7" ht="22.5" x14ac:dyDescent="0.2">
      <c r="B102" s="178">
        <f t="shared" si="5"/>
        <v>56</v>
      </c>
      <c r="C102" s="178" t="s">
        <v>315</v>
      </c>
      <c r="D102" s="178">
        <v>2</v>
      </c>
      <c r="E102" s="176">
        <v>7.79</v>
      </c>
      <c r="F102" s="201">
        <f t="shared" si="3"/>
        <v>15.58</v>
      </c>
      <c r="G102" s="201">
        <f t="shared" si="4"/>
        <v>1.2983333333333333</v>
      </c>
    </row>
    <row r="103" spans="2:7" ht="22.5" x14ac:dyDescent="0.2">
      <c r="B103" s="178">
        <f t="shared" si="5"/>
        <v>57</v>
      </c>
      <c r="C103" s="178" t="s">
        <v>316</v>
      </c>
      <c r="D103" s="178">
        <v>2</v>
      </c>
      <c r="E103" s="176">
        <v>67.64</v>
      </c>
      <c r="F103" s="201">
        <f t="shared" si="3"/>
        <v>135.28</v>
      </c>
      <c r="G103" s="201">
        <f t="shared" si="4"/>
        <v>11.273333333333333</v>
      </c>
    </row>
    <row r="104" spans="2:7" ht="12.75" x14ac:dyDescent="0.2">
      <c r="B104" s="178">
        <f t="shared" si="5"/>
        <v>58</v>
      </c>
      <c r="C104" s="178" t="s">
        <v>317</v>
      </c>
      <c r="D104" s="178">
        <v>8</v>
      </c>
      <c r="E104" s="176">
        <v>58.28</v>
      </c>
      <c r="F104" s="201">
        <f t="shared" si="3"/>
        <v>466.24</v>
      </c>
      <c r="G104" s="201">
        <f t="shared" si="4"/>
        <v>38.853333333333332</v>
      </c>
    </row>
    <row r="105" spans="2:7" ht="22.5" x14ac:dyDescent="0.2">
      <c r="B105" s="178">
        <f t="shared" si="5"/>
        <v>59</v>
      </c>
      <c r="C105" s="178" t="s">
        <v>331</v>
      </c>
      <c r="D105" s="178">
        <v>6</v>
      </c>
      <c r="E105" s="176">
        <v>10.76</v>
      </c>
      <c r="F105" s="201">
        <f t="shared" si="3"/>
        <v>64.56</v>
      </c>
      <c r="G105" s="201">
        <f t="shared" si="4"/>
        <v>5.38</v>
      </c>
    </row>
    <row r="106" spans="2:7" ht="22.5" x14ac:dyDescent="0.2">
      <c r="B106" s="178">
        <f t="shared" si="5"/>
        <v>60</v>
      </c>
      <c r="C106" s="178" t="s">
        <v>318</v>
      </c>
      <c r="D106" s="178">
        <v>6</v>
      </c>
      <c r="E106" s="176">
        <v>6.17</v>
      </c>
      <c r="F106" s="201">
        <f t="shared" si="3"/>
        <v>37.019999999999996</v>
      </c>
      <c r="G106" s="201">
        <f t="shared" si="4"/>
        <v>3.0849999999999995</v>
      </c>
    </row>
    <row r="107" spans="2:7" ht="22.5" x14ac:dyDescent="0.2">
      <c r="B107" s="178">
        <f t="shared" si="5"/>
        <v>61</v>
      </c>
      <c r="C107" s="178" t="s">
        <v>319</v>
      </c>
      <c r="D107" s="178">
        <v>2</v>
      </c>
      <c r="E107" s="176">
        <v>34.6</v>
      </c>
      <c r="F107" s="201">
        <f t="shared" si="3"/>
        <v>69.2</v>
      </c>
      <c r="G107" s="201">
        <f t="shared" si="4"/>
        <v>5.7666666666666666</v>
      </c>
    </row>
    <row r="108" spans="2:7" ht="22.5" x14ac:dyDescent="0.2">
      <c r="B108" s="178">
        <f t="shared" si="5"/>
        <v>62</v>
      </c>
      <c r="C108" s="178" t="s">
        <v>320</v>
      </c>
      <c r="D108" s="178">
        <v>8</v>
      </c>
      <c r="E108" s="176">
        <v>71.88</v>
      </c>
      <c r="F108" s="201">
        <f t="shared" si="3"/>
        <v>575.04</v>
      </c>
      <c r="G108" s="201">
        <f t="shared" si="4"/>
        <v>47.919999999999995</v>
      </c>
    </row>
    <row r="109" spans="2:7" ht="22.5" x14ac:dyDescent="0.2">
      <c r="B109" s="178">
        <f t="shared" si="5"/>
        <v>63</v>
      </c>
      <c r="C109" s="178" t="s">
        <v>321</v>
      </c>
      <c r="D109" s="178">
        <v>6</v>
      </c>
      <c r="E109" s="176">
        <v>41.59</v>
      </c>
      <c r="F109" s="201">
        <f t="shared" si="3"/>
        <v>249.54000000000002</v>
      </c>
      <c r="G109" s="201">
        <f t="shared" si="4"/>
        <v>20.795000000000002</v>
      </c>
    </row>
    <row r="110" spans="2:7" ht="22.5" x14ac:dyDescent="0.2">
      <c r="B110" s="178">
        <f t="shared" si="5"/>
        <v>64</v>
      </c>
      <c r="C110" s="178" t="s">
        <v>322</v>
      </c>
      <c r="D110" s="178">
        <v>4</v>
      </c>
      <c r="E110" s="176">
        <v>41.19</v>
      </c>
      <c r="F110" s="201">
        <f t="shared" si="3"/>
        <v>164.76</v>
      </c>
      <c r="G110" s="201">
        <f t="shared" si="4"/>
        <v>13.729999999999999</v>
      </c>
    </row>
    <row r="111" spans="2:7" ht="22.5" x14ac:dyDescent="0.2">
      <c r="B111" s="178">
        <f t="shared" si="5"/>
        <v>65</v>
      </c>
      <c r="C111" s="178" t="s">
        <v>332</v>
      </c>
      <c r="D111" s="178">
        <v>2</v>
      </c>
      <c r="E111" s="176">
        <v>4.62</v>
      </c>
      <c r="F111" s="201">
        <f t="shared" si="3"/>
        <v>9.24</v>
      </c>
      <c r="G111" s="201">
        <f t="shared" si="4"/>
        <v>0.77</v>
      </c>
    </row>
    <row r="112" spans="2:7" ht="22.5" x14ac:dyDescent="0.2">
      <c r="B112" s="178">
        <f t="shared" si="5"/>
        <v>66</v>
      </c>
      <c r="C112" s="178" t="s">
        <v>323</v>
      </c>
      <c r="D112" s="178">
        <v>12</v>
      </c>
      <c r="E112" s="176">
        <v>48.319999999999993</v>
      </c>
      <c r="F112" s="201">
        <f t="shared" ref="F112:F120" si="6">D112*E112</f>
        <v>579.83999999999992</v>
      </c>
      <c r="G112" s="201">
        <f t="shared" ref="G112:G120" si="7">F112/12</f>
        <v>48.319999999999993</v>
      </c>
    </row>
    <row r="113" spans="2:7" ht="22.5" x14ac:dyDescent="0.2">
      <c r="B113" s="178">
        <f t="shared" ref="B113:B120" si="8">B112+1</f>
        <v>67</v>
      </c>
      <c r="C113" s="178" t="s">
        <v>324</v>
      </c>
      <c r="D113" s="178">
        <v>6</v>
      </c>
      <c r="E113" s="176">
        <v>13.42</v>
      </c>
      <c r="F113" s="201">
        <f t="shared" si="6"/>
        <v>80.52</v>
      </c>
      <c r="G113" s="201">
        <f t="shared" si="7"/>
        <v>6.71</v>
      </c>
    </row>
    <row r="114" spans="2:7" ht="22.5" x14ac:dyDescent="0.2">
      <c r="B114" s="178">
        <f t="shared" si="8"/>
        <v>68</v>
      </c>
      <c r="C114" s="178" t="s">
        <v>333</v>
      </c>
      <c r="D114" s="178">
        <v>8</v>
      </c>
      <c r="E114" s="176">
        <v>14.659999999999998</v>
      </c>
      <c r="F114" s="201">
        <f t="shared" si="6"/>
        <v>117.27999999999999</v>
      </c>
      <c r="G114" s="201">
        <f t="shared" si="7"/>
        <v>9.7733333333333317</v>
      </c>
    </row>
    <row r="115" spans="2:7" ht="22.5" x14ac:dyDescent="0.2">
      <c r="B115" s="178">
        <f t="shared" si="8"/>
        <v>69</v>
      </c>
      <c r="C115" s="178" t="s">
        <v>325</v>
      </c>
      <c r="D115" s="178">
        <v>6</v>
      </c>
      <c r="E115" s="176">
        <v>22.81</v>
      </c>
      <c r="F115" s="201">
        <f t="shared" si="6"/>
        <v>136.85999999999999</v>
      </c>
      <c r="G115" s="201">
        <f t="shared" si="7"/>
        <v>11.404999999999999</v>
      </c>
    </row>
    <row r="116" spans="2:7" ht="22.5" x14ac:dyDescent="0.2">
      <c r="B116" s="178">
        <f t="shared" si="8"/>
        <v>70</v>
      </c>
      <c r="C116" s="178" t="s">
        <v>326</v>
      </c>
      <c r="D116" s="178">
        <v>6</v>
      </c>
      <c r="E116" s="176">
        <v>28.22</v>
      </c>
      <c r="F116" s="201">
        <f t="shared" si="6"/>
        <v>169.32</v>
      </c>
      <c r="G116" s="201">
        <f t="shared" si="7"/>
        <v>14.11</v>
      </c>
    </row>
    <row r="117" spans="2:7" ht="22.5" x14ac:dyDescent="0.2">
      <c r="B117" s="178">
        <f t="shared" si="8"/>
        <v>71</v>
      </c>
      <c r="C117" s="178" t="s">
        <v>327</v>
      </c>
      <c r="D117" s="178">
        <v>8</v>
      </c>
      <c r="E117" s="176">
        <v>31.21</v>
      </c>
      <c r="F117" s="201">
        <f t="shared" si="6"/>
        <v>249.68</v>
      </c>
      <c r="G117" s="201">
        <f t="shared" si="7"/>
        <v>20.806666666666668</v>
      </c>
    </row>
    <row r="118" spans="2:7" ht="22.5" x14ac:dyDescent="0.2">
      <c r="B118" s="178">
        <f t="shared" si="8"/>
        <v>72</v>
      </c>
      <c r="C118" s="178" t="s">
        <v>328</v>
      </c>
      <c r="D118" s="178">
        <v>6</v>
      </c>
      <c r="E118" s="176">
        <v>18.93</v>
      </c>
      <c r="F118" s="201">
        <f t="shared" si="6"/>
        <v>113.58</v>
      </c>
      <c r="G118" s="201">
        <f t="shared" si="7"/>
        <v>9.4649999999999999</v>
      </c>
    </row>
    <row r="119" spans="2:7" ht="22.5" x14ac:dyDescent="0.2">
      <c r="B119" s="178">
        <f t="shared" si="8"/>
        <v>73</v>
      </c>
      <c r="C119" s="178" t="s">
        <v>329</v>
      </c>
      <c r="D119" s="178">
        <v>8</v>
      </c>
      <c r="E119" s="176">
        <v>32.5</v>
      </c>
      <c r="F119" s="201">
        <f t="shared" si="6"/>
        <v>260</v>
      </c>
      <c r="G119" s="201">
        <f t="shared" si="7"/>
        <v>21.666666666666668</v>
      </c>
    </row>
    <row r="120" spans="2:7" ht="22.5" x14ac:dyDescent="0.2">
      <c r="B120" s="178">
        <f t="shared" si="8"/>
        <v>74</v>
      </c>
      <c r="C120" s="178" t="s">
        <v>330</v>
      </c>
      <c r="D120" s="178">
        <v>2</v>
      </c>
      <c r="E120" s="176">
        <v>40.04</v>
      </c>
      <c r="F120" s="201">
        <f t="shared" si="6"/>
        <v>80.08</v>
      </c>
      <c r="G120" s="201">
        <f t="shared" si="7"/>
        <v>6.6733333333333329</v>
      </c>
    </row>
    <row r="121" spans="2:7" x14ac:dyDescent="0.2">
      <c r="B121" s="297" t="s">
        <v>337</v>
      </c>
      <c r="C121" s="297"/>
      <c r="D121" s="297"/>
      <c r="E121" s="297"/>
      <c r="F121" s="297"/>
      <c r="G121" s="202">
        <f>SUM(G47:G120)</f>
        <v>1100.5999999999999</v>
      </c>
    </row>
    <row r="122" spans="2:7" x14ac:dyDescent="0.2">
      <c r="B122" s="297" t="s">
        <v>338</v>
      </c>
      <c r="C122" s="297"/>
      <c r="D122" s="297"/>
      <c r="E122" s="297"/>
      <c r="F122" s="297"/>
      <c r="G122" s="202">
        <f>G121/4</f>
        <v>275.14999999999998</v>
      </c>
    </row>
  </sheetData>
  <mergeCells count="17">
    <mergeCell ref="B122:F122"/>
    <mergeCell ref="B45:G45"/>
    <mergeCell ref="B19:G19"/>
    <mergeCell ref="B2:G2"/>
    <mergeCell ref="B17:G17"/>
    <mergeCell ref="B5:C5"/>
    <mergeCell ref="B8:F8"/>
    <mergeCell ref="B4:G4"/>
    <mergeCell ref="B10:G10"/>
    <mergeCell ref="B11:C11"/>
    <mergeCell ref="B14:F14"/>
    <mergeCell ref="B20:C20"/>
    <mergeCell ref="Q23:U24"/>
    <mergeCell ref="Q21:U22"/>
    <mergeCell ref="B46:C46"/>
    <mergeCell ref="B121:F121"/>
    <mergeCell ref="B43:F43"/>
  </mergeCells>
  <pageMargins left="0.511811024" right="0.511811024" top="0.78740157499999996" bottom="0.78740157499999996" header="0.31496062000000002" footer="0.31496062000000002"/>
  <pageSetup paperSize="9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Quadro resumo</vt:lpstr>
      <vt:lpstr>Médico do Trabalho</vt:lpstr>
      <vt:lpstr>Psiquiatra</vt:lpstr>
      <vt:lpstr>Nutricionista</vt:lpstr>
      <vt:lpstr>Téc. de Enfermagem</vt:lpstr>
      <vt:lpstr>Psicólogo</vt:lpstr>
      <vt:lpstr>Fisioterapeuta</vt:lpstr>
      <vt:lpstr>Assistente Social</vt:lpstr>
      <vt:lpstr>Insumos</vt:lpstr>
      <vt:lpstr>'Assistente Social'!Area_de_impressao</vt:lpstr>
      <vt:lpstr>Fisioterapeuta!Area_de_impressao</vt:lpstr>
      <vt:lpstr>'Médico do Trabalho'!Area_de_impressao</vt:lpstr>
      <vt:lpstr>Nutricionista!Area_de_impressao</vt:lpstr>
      <vt:lpstr>Psicólogo!Area_de_impressao</vt:lpstr>
      <vt:lpstr>Psiquiatra!Area_de_impressao</vt:lpstr>
      <vt:lpstr>'Téc. de Enfermagem'!Area_de_impressao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Jomar Rolland Braga Neto</cp:lastModifiedBy>
  <cp:lastPrinted>2025-04-10T14:58:52Z</cp:lastPrinted>
  <dcterms:created xsi:type="dcterms:W3CDTF">2010-12-08T17:56:29Z</dcterms:created>
  <dcterms:modified xsi:type="dcterms:W3CDTF">2025-05-12T12:11:51Z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