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mar\Downloads\"/>
    </mc:Choice>
  </mc:AlternateContent>
  <xr:revisionPtr revIDLastSave="0" documentId="8_{392950D8-8C27-4ECE-9FE5-766635A7E5AF}" xr6:coauthVersionLast="47" xr6:coauthVersionMax="47" xr10:uidLastSave="{00000000-0000-0000-0000-000000000000}"/>
  <bookViews>
    <workbookView xWindow="3060" yWindow="510" windowWidth="15915" windowHeight="11235" tabRatio="877" activeTab="1" xr2:uid="{00000000-000D-0000-FFFF-FFFF00000000}"/>
  </bookViews>
  <sheets>
    <sheet name="Quadro resumo" sheetId="7" r:id="rId1"/>
    <sheet name="Arquiteto" sheetId="27" r:id="rId2"/>
    <sheet name="Insumos" sheetId="23" r:id="rId3"/>
  </sheets>
  <definedNames>
    <definedName name="_xlnm.Print_Area" localSheetId="1">Arquiteto!$A$1:$I$152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7" l="1"/>
  <c r="H40" i="23"/>
  <c r="H62" i="27"/>
  <c r="H67" i="27" l="1"/>
  <c r="G148" i="27"/>
  <c r="G147" i="27"/>
  <c r="G146" i="27"/>
  <c r="G121" i="27"/>
  <c r="G50" i="27"/>
  <c r="G57" i="27" s="1"/>
  <c r="G43" i="27"/>
  <c r="G42" i="27"/>
  <c r="H27" i="27"/>
  <c r="H26" i="27"/>
  <c r="H36" i="27" l="1"/>
  <c r="H31" i="27" s="1"/>
  <c r="H35" i="27"/>
  <c r="H30" i="27" s="1"/>
  <c r="H29" i="27"/>
  <c r="H73" i="27"/>
  <c r="H28" i="27"/>
  <c r="G44" i="27"/>
  <c r="H33" i="27" l="1"/>
  <c r="H43" i="27" s="1"/>
  <c r="H131" i="27" l="1"/>
  <c r="H42" i="27"/>
  <c r="H44" i="27" s="1"/>
  <c r="H145" i="27" s="1"/>
  <c r="H54" i="27" l="1"/>
  <c r="H53" i="27"/>
  <c r="H52" i="27"/>
  <c r="H56" i="27"/>
  <c r="H80" i="27" s="1"/>
  <c r="H49" i="27"/>
  <c r="H55" i="27"/>
  <c r="H50" i="27"/>
  <c r="H71" i="27"/>
  <c r="H48" i="27"/>
  <c r="H83" i="27" l="1"/>
  <c r="H82" i="27" s="1"/>
  <c r="H81" i="27"/>
  <c r="H79" i="27" s="1"/>
  <c r="H57" i="27"/>
  <c r="H84" i="27" s="1"/>
  <c r="H72" i="27" l="1"/>
  <c r="H74" i="27" s="1"/>
  <c r="H85" i="27"/>
  <c r="H98" i="27" l="1"/>
  <c r="H99" i="27" s="1"/>
  <c r="H104" i="27" s="1"/>
  <c r="H132" i="27"/>
  <c r="H93" i="27"/>
  <c r="H92" i="27" s="1"/>
  <c r="H133" i="27"/>
  <c r="H91" i="27" l="1"/>
  <c r="H94" i="27" s="1"/>
  <c r="H103" i="27" s="1"/>
  <c r="H144" i="27" l="1"/>
  <c r="H146" i="27" s="1"/>
  <c r="H105" i="27"/>
  <c r="H134" i="27" s="1"/>
  <c r="H147" i="27" l="1"/>
  <c r="H148" i="27" s="1"/>
  <c r="H149" i="27" l="1"/>
  <c r="G40" i="23"/>
  <c r="G41" i="23" l="1"/>
  <c r="G42" i="23"/>
  <c r="G43" i="23"/>
  <c r="G44" i="23"/>
  <c r="G45" i="23"/>
  <c r="G46" i="23"/>
  <c r="G47" i="23"/>
  <c r="G48" i="23"/>
  <c r="G49" i="23"/>
  <c r="H23" i="23"/>
  <c r="H24" i="23"/>
  <c r="H25" i="23"/>
  <c r="H26" i="23"/>
  <c r="H27" i="23"/>
  <c r="H28" i="23"/>
  <c r="H29" i="23"/>
  <c r="H30" i="23"/>
  <c r="H31" i="23"/>
  <c r="F22" i="23"/>
  <c r="G22" i="23" s="1"/>
  <c r="G32" i="23" s="1"/>
  <c r="F6" i="23" l="1"/>
  <c r="G6" i="23" s="1"/>
  <c r="F5" i="23"/>
  <c r="G5" i="23" s="1"/>
  <c r="I23" i="23"/>
  <c r="I24" i="23"/>
  <c r="I25" i="23"/>
  <c r="I26" i="23"/>
  <c r="I27" i="23"/>
  <c r="I28" i="23"/>
  <c r="I29" i="23"/>
  <c r="I30" i="23"/>
  <c r="I31" i="23"/>
  <c r="H41" i="23"/>
  <c r="H50" i="23" s="1"/>
  <c r="H42" i="23"/>
  <c r="H43" i="23"/>
  <c r="H44" i="23"/>
  <c r="H45" i="23"/>
  <c r="H46" i="23"/>
  <c r="H47" i="23"/>
  <c r="H48" i="23"/>
  <c r="H49" i="23"/>
  <c r="A41" i="23"/>
  <c r="A42" i="23" s="1"/>
  <c r="A43" i="23" s="1"/>
  <c r="A44" i="23" s="1"/>
  <c r="A45" i="23" s="1"/>
  <c r="A46" i="23" s="1"/>
  <c r="A47" i="23" s="1"/>
  <c r="A48" i="23" s="1"/>
  <c r="A49" i="23" s="1"/>
  <c r="A23" i="23"/>
  <c r="A24" i="23" s="1"/>
  <c r="A25" i="23" s="1"/>
  <c r="A26" i="23" s="1"/>
  <c r="A27" i="23" s="1"/>
  <c r="A28" i="23" s="1"/>
  <c r="A29" i="23" s="1"/>
  <c r="A30" i="23" s="1"/>
  <c r="A31" i="23" s="1"/>
  <c r="A6" i="23"/>
  <c r="A7" i="23" s="1"/>
  <c r="A8" i="23" s="1"/>
  <c r="A9" i="23" s="1"/>
  <c r="A10" i="23" s="1"/>
  <c r="A11" i="23" s="1"/>
  <c r="A12" i="23" s="1"/>
  <c r="A13" i="23" s="1"/>
  <c r="A14" i="23" s="1"/>
  <c r="G15" i="23" l="1"/>
  <c r="H110" i="27" s="1"/>
  <c r="H111" i="27"/>
  <c r="H112" i="27" l="1"/>
  <c r="H114" i="27" s="1"/>
  <c r="H135" i="27" s="1"/>
  <c r="H136" i="27" s="1"/>
  <c r="H119" i="27" l="1"/>
  <c r="H120" i="27" s="1"/>
  <c r="H121" i="27" l="1"/>
  <c r="H124" i="27" l="1"/>
  <c r="H122" i="27"/>
  <c r="H123" i="27"/>
  <c r="H125" i="27" l="1"/>
  <c r="H137" i="27" l="1"/>
  <c r="H138" i="27" l="1"/>
  <c r="C10" i="7"/>
  <c r="E9" i="7" l="1"/>
  <c r="F9" i="7" s="1"/>
  <c r="G9" i="7" s="1"/>
  <c r="H143" i="27"/>
  <c r="H150" i="27" l="1"/>
  <c r="G10" i="7"/>
  <c r="G11" i="7" s="1"/>
  <c r="F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2427D75A-461C-461C-B0D8-9609D11E0A06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80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1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2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3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4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4" authorId="1" shapeId="0" xr:uid="{00000000-0006-0000-0100-000018000000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4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8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90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1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2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3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7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8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<sst xmlns="http://schemas.openxmlformats.org/spreadsheetml/2006/main" count="337" uniqueCount="225">
  <si>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</si>
  <si>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</si>
  <si>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</si>
  <si>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</si>
  <si>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</si>
  <si>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</si>
  <si>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</si>
  <si>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</si>
  <si>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</si>
  <si>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</si>
  <si>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</si>
  <si>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</si>
  <si>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</si>
  <si>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</si>
  <si>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</si>
  <si>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</si>
  <si>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</si>
  <si>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</si>
  <si>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</si>
  <si>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</si>
  <si>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</si>
  <si>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</si>
  <si>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</si>
  <si>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</si>
  <si>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</si>
  <si>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</si>
  <si>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</si>
  <si>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</si>
  <si>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</si>
  <si>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</si>
  <si>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</si>
  <si>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</si>
  <si>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</si>
  <si>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</si>
  <si>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</si>
  <si>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</si>
  <si>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</si>
  <si>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</si>
  <si>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</si>
  <si>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</si>
  <si>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</si>
  <si>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</si>
  <si>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</si>
  <si>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</si>
  <si>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</si>
  <si>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</si>
  <si>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</si>
  <si>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</si>
  <si>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</si>
  <si>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</si>
  <si>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</si>
  <si>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</si>
  <si>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</si>
  <si>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</si>
  <si>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</si>
  <si>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</si>
  <si>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</si>
  <si>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</si>
  <si>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</si>
  <si>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</si>
  <si>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</si>
  <si>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</si>
  <si>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</si>
  <si>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</si>
  <si>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</si>
  <si>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</si>
  <si>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</si>
  <si>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</si>
  <si>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</si>
  <si>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</si>
  <si>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</si>
  <si>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</si>
  <si>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</si>
  <si>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</si>
  <si>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</si>
  <si>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</si>
  <si>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</si>
  <si>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</si>
  <si>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</si>
  <si>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</si>
  <si>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</si>
  <si>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</si>
  <si>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</si>
  <si>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</si>
  <si>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</si>
  <si>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</si>
  <si>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</si>
  <si>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</si>
  <si>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</si>
  <si>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</si>
  <si>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</si>
  <si>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</si>
  <si>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</si>
  <si>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</si>
  <si>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</si>
  <si>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</si>
  <si>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</si>
  <si>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</si>
  <si>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</si>
  <si>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</si>
  <si>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</si>
  <si>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</si>
  <si>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</si>
  <si>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</si>
  <si>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</si>
  <si>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</si>
  <si>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</si>
  <si>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</si>
  <si>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</si>
  <si>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</si>
  <si>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</si>
  <si>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</si>
  <si>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</si>
  <si>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</si>
  <si>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</si>
  <si>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</si>
  <si>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</si>
  <si>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</si>
  <si>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MATERIAIS</t>
  </si>
  <si>
    <t>EQUIPAMENTOS</t>
  </si>
  <si>
    <t>Investimento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</si>
  <si>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</si>
  <si>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</si>
  <si>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</si>
  <si>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</si>
  <si>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</si>
  <si>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</si>
  <si>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mensal</t>
  </si>
  <si>
    <t>Quant. de postos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</si>
  <si>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</si>
  <si>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</si>
  <si>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</si>
  <si>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</si>
  <si>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</si>
  <si>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</si>
  <si>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</si>
  <si>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</si>
  <si>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</si>
  <si>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</si>
  <si>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</si>
  <si>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</si>
  <si>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</si>
  <si>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</si>
  <si>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</si>
  <si>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</si>
  <si>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</si>
  <si>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</si>
  <si>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</si>
  <si>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</si>
  <si>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</si>
  <si>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</si>
  <si>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</si>
  <si>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</si>
  <si>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</si>
  <si>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</si>
  <si>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</si>
  <si>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</si>
  <si>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</si>
  <si>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</si>
  <si>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</si>
  <si>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</si>
  <si>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</si>
  <si>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</si>
  <si>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</si>
  <si>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</si>
  <si>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</si>
  <si>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</si>
  <si>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</si>
  <si>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</si>
  <si>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</si>
  <si>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</si>
  <si>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</si>
  <si>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</si>
  <si>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</si>
  <si>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</si>
  <si>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</si>
  <si>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</si>
  <si>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</si>
  <si>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</si>
  <si>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</si>
  <si>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</si>
  <si>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</si>
  <si>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</si>
  <si>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</si>
  <si>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</si>
  <si>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</si>
  <si>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</si>
  <si>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</si>
  <si>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</si>
  <si>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</si>
  <si>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</si>
  <si>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</si>
  <si>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</si>
  <si>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</si>
  <si>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</si>
  <si>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</si>
  <si>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</si>
  <si>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</si>
  <si>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</si>
  <si>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</si>
  <si>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</si>
  <si>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</si>
  <si>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</si>
  <si>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</si>
  <si>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</si>
  <si>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</si>
  <si>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</si>
  <si>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Prazo de depreciação do equipamento (meses)</t>
  </si>
  <si>
    <t>Contrato inicial</t>
  </si>
  <si>
    <t>Arquiteto</t>
  </si>
  <si>
    <t>Trena Eletrônica</t>
  </si>
  <si>
    <t>Quantidade</t>
  </si>
  <si>
    <t>ARQUITETURA</t>
  </si>
  <si>
    <t>2141 - ARQUITETOS E URBANISTAS</t>
  </si>
  <si>
    <t>Seguro de vida - Morte e Invalidez Acidental</t>
  </si>
  <si>
    <t>Auxílio Funeral</t>
  </si>
  <si>
    <t>Auxílio Creche</t>
  </si>
  <si>
    <t>Adicional de Hora Extra 50% - Sábado</t>
  </si>
  <si>
    <t>Adicional de Hora Extra 100% - Domingo</t>
  </si>
  <si>
    <t>Sábado</t>
  </si>
  <si>
    <t>Domingo</t>
  </si>
  <si>
    <t>Arredondado para zero, tendo em vista o valor ter dado negativo</t>
  </si>
  <si>
    <r>
      <t>OBJETO:</t>
    </r>
    <r>
      <rPr>
        <sz val="9"/>
        <rFont val="Tahoma"/>
        <family val="2"/>
      </rPr>
      <t xml:space="preserve"> </t>
    </r>
    <r>
      <rPr>
        <sz val="9"/>
        <color rgb="FFFF0000"/>
        <rFont val="Tahoma"/>
        <family val="2"/>
      </rPr>
      <t>Contratação de pessoa jurídica especializada na prestação de serviços continuados de Arquitetura nas dependências da Finep/RJ, com dedicação exclusiva de mão-de-obra necessária à execução dos serviços.</t>
    </r>
  </si>
  <si>
    <t>Ref.: Pregão eletrônico nº 90003/2025</t>
  </si>
  <si>
    <t>8,5 x salário mínimo - Lei 4950-A/1966 e ADFs 53, 149 e 171)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</si>
</sst>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vertical="center" wrapText="1"/>
    </xf>
    <xf numFmtId="8" fontId="14" fillId="5" borderId="1" xfId="0" applyNumberFormat="1" applyFont="1" applyFill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8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43" fontId="7" fillId="0" borderId="0" xfId="3" applyFont="1" applyFill="1" applyBorder="1" applyAlignment="1">
      <alignment horizontal="left" vertical="center"/>
    </xf>
    <xf numFmtId="43" fontId="7" fillId="0" borderId="0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43" fontId="11" fillId="0" borderId="0" xfId="3" applyFont="1" applyFill="1" applyBorder="1" applyAlignment="1">
      <alignment vertical="center"/>
    </xf>
    <xf numFmtId="43" fontId="11" fillId="0" borderId="0" xfId="3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9" fillId="5" borderId="0" xfId="0" applyFont="1" applyFill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4" fontId="14" fillId="7" borderId="1" xfId="0" applyNumberFormat="1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4"/>
  <sheetViews>
    <sheetView showGridLines="0" zoomScaleNormal="100" workbookViewId="0">
      <selection activeCell="B4" sqref="B4:G4"/>
    </sheetView>
  </sheetViews>
  <sheetFormatPr defaultColWidth="9.140625" defaultRowHeight="22.5" customHeight="1" x14ac:dyDescent="0.2"/>
  <cols>
    <col min="1" max="1" width="3.28515625" style="63" customWidth="1"/>
    <col min="2" max="2" width="20.85546875" style="63" customWidth="1"/>
    <col min="3" max="4" width="13.28515625" style="63" customWidth="1"/>
    <col min="5" max="5" width="14.28515625" style="63" customWidth="1"/>
    <col min="6" max="6" width="13.7109375" style="63" customWidth="1"/>
    <col min="7" max="7" width="16.140625" style="63" bestFit="1" customWidth="1"/>
    <col min="8" max="8" width="14.7109375" style="63" bestFit="1" customWidth="1"/>
    <col min="9" max="16384" width="9.140625" style="63"/>
  </cols>
  <sheetData>
    <row r="1" spans="2:8" ht="22.5" customHeight="1" x14ac:dyDescent="0.2">
      <c r="B1" s="203" t="s">
        <v>133</v>
      </c>
      <c r="C1" s="203"/>
      <c r="D1" s="203"/>
      <c r="E1" s="203"/>
      <c r="F1" s="203"/>
      <c r="G1" s="203"/>
    </row>
    <row r="3" spans="2:8" ht="22.5" customHeight="1" x14ac:dyDescent="0.2">
      <c r="B3" s="67" t="s">
        <v>223</v>
      </c>
    </row>
    <row r="4" spans="2:8" ht="39.75" customHeight="1" x14ac:dyDescent="0.2">
      <c r="B4" s="204" t="s">
        <v>222</v>
      </c>
      <c r="C4" s="204"/>
      <c r="D4" s="204"/>
      <c r="E4" s="204"/>
      <c r="F4" s="204"/>
      <c r="G4" s="204"/>
      <c r="H4" s="64"/>
    </row>
    <row r="5" spans="2:8" ht="22.5" customHeight="1" thickBot="1" x14ac:dyDescent="0.25"/>
    <row r="6" spans="2:8" ht="22.5" customHeight="1" thickBot="1" x14ac:dyDescent="0.25">
      <c r="B6" s="197" t="s">
        <v>91</v>
      </c>
      <c r="C6" s="198"/>
      <c r="D6" s="198"/>
      <c r="E6" s="198"/>
      <c r="F6" s="198"/>
      <c r="G6" s="199"/>
    </row>
    <row r="7" spans="2:8" ht="22.5" customHeight="1" x14ac:dyDescent="0.2">
      <c r="B7" s="13"/>
      <c r="C7" s="13"/>
      <c r="D7" s="13"/>
      <c r="E7" s="13"/>
      <c r="F7" s="13"/>
      <c r="G7" s="13"/>
    </row>
    <row r="8" spans="2:8" ht="22.5" customHeight="1" x14ac:dyDescent="0.2">
      <c r="B8" s="44" t="s">
        <v>87</v>
      </c>
      <c r="C8" s="44" t="s">
        <v>132</v>
      </c>
      <c r="D8" s="44" t="s">
        <v>88</v>
      </c>
      <c r="E8" s="44" t="s">
        <v>98</v>
      </c>
      <c r="F8" s="44" t="s">
        <v>89</v>
      </c>
      <c r="G8" s="44" t="s">
        <v>90</v>
      </c>
    </row>
    <row r="9" spans="2:8" ht="22.5" customHeight="1" x14ac:dyDescent="0.2">
      <c r="B9" s="87" t="s">
        <v>209</v>
      </c>
      <c r="C9" s="62">
        <v>1</v>
      </c>
      <c r="D9" s="5">
        <v>12</v>
      </c>
      <c r="E9" s="6">
        <f>Arquiteto!H138</f>
        <v>32493.079999999998</v>
      </c>
      <c r="F9" s="7">
        <f>E9*C9</f>
        <v>32493.079999999998</v>
      </c>
      <c r="G9" s="7">
        <f>F9*D9</f>
        <v>389916.95999999996</v>
      </c>
    </row>
    <row r="10" spans="2:8" ht="22.5" customHeight="1" x14ac:dyDescent="0.2">
      <c r="B10" s="16" t="s">
        <v>61</v>
      </c>
      <c r="C10" s="62">
        <f>SUM(C9:C9)</f>
        <v>1</v>
      </c>
      <c r="D10" s="201"/>
      <c r="E10" s="202"/>
      <c r="F10" s="9">
        <f>SUM(F9:F9)</f>
        <v>32493.079999999998</v>
      </c>
      <c r="G10" s="8">
        <f>SUM(G9:G9)</f>
        <v>389916.95999999996</v>
      </c>
    </row>
    <row r="11" spans="2:8" ht="22.5" customHeight="1" x14ac:dyDescent="0.2">
      <c r="B11" s="200" t="s">
        <v>130</v>
      </c>
      <c r="C11" s="200"/>
      <c r="D11" s="200"/>
      <c r="E11" s="200"/>
      <c r="F11" s="200"/>
      <c r="G11" s="65">
        <f>G10</f>
        <v>389916.95999999996</v>
      </c>
    </row>
    <row r="12" spans="2:8" ht="22.5" customHeight="1" x14ac:dyDescent="0.2">
      <c r="F12" s="1"/>
    </row>
    <row r="13" spans="2:8" ht="22.5" customHeight="1" x14ac:dyDescent="0.2">
      <c r="F13" s="1"/>
    </row>
    <row r="14" spans="2:8" ht="22.5" customHeight="1" x14ac:dyDescent="0.2">
      <c r="B14" s="2" t="s">
        <v>53</v>
      </c>
      <c r="C14" s="3"/>
      <c r="D14" s="86"/>
      <c r="E14" s="1" t="s">
        <v>54</v>
      </c>
      <c r="F14" s="1"/>
    </row>
    <row r="15" spans="2:8" ht="22.5" customHeight="1" x14ac:dyDescent="0.2">
      <c r="B15" s="63" t="s">
        <v>201</v>
      </c>
      <c r="F15" s="1"/>
    </row>
    <row r="16" spans="2:8" ht="22.5" customHeight="1" x14ac:dyDescent="0.2">
      <c r="F16" s="1"/>
    </row>
    <row r="17" spans="5:6" ht="22.5" customHeight="1" x14ac:dyDescent="0.2">
      <c r="E17" s="136" t="s">
        <v>194</v>
      </c>
      <c r="F17" s="1"/>
    </row>
    <row r="18" spans="5:6" ht="22.5" customHeight="1" x14ac:dyDescent="0.2">
      <c r="E18" s="137"/>
    </row>
    <row r="19" spans="5:6" ht="22.5" customHeight="1" x14ac:dyDescent="0.2">
      <c r="E19" s="137" t="s">
        <v>195</v>
      </c>
    </row>
    <row r="20" spans="5:6" ht="22.5" customHeight="1" x14ac:dyDescent="0.2">
      <c r="E20" s="137" t="s">
        <v>196</v>
      </c>
    </row>
    <row r="21" spans="5:6" ht="22.5" customHeight="1" x14ac:dyDescent="0.2">
      <c r="E21" s="137" t="s">
        <v>197</v>
      </c>
    </row>
    <row r="22" spans="5:6" ht="22.5" customHeight="1" x14ac:dyDescent="0.2">
      <c r="E22" s="137" t="s">
        <v>198</v>
      </c>
    </row>
    <row r="23" spans="5:6" ht="22.5" customHeight="1" x14ac:dyDescent="0.2">
      <c r="E23" s="137" t="s">
        <v>199</v>
      </c>
    </row>
    <row r="24" spans="5:6" ht="22.5" customHeight="1" x14ac:dyDescent="0.2">
      <c r="E24" s="137" t="s">
        <v>200</v>
      </c>
    </row>
  </sheetData>
  <mergeCells count="5">
    <mergeCell ref="B6:G6"/>
    <mergeCell ref="B11:F11"/>
    <mergeCell ref="D10:E10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J151"/>
  <sheetViews>
    <sheetView showGridLines="0" tabSelected="1" topLeftCell="A6" zoomScaleNormal="100" workbookViewId="0">
      <selection activeCell="H19" sqref="H19"/>
    </sheetView>
  </sheetViews>
  <sheetFormatPr defaultColWidth="9.140625" defaultRowHeight="12.75" x14ac:dyDescent="0.2"/>
  <cols>
    <col min="1" max="1" width="3.5703125" style="68" customWidth="1"/>
    <col min="2" max="2" width="8.28515625" style="68" customWidth="1"/>
    <col min="3" max="3" width="39.140625" style="68" customWidth="1"/>
    <col min="4" max="4" width="29.140625" style="68" customWidth="1"/>
    <col min="5" max="6" width="8.140625" style="68" customWidth="1"/>
    <col min="7" max="7" width="9.140625" style="68" customWidth="1"/>
    <col min="8" max="8" width="15.28515625" style="68" customWidth="1"/>
    <col min="9" max="9" width="49.5703125" style="68" bestFit="1" customWidth="1"/>
    <col min="10" max="10" width="11.28515625" style="68" bestFit="1" customWidth="1"/>
    <col min="11" max="16384" width="9.140625" style="68"/>
  </cols>
  <sheetData>
    <row r="1" spans="2:9" x14ac:dyDescent="0.2">
      <c r="C1" s="119"/>
      <c r="D1" s="14"/>
      <c r="E1" s="14"/>
      <c r="F1" s="14"/>
      <c r="G1" s="14"/>
      <c r="H1" s="14"/>
      <c r="I1" s="14"/>
    </row>
    <row r="2" spans="2:9" x14ac:dyDescent="0.2">
      <c r="B2" s="266" t="s">
        <v>50</v>
      </c>
      <c r="C2" s="266"/>
      <c r="D2" s="266"/>
      <c r="E2" s="266"/>
      <c r="F2" s="266"/>
      <c r="G2" s="266"/>
      <c r="H2" s="266"/>
      <c r="I2" s="106"/>
    </row>
    <row r="3" spans="2:9" x14ac:dyDescent="0.2">
      <c r="B3" s="267" t="s">
        <v>202</v>
      </c>
      <c r="C3" s="267"/>
      <c r="D3" s="267"/>
      <c r="E3" s="267"/>
      <c r="F3" s="267"/>
      <c r="G3" s="267"/>
      <c r="H3" s="267"/>
      <c r="I3" s="108"/>
    </row>
    <row r="4" spans="2:9" x14ac:dyDescent="0.2">
      <c r="B4" s="70"/>
      <c r="C4" s="70"/>
      <c r="D4" s="70"/>
      <c r="E4" s="70"/>
      <c r="F4" s="70"/>
      <c r="G4" s="70"/>
      <c r="H4" s="70"/>
      <c r="I4" s="70"/>
    </row>
    <row r="5" spans="2:9" x14ac:dyDescent="0.2">
      <c r="B5" s="70"/>
      <c r="C5" s="70"/>
      <c r="D5" s="70"/>
      <c r="E5" s="70"/>
      <c r="F5" s="70"/>
      <c r="G5" s="70"/>
      <c r="H5" s="70"/>
      <c r="I5" s="70"/>
    </row>
    <row r="6" spans="2:9" x14ac:dyDescent="0.2">
      <c r="B6" s="149" t="s">
        <v>136</v>
      </c>
      <c r="C6" s="149"/>
      <c r="D6" s="268" t="s">
        <v>209</v>
      </c>
      <c r="E6" s="269"/>
      <c r="F6" s="270"/>
      <c r="I6" s="15"/>
    </row>
    <row r="7" spans="2:9" x14ac:dyDescent="0.2">
      <c r="B7" s="70"/>
      <c r="C7" s="70"/>
      <c r="D7" s="70"/>
      <c r="E7" s="70"/>
      <c r="F7" s="70"/>
      <c r="G7" s="70"/>
      <c r="H7" s="70"/>
      <c r="I7" s="14"/>
    </row>
    <row r="8" spans="2:9" x14ac:dyDescent="0.2">
      <c r="B8" s="271" t="s">
        <v>51</v>
      </c>
      <c r="C8" s="271"/>
      <c r="D8" s="271"/>
      <c r="E8" s="271"/>
      <c r="F8" s="271"/>
      <c r="G8" s="150"/>
      <c r="H8" s="150"/>
      <c r="I8" s="69"/>
    </row>
    <row r="9" spans="2:9" x14ac:dyDescent="0.2">
      <c r="B9" s="262">
        <v>1</v>
      </c>
      <c r="C9" s="272" t="s">
        <v>52</v>
      </c>
      <c r="D9" s="272"/>
      <c r="E9" s="272"/>
      <c r="F9" s="272"/>
      <c r="G9" s="150"/>
      <c r="H9" s="150"/>
      <c r="I9" s="69"/>
    </row>
    <row r="10" spans="2:9" x14ac:dyDescent="0.2">
      <c r="B10" s="262"/>
      <c r="C10" s="273" t="s">
        <v>212</v>
      </c>
      <c r="D10" s="273"/>
      <c r="E10" s="273"/>
      <c r="F10" s="273"/>
      <c r="G10" s="150"/>
      <c r="H10" s="150"/>
      <c r="I10" s="69"/>
    </row>
    <row r="11" spans="2:9" x14ac:dyDescent="0.2">
      <c r="B11" s="262">
        <v>2</v>
      </c>
      <c r="C11" s="272" t="s">
        <v>55</v>
      </c>
      <c r="D11" s="272"/>
      <c r="E11" s="272"/>
      <c r="F11" s="272"/>
      <c r="G11" s="150"/>
      <c r="H11" s="150"/>
      <c r="I11" s="69"/>
    </row>
    <row r="12" spans="2:9" x14ac:dyDescent="0.2">
      <c r="B12" s="262"/>
      <c r="C12" s="273" t="s">
        <v>213</v>
      </c>
      <c r="D12" s="273"/>
      <c r="E12" s="273"/>
      <c r="F12" s="273"/>
      <c r="G12" s="150"/>
      <c r="H12" s="150"/>
      <c r="I12" s="69"/>
    </row>
    <row r="13" spans="2:9" x14ac:dyDescent="0.2">
      <c r="B13" s="262">
        <v>3</v>
      </c>
      <c r="C13" s="272" t="s">
        <v>56</v>
      </c>
      <c r="D13" s="272"/>
      <c r="E13" s="272"/>
      <c r="F13" s="272"/>
      <c r="G13" s="150"/>
      <c r="H13" s="150"/>
      <c r="I13" s="69"/>
    </row>
    <row r="14" spans="2:9" x14ac:dyDescent="0.2">
      <c r="B14" s="262"/>
      <c r="C14" s="275">
        <v>12903</v>
      </c>
      <c r="D14" s="275"/>
      <c r="E14" s="275"/>
      <c r="F14" s="275"/>
      <c r="G14" s="150"/>
      <c r="H14" s="150"/>
      <c r="I14" s="69"/>
    </row>
    <row r="15" spans="2:9" x14ac:dyDescent="0.2">
      <c r="B15" s="262">
        <v>4</v>
      </c>
      <c r="C15" s="272" t="s">
        <v>57</v>
      </c>
      <c r="D15" s="272"/>
      <c r="E15" s="272"/>
      <c r="F15" s="272"/>
      <c r="G15" s="150"/>
      <c r="H15" s="150"/>
      <c r="I15" s="69"/>
    </row>
    <row r="16" spans="2:9" x14ac:dyDescent="0.2">
      <c r="B16" s="262"/>
      <c r="C16" s="274">
        <v>45413</v>
      </c>
      <c r="D16" s="273"/>
      <c r="E16" s="273"/>
      <c r="F16" s="273"/>
      <c r="G16" s="150"/>
      <c r="H16" s="150"/>
      <c r="I16" s="69"/>
    </row>
    <row r="17" spans="2:9" x14ac:dyDescent="0.2">
      <c r="B17" s="262">
        <v>5</v>
      </c>
      <c r="C17" s="272" t="s">
        <v>58</v>
      </c>
      <c r="D17" s="272"/>
      <c r="E17" s="272"/>
      <c r="F17" s="272"/>
      <c r="G17" s="150"/>
      <c r="H17" s="150"/>
      <c r="I17" s="69"/>
    </row>
    <row r="18" spans="2:9" x14ac:dyDescent="0.2">
      <c r="B18" s="262"/>
      <c r="C18" s="273">
        <v>2024</v>
      </c>
      <c r="D18" s="273"/>
      <c r="E18" s="273"/>
      <c r="F18" s="273"/>
      <c r="G18" s="150"/>
      <c r="H18" s="150"/>
      <c r="I18" s="69"/>
    </row>
    <row r="19" spans="2:9" x14ac:dyDescent="0.2">
      <c r="B19" s="262">
        <v>6</v>
      </c>
      <c r="C19" s="272" t="s">
        <v>59</v>
      </c>
      <c r="D19" s="272"/>
      <c r="E19" s="272"/>
      <c r="F19" s="272"/>
      <c r="G19" s="150"/>
      <c r="H19" s="150"/>
      <c r="I19" s="69"/>
    </row>
    <row r="20" spans="2:9" x14ac:dyDescent="0.2">
      <c r="B20" s="262"/>
      <c r="C20" s="273"/>
      <c r="D20" s="273"/>
      <c r="E20" s="273"/>
      <c r="F20" s="273"/>
      <c r="G20" s="150"/>
      <c r="H20" s="150"/>
      <c r="I20" s="69"/>
    </row>
    <row r="21" spans="2:9" x14ac:dyDescent="0.2">
      <c r="B21" s="71"/>
      <c r="C21" s="71"/>
      <c r="D21" s="71"/>
      <c r="E21" s="71"/>
      <c r="F21" s="71"/>
      <c r="G21" s="72"/>
      <c r="H21" s="72"/>
      <c r="I21" s="69"/>
    </row>
    <row r="22" spans="2:9" x14ac:dyDescent="0.2">
      <c r="B22" s="73"/>
      <c r="C22" s="73"/>
      <c r="D22" s="73"/>
      <c r="E22" s="73"/>
      <c r="F22" s="73"/>
      <c r="G22" s="73"/>
      <c r="H22" s="155" t="s">
        <v>208</v>
      </c>
    </row>
    <row r="23" spans="2:9" x14ac:dyDescent="0.2">
      <c r="B23" s="227" t="s">
        <v>66</v>
      </c>
      <c r="C23" s="228"/>
      <c r="D23" s="228"/>
      <c r="E23" s="228"/>
      <c r="F23" s="228"/>
      <c r="G23" s="153"/>
      <c r="H23" s="154"/>
      <c r="I23" s="107"/>
    </row>
    <row r="24" spans="2:9" x14ac:dyDescent="0.2">
      <c r="B24" s="102">
        <v>1</v>
      </c>
      <c r="C24" s="201" t="s">
        <v>60</v>
      </c>
      <c r="D24" s="226"/>
      <c r="E24" s="226"/>
      <c r="F24" s="202"/>
      <c r="G24" s="152" t="s">
        <v>1</v>
      </c>
      <c r="H24" s="152" t="s">
        <v>49</v>
      </c>
      <c r="I24" s="192"/>
    </row>
    <row r="25" spans="2:9" ht="12.75" customHeight="1" x14ac:dyDescent="0.2">
      <c r="B25" s="16" t="s">
        <v>4</v>
      </c>
      <c r="C25" s="100" t="s">
        <v>17</v>
      </c>
      <c r="D25" s="223" t="s">
        <v>224</v>
      </c>
      <c r="E25" s="224"/>
      <c r="F25" s="225"/>
      <c r="G25" s="17"/>
      <c r="H25" s="34">
        <v>10302</v>
      </c>
      <c r="I25" s="190"/>
    </row>
    <row r="26" spans="2:9" x14ac:dyDescent="0.2">
      <c r="B26" s="16" t="s">
        <v>5</v>
      </c>
      <c r="C26" s="100" t="s">
        <v>24</v>
      </c>
      <c r="D26" s="223" t="s">
        <v>137</v>
      </c>
      <c r="E26" s="224"/>
      <c r="F26" s="225"/>
      <c r="G26" s="35">
        <v>0</v>
      </c>
      <c r="H26" s="18">
        <f>TRUNC(H$25*$G26,2)</f>
        <v>0</v>
      </c>
      <c r="I26" s="109"/>
    </row>
    <row r="27" spans="2:9" x14ac:dyDescent="0.2">
      <c r="B27" s="16" t="s">
        <v>6</v>
      </c>
      <c r="C27" s="101" t="s">
        <v>25</v>
      </c>
      <c r="D27" s="223" t="s">
        <v>180</v>
      </c>
      <c r="E27" s="224"/>
      <c r="F27" s="225"/>
      <c r="G27" s="35">
        <v>0</v>
      </c>
      <c r="H27" s="18">
        <f>TRUNC(H$25*$G27,2)</f>
        <v>0</v>
      </c>
      <c r="I27" s="109"/>
    </row>
    <row r="28" spans="2:9" x14ac:dyDescent="0.2">
      <c r="B28" s="16" t="s">
        <v>7</v>
      </c>
      <c r="C28" s="101" t="s">
        <v>0</v>
      </c>
      <c r="D28" s="223" t="s">
        <v>188</v>
      </c>
      <c r="E28" s="224"/>
      <c r="F28" s="225"/>
      <c r="G28" s="36">
        <v>0</v>
      </c>
      <c r="H28" s="77">
        <f>TRUNC(((H$25+H26)*$G28)/220*8*15,2)</f>
        <v>0</v>
      </c>
      <c r="I28" s="110"/>
    </row>
    <row r="29" spans="2:9" x14ac:dyDescent="0.2">
      <c r="B29" s="129" t="s">
        <v>8</v>
      </c>
      <c r="C29" s="130" t="s">
        <v>26</v>
      </c>
      <c r="D29" s="263" t="s">
        <v>188</v>
      </c>
      <c r="E29" s="264"/>
      <c r="F29" s="265"/>
      <c r="G29" s="131"/>
      <c r="H29" s="132">
        <f>TRUNC(((H25+H26)*$G29)/220*1*15,2)</f>
        <v>0</v>
      </c>
      <c r="I29" s="133" t="s">
        <v>193</v>
      </c>
    </row>
    <row r="30" spans="2:9" x14ac:dyDescent="0.2">
      <c r="B30" s="134" t="s">
        <v>9</v>
      </c>
      <c r="C30" s="130" t="s">
        <v>217</v>
      </c>
      <c r="D30" s="263" t="s">
        <v>189</v>
      </c>
      <c r="E30" s="264"/>
      <c r="F30" s="265"/>
      <c r="G30" s="135">
        <v>0.5</v>
      </c>
      <c r="H30" s="132">
        <f>TRUNC($G$35*H35,2)</f>
        <v>561.84</v>
      </c>
      <c r="I30" s="133" t="s">
        <v>193</v>
      </c>
    </row>
    <row r="31" spans="2:9" x14ac:dyDescent="0.2">
      <c r="B31" s="134" t="s">
        <v>10</v>
      </c>
      <c r="C31" s="130" t="s">
        <v>218</v>
      </c>
      <c r="D31" s="263" t="s">
        <v>189</v>
      </c>
      <c r="E31" s="264"/>
      <c r="F31" s="265"/>
      <c r="G31" s="135">
        <v>1</v>
      </c>
      <c r="H31" s="132">
        <f>TRUNC($G$36*H36,2)</f>
        <v>749.12</v>
      </c>
      <c r="I31" s="133"/>
    </row>
    <row r="32" spans="2:9" x14ac:dyDescent="0.2">
      <c r="B32" s="16" t="s">
        <v>11</v>
      </c>
      <c r="C32" s="101" t="s">
        <v>2</v>
      </c>
      <c r="D32" s="223"/>
      <c r="E32" s="224"/>
      <c r="F32" s="225"/>
      <c r="G32" s="36"/>
      <c r="H32" s="58"/>
      <c r="I32" s="111"/>
    </row>
    <row r="33" spans="2:9" x14ac:dyDescent="0.2">
      <c r="B33" s="16" t="s">
        <v>138</v>
      </c>
      <c r="C33" s="201" t="s">
        <v>61</v>
      </c>
      <c r="D33" s="226"/>
      <c r="E33" s="226"/>
      <c r="F33" s="202"/>
      <c r="G33" s="30"/>
      <c r="H33" s="19">
        <f>SUM(H25:H32)</f>
        <v>11612.960000000001</v>
      </c>
      <c r="I33" s="20"/>
    </row>
    <row r="34" spans="2:9" ht="22.5" x14ac:dyDescent="0.2">
      <c r="B34" s="106"/>
      <c r="D34" s="227" t="s">
        <v>126</v>
      </c>
      <c r="E34" s="228"/>
      <c r="F34" s="232"/>
      <c r="G34" s="61" t="s">
        <v>112</v>
      </c>
      <c r="H34" s="60" t="s">
        <v>131</v>
      </c>
      <c r="I34" s="4"/>
    </row>
    <row r="35" spans="2:9" x14ac:dyDescent="0.2">
      <c r="B35" s="106"/>
      <c r="F35" s="193" t="s">
        <v>219</v>
      </c>
      <c r="G35" s="59">
        <v>8</v>
      </c>
      <c r="H35" s="37">
        <f>(IF($G$35="",0,TRUNC((H25+H26+H27)/220,2)))*(1+G30)</f>
        <v>70.23</v>
      </c>
      <c r="I35" s="194"/>
    </row>
    <row r="36" spans="2:9" x14ac:dyDescent="0.2">
      <c r="B36" s="106"/>
      <c r="C36" s="106"/>
      <c r="D36" s="106"/>
      <c r="E36" s="106"/>
      <c r="F36" s="193" t="s">
        <v>220</v>
      </c>
      <c r="G36" s="59">
        <v>8</v>
      </c>
      <c r="H36" s="37">
        <f>(IF($G$36="",0,TRUNC((H25+H26+H27)/220,2)))*(1+G31)</f>
        <v>93.64</v>
      </c>
      <c r="I36" s="195"/>
    </row>
    <row r="37" spans="2:9" x14ac:dyDescent="0.2">
      <c r="B37" s="106"/>
      <c r="C37" s="106"/>
      <c r="D37" s="106"/>
      <c r="E37" s="106"/>
      <c r="F37" s="106"/>
      <c r="G37" s="106"/>
      <c r="H37" s="78"/>
      <c r="I37" s="20"/>
    </row>
    <row r="38" spans="2:9" ht="12.75" customHeight="1" x14ac:dyDescent="0.2">
      <c r="B38" s="227" t="s">
        <v>67</v>
      </c>
      <c r="C38" s="228"/>
      <c r="D38" s="228"/>
      <c r="E38" s="228"/>
      <c r="F38" s="228"/>
      <c r="G38" s="153"/>
      <c r="H38" s="154"/>
      <c r="I38" s="107"/>
    </row>
    <row r="39" spans="2:9" x14ac:dyDescent="0.2">
      <c r="B39" s="249"/>
      <c r="C39" s="250"/>
      <c r="D39" s="250"/>
      <c r="E39" s="250"/>
      <c r="F39" s="250"/>
      <c r="G39" s="67"/>
      <c r="H39" s="67"/>
      <c r="I39" s="107"/>
    </row>
    <row r="40" spans="2:9" x14ac:dyDescent="0.2">
      <c r="B40" s="248" t="s">
        <v>36</v>
      </c>
      <c r="C40" s="248"/>
      <c r="D40" s="248"/>
      <c r="E40" s="248"/>
      <c r="F40" s="248"/>
      <c r="G40" s="67"/>
      <c r="H40" s="67"/>
      <c r="I40" s="107"/>
    </row>
    <row r="41" spans="2:9" x14ac:dyDescent="0.2">
      <c r="B41" s="152" t="s">
        <v>38</v>
      </c>
      <c r="C41" s="256" t="s">
        <v>27</v>
      </c>
      <c r="D41" s="257"/>
      <c r="E41" s="257"/>
      <c r="F41" s="258"/>
      <c r="G41" s="102" t="s">
        <v>1</v>
      </c>
      <c r="H41" s="102" t="s">
        <v>49</v>
      </c>
      <c r="I41" s="107"/>
    </row>
    <row r="42" spans="2:9" x14ac:dyDescent="0.2">
      <c r="B42" s="16" t="s">
        <v>4</v>
      </c>
      <c r="C42" s="100" t="s">
        <v>114</v>
      </c>
      <c r="D42" s="223" t="s">
        <v>139</v>
      </c>
      <c r="E42" s="224"/>
      <c r="F42" s="225"/>
      <c r="G42" s="158">
        <f>1/12</f>
        <v>8.3333333333333329E-2</v>
      </c>
      <c r="H42" s="159">
        <f>TRUNC((H$33*$G42),2)</f>
        <v>967.74</v>
      </c>
      <c r="I42" s="112"/>
    </row>
    <row r="43" spans="2:9" x14ac:dyDescent="0.2">
      <c r="B43" s="16" t="s">
        <v>5</v>
      </c>
      <c r="C43" s="100" t="s">
        <v>65</v>
      </c>
      <c r="D43" s="223" t="s">
        <v>141</v>
      </c>
      <c r="E43" s="224"/>
      <c r="F43" s="225"/>
      <c r="G43" s="21">
        <f>(1/12)+(1/3/12)</f>
        <v>0.1111111111111111</v>
      </c>
      <c r="H43" s="22">
        <f>TRUNC((H$33*$G43),2)</f>
        <v>1290.32</v>
      </c>
      <c r="I43" s="112"/>
    </row>
    <row r="44" spans="2:9" x14ac:dyDescent="0.2">
      <c r="B44" s="16" t="s">
        <v>140</v>
      </c>
      <c r="C44" s="201" t="s">
        <v>61</v>
      </c>
      <c r="D44" s="226"/>
      <c r="E44" s="226"/>
      <c r="F44" s="202"/>
      <c r="G44" s="23">
        <f>TRUNC(SUM(G42:G43),4)</f>
        <v>0.19439999999999999</v>
      </c>
      <c r="H44" s="19">
        <f>SUM(H42:H43)</f>
        <v>2258.06</v>
      </c>
      <c r="I44" s="20"/>
    </row>
    <row r="45" spans="2:9" x14ac:dyDescent="0.2">
      <c r="B45" s="236"/>
      <c r="C45" s="235"/>
      <c r="D45" s="235"/>
      <c r="E45" s="235"/>
      <c r="F45" s="235"/>
      <c r="G45" s="235"/>
      <c r="H45" s="237"/>
      <c r="I45" s="106"/>
    </row>
    <row r="46" spans="2:9" ht="30" customHeight="1" x14ac:dyDescent="0.2">
      <c r="B46" s="242" t="s">
        <v>68</v>
      </c>
      <c r="C46" s="243"/>
      <c r="D46" s="243"/>
      <c r="E46" s="243"/>
      <c r="F46" s="244"/>
      <c r="G46" s="156"/>
      <c r="H46" s="157"/>
      <c r="I46" s="113"/>
    </row>
    <row r="47" spans="2:9" x14ac:dyDescent="0.2">
      <c r="B47" s="102" t="s">
        <v>39</v>
      </c>
      <c r="C47" s="201" t="s">
        <v>69</v>
      </c>
      <c r="D47" s="226"/>
      <c r="E47" s="226"/>
      <c r="F47" s="202"/>
      <c r="G47" s="102" t="s">
        <v>1</v>
      </c>
      <c r="H47" s="102" t="s">
        <v>49</v>
      </c>
      <c r="I47" s="107"/>
    </row>
    <row r="48" spans="2:9" x14ac:dyDescent="0.2">
      <c r="B48" s="16" t="s">
        <v>4</v>
      </c>
      <c r="C48" s="100" t="s">
        <v>30</v>
      </c>
      <c r="D48" s="223" t="s">
        <v>142</v>
      </c>
      <c r="E48" s="224"/>
      <c r="F48" s="225"/>
      <c r="G48" s="21">
        <v>0.2</v>
      </c>
      <c r="H48" s="22">
        <f>TRUNC((H$33+H$44)*$G48,2)</f>
        <v>2774.2</v>
      </c>
      <c r="I48" s="112"/>
    </row>
    <row r="49" spans="2:9" x14ac:dyDescent="0.2">
      <c r="B49" s="16" t="s">
        <v>5</v>
      </c>
      <c r="C49" s="88" t="s">
        <v>31</v>
      </c>
      <c r="D49" s="223" t="s">
        <v>143</v>
      </c>
      <c r="E49" s="224"/>
      <c r="F49" s="225"/>
      <c r="G49" s="21">
        <v>2.5000000000000001E-2</v>
      </c>
      <c r="H49" s="22">
        <f>TRUNC((H$33+H$44)*$G49,2)</f>
        <v>346.77</v>
      </c>
      <c r="I49" s="112"/>
    </row>
    <row r="50" spans="2:9" x14ac:dyDescent="0.2">
      <c r="B50" s="251" t="s">
        <v>6</v>
      </c>
      <c r="C50" s="253" t="s">
        <v>105</v>
      </c>
      <c r="D50" s="255" t="s">
        <v>149</v>
      </c>
      <c r="E50" s="10" t="s">
        <v>106</v>
      </c>
      <c r="F50" s="10" t="s">
        <v>104</v>
      </c>
      <c r="G50" s="259">
        <f>E51*F51</f>
        <v>0.06</v>
      </c>
      <c r="H50" s="261">
        <f>TRUNC((H$33+H$44)*$G50,2)</f>
        <v>832.26</v>
      </c>
      <c r="I50" s="115"/>
    </row>
    <row r="51" spans="2:9" x14ac:dyDescent="0.2">
      <c r="B51" s="252"/>
      <c r="C51" s="254"/>
      <c r="D51" s="255"/>
      <c r="E51" s="38">
        <v>0.03</v>
      </c>
      <c r="F51" s="39">
        <v>2</v>
      </c>
      <c r="G51" s="260"/>
      <c r="H51" s="261"/>
      <c r="I51" s="115"/>
    </row>
    <row r="52" spans="2:9" x14ac:dyDescent="0.2">
      <c r="B52" s="16" t="s">
        <v>7</v>
      </c>
      <c r="C52" s="100" t="s">
        <v>29</v>
      </c>
      <c r="D52" s="223" t="s">
        <v>144</v>
      </c>
      <c r="E52" s="224"/>
      <c r="F52" s="225"/>
      <c r="G52" s="21">
        <v>1.4999999999999999E-2</v>
      </c>
      <c r="H52" s="22">
        <f>TRUNC((H$33+H$44)*$G52,2)</f>
        <v>208.06</v>
      </c>
      <c r="I52" s="112"/>
    </row>
    <row r="53" spans="2:9" x14ac:dyDescent="0.2">
      <c r="B53" s="16" t="s">
        <v>8</v>
      </c>
      <c r="C53" s="100" t="s">
        <v>32</v>
      </c>
      <c r="D53" s="223" t="s">
        <v>145</v>
      </c>
      <c r="E53" s="224"/>
      <c r="F53" s="225"/>
      <c r="G53" s="21">
        <v>0.01</v>
      </c>
      <c r="H53" s="22">
        <f>TRUNC((H$33+H$44)*$G53,2)</f>
        <v>138.71</v>
      </c>
      <c r="I53" s="112"/>
    </row>
    <row r="54" spans="2:9" x14ac:dyDescent="0.2">
      <c r="B54" s="16" t="s">
        <v>9</v>
      </c>
      <c r="C54" s="100" t="s">
        <v>33</v>
      </c>
      <c r="D54" s="223" t="s">
        <v>146</v>
      </c>
      <c r="E54" s="224"/>
      <c r="F54" s="225"/>
      <c r="G54" s="21">
        <v>6.0000000000000001E-3</v>
      </c>
      <c r="H54" s="22">
        <f>TRUNC((H$33+H$44)*$G54,2)</f>
        <v>83.22</v>
      </c>
      <c r="I54" s="112"/>
    </row>
    <row r="55" spans="2:9" x14ac:dyDescent="0.2">
      <c r="B55" s="16" t="s">
        <v>10</v>
      </c>
      <c r="C55" s="100" t="s">
        <v>34</v>
      </c>
      <c r="D55" s="223" t="s">
        <v>147</v>
      </c>
      <c r="E55" s="224"/>
      <c r="F55" s="225"/>
      <c r="G55" s="21">
        <v>2E-3</v>
      </c>
      <c r="H55" s="22">
        <f>TRUNC((H$33+H$44)*$G55,2)</f>
        <v>27.74</v>
      </c>
      <c r="I55" s="112"/>
    </row>
    <row r="56" spans="2:9" x14ac:dyDescent="0.2">
      <c r="B56" s="16" t="s">
        <v>11</v>
      </c>
      <c r="C56" s="100" t="s">
        <v>35</v>
      </c>
      <c r="D56" s="223" t="s">
        <v>148</v>
      </c>
      <c r="E56" s="224"/>
      <c r="F56" s="225"/>
      <c r="G56" s="21">
        <v>0.08</v>
      </c>
      <c r="H56" s="22">
        <f>TRUNC((H$33+H$44)*$G56,2)</f>
        <v>1109.68</v>
      </c>
      <c r="I56" s="112"/>
    </row>
    <row r="57" spans="2:9" x14ac:dyDescent="0.2">
      <c r="B57" s="16" t="s">
        <v>150</v>
      </c>
      <c r="C57" s="201" t="s">
        <v>61</v>
      </c>
      <c r="D57" s="226"/>
      <c r="E57" s="226"/>
      <c r="F57" s="202"/>
      <c r="G57" s="24">
        <f>SUM(G48:G56)</f>
        <v>0.39800000000000008</v>
      </c>
      <c r="H57" s="19">
        <f>SUM(H48:H56)</f>
        <v>5520.64</v>
      </c>
      <c r="I57" s="20"/>
    </row>
    <row r="58" spans="2:9" x14ac:dyDescent="0.2">
      <c r="B58" s="245"/>
      <c r="C58" s="246"/>
      <c r="D58" s="246"/>
      <c r="E58" s="246"/>
      <c r="F58" s="246"/>
      <c r="G58" s="246"/>
      <c r="H58" s="247"/>
      <c r="I58" s="124"/>
    </row>
    <row r="59" spans="2:9" ht="12.75" customHeight="1" x14ac:dyDescent="0.2">
      <c r="B59" s="242" t="s">
        <v>37</v>
      </c>
      <c r="C59" s="243"/>
      <c r="D59" s="243"/>
      <c r="E59" s="243"/>
      <c r="F59" s="244"/>
      <c r="G59" s="156"/>
      <c r="H59" s="157"/>
      <c r="I59" s="124"/>
    </row>
    <row r="60" spans="2:9" x14ac:dyDescent="0.2">
      <c r="B60" s="102" t="s">
        <v>40</v>
      </c>
      <c r="C60" s="201" t="s">
        <v>41</v>
      </c>
      <c r="D60" s="226"/>
      <c r="E60" s="226"/>
      <c r="F60" s="226"/>
      <c r="G60" s="89"/>
      <c r="H60" s="102" t="s">
        <v>49</v>
      </c>
      <c r="I60" s="107"/>
    </row>
    <row r="61" spans="2:9" ht="12.75" customHeight="1" x14ac:dyDescent="0.2">
      <c r="B61" s="16" t="s">
        <v>4</v>
      </c>
      <c r="C61" s="100" t="s">
        <v>47</v>
      </c>
      <c r="D61" s="179" t="s">
        <v>153</v>
      </c>
      <c r="E61" s="180"/>
      <c r="F61" s="180"/>
      <c r="G61" s="181"/>
      <c r="H61" s="40">
        <f>IF(TRUNC((8.55*2*22)-(H$25*6%),2)&gt;0,((TRUNC((8.55*2*22)-(H$25*6%),2))),0)</f>
        <v>0</v>
      </c>
      <c r="I61" s="196" t="s">
        <v>221</v>
      </c>
    </row>
    <row r="62" spans="2:9" ht="12.75" customHeight="1" x14ac:dyDescent="0.2">
      <c r="B62" s="16" t="s">
        <v>5</v>
      </c>
      <c r="C62" s="100" t="s">
        <v>48</v>
      </c>
      <c r="D62" s="179" t="s">
        <v>154</v>
      </c>
      <c r="E62" s="180"/>
      <c r="F62" s="180"/>
      <c r="G62" s="181"/>
      <c r="H62" s="40">
        <f>44*22</f>
        <v>968</v>
      </c>
      <c r="I62" s="125"/>
    </row>
    <row r="63" spans="2:9" x14ac:dyDescent="0.2">
      <c r="B63" s="16" t="s">
        <v>6</v>
      </c>
      <c r="C63" s="100" t="s">
        <v>107</v>
      </c>
      <c r="D63" s="179"/>
      <c r="E63" s="180"/>
      <c r="F63" s="180"/>
      <c r="G63" s="181"/>
      <c r="H63" s="40"/>
      <c r="I63" s="191"/>
    </row>
    <row r="64" spans="2:9" x14ac:dyDescent="0.2">
      <c r="B64" s="16" t="s">
        <v>7</v>
      </c>
      <c r="C64" s="100" t="s">
        <v>214</v>
      </c>
      <c r="D64" s="179"/>
      <c r="E64" s="180"/>
      <c r="F64" s="180"/>
      <c r="G64" s="181"/>
      <c r="H64" s="40">
        <v>4.3899999999999997</v>
      </c>
      <c r="I64" s="190"/>
    </row>
    <row r="65" spans="2:9" x14ac:dyDescent="0.2">
      <c r="B65" s="16" t="s">
        <v>8</v>
      </c>
      <c r="C65" s="100" t="s">
        <v>215</v>
      </c>
      <c r="D65" s="179"/>
      <c r="E65" s="180"/>
      <c r="F65" s="180"/>
      <c r="G65" s="181"/>
      <c r="H65" s="40"/>
      <c r="I65" s="191"/>
    </row>
    <row r="66" spans="2:9" x14ac:dyDescent="0.2">
      <c r="B66" s="16" t="s">
        <v>9</v>
      </c>
      <c r="C66" s="100" t="s">
        <v>216</v>
      </c>
      <c r="D66" s="179"/>
      <c r="E66" s="180"/>
      <c r="F66" s="180"/>
      <c r="G66" s="181"/>
      <c r="H66" s="40">
        <v>638.13</v>
      </c>
      <c r="I66" s="190"/>
    </row>
    <row r="67" spans="2:9" x14ac:dyDescent="0.2">
      <c r="B67" s="16" t="s">
        <v>151</v>
      </c>
      <c r="C67" s="201" t="s">
        <v>61</v>
      </c>
      <c r="D67" s="226"/>
      <c r="E67" s="226"/>
      <c r="F67" s="226"/>
      <c r="G67" s="89"/>
      <c r="H67" s="19">
        <f>SUM(H61:H66)</f>
        <v>1610.52</v>
      </c>
      <c r="I67" s="20"/>
    </row>
    <row r="68" spans="2:9" x14ac:dyDescent="0.2">
      <c r="B68" s="236"/>
      <c r="C68" s="235"/>
      <c r="D68" s="235"/>
      <c r="E68" s="235"/>
      <c r="F68" s="235"/>
      <c r="G68" s="235"/>
      <c r="H68" s="237"/>
      <c r="I68" s="106"/>
    </row>
    <row r="69" spans="2:9" x14ac:dyDescent="0.2">
      <c r="B69" s="233" t="s">
        <v>71</v>
      </c>
      <c r="C69" s="234"/>
      <c r="D69" s="234"/>
      <c r="E69" s="234"/>
      <c r="F69" s="234"/>
      <c r="G69" s="160"/>
      <c r="H69" s="160"/>
      <c r="I69" s="106"/>
    </row>
    <row r="70" spans="2:9" x14ac:dyDescent="0.2">
      <c r="B70" s="102">
        <v>2</v>
      </c>
      <c r="C70" s="201" t="s">
        <v>70</v>
      </c>
      <c r="D70" s="226"/>
      <c r="E70" s="226"/>
      <c r="F70" s="226"/>
      <c r="G70" s="89"/>
      <c r="H70" s="102" t="s">
        <v>49</v>
      </c>
      <c r="I70" s="107"/>
    </row>
    <row r="71" spans="2:9" x14ac:dyDescent="0.2">
      <c r="B71" s="16" t="s">
        <v>38</v>
      </c>
      <c r="C71" s="90" t="s">
        <v>27</v>
      </c>
      <c r="D71" s="179" t="s">
        <v>140</v>
      </c>
      <c r="E71" s="180"/>
      <c r="F71" s="180"/>
      <c r="G71" s="181"/>
      <c r="H71" s="22">
        <f>H44</f>
        <v>2258.06</v>
      </c>
      <c r="I71" s="112"/>
    </row>
    <row r="72" spans="2:9" x14ac:dyDescent="0.2">
      <c r="B72" s="16" t="s">
        <v>39</v>
      </c>
      <c r="C72" s="90" t="s">
        <v>28</v>
      </c>
      <c r="D72" s="179" t="s">
        <v>150</v>
      </c>
      <c r="E72" s="180"/>
      <c r="F72" s="180"/>
      <c r="G72" s="181"/>
      <c r="H72" s="22">
        <f>H57</f>
        <v>5520.64</v>
      </c>
      <c r="I72" s="112"/>
    </row>
    <row r="73" spans="2:9" x14ac:dyDescent="0.2">
      <c r="B73" s="16" t="s">
        <v>40</v>
      </c>
      <c r="C73" s="90" t="s">
        <v>41</v>
      </c>
      <c r="D73" s="179" t="s">
        <v>151</v>
      </c>
      <c r="E73" s="180"/>
      <c r="F73" s="180"/>
      <c r="G73" s="181"/>
      <c r="H73" s="22">
        <f>H67</f>
        <v>1610.52</v>
      </c>
      <c r="I73" s="112"/>
    </row>
    <row r="74" spans="2:9" x14ac:dyDescent="0.2">
      <c r="B74" s="16" t="s">
        <v>152</v>
      </c>
      <c r="C74" s="201" t="s">
        <v>61</v>
      </c>
      <c r="D74" s="226"/>
      <c r="E74" s="226"/>
      <c r="F74" s="226"/>
      <c r="G74" s="89"/>
      <c r="H74" s="19">
        <f>SUM(H71:H73)</f>
        <v>9389.2200000000012</v>
      </c>
      <c r="I74" s="20"/>
    </row>
    <row r="75" spans="2:9" x14ac:dyDescent="0.2">
      <c r="B75" s="235"/>
      <c r="C75" s="235"/>
      <c r="D75" s="235"/>
      <c r="E75" s="235"/>
      <c r="F75" s="235"/>
      <c r="G75" s="235"/>
      <c r="H75" s="235"/>
      <c r="I75" s="107"/>
    </row>
    <row r="76" spans="2:9" x14ac:dyDescent="0.2">
      <c r="B76" s="106"/>
      <c r="C76" s="106"/>
      <c r="D76" s="106"/>
      <c r="E76" s="106"/>
      <c r="F76" s="106"/>
      <c r="G76" s="106"/>
      <c r="H76" s="106"/>
      <c r="I76" s="107"/>
    </row>
    <row r="77" spans="2:9" x14ac:dyDescent="0.2">
      <c r="B77" s="227" t="s">
        <v>72</v>
      </c>
      <c r="C77" s="228"/>
      <c r="D77" s="228"/>
      <c r="E77" s="228"/>
      <c r="F77" s="232"/>
      <c r="G77" s="153"/>
      <c r="H77" s="154"/>
      <c r="I77" s="107"/>
    </row>
    <row r="78" spans="2:9" x14ac:dyDescent="0.2">
      <c r="B78" s="102">
        <v>3</v>
      </c>
      <c r="C78" s="201" t="s">
        <v>62</v>
      </c>
      <c r="D78" s="226"/>
      <c r="E78" s="226"/>
      <c r="F78" s="202"/>
      <c r="G78" s="102" t="s">
        <v>1</v>
      </c>
      <c r="H78" s="102" t="s">
        <v>49</v>
      </c>
      <c r="I78" s="107"/>
    </row>
    <row r="79" spans="2:9" x14ac:dyDescent="0.2">
      <c r="B79" s="16" t="s">
        <v>4</v>
      </c>
      <c r="C79" s="91" t="s">
        <v>99</v>
      </c>
      <c r="D79" s="179" t="s">
        <v>169</v>
      </c>
      <c r="E79" s="180"/>
      <c r="F79" s="181"/>
      <c r="G79" s="41">
        <v>0.05</v>
      </c>
      <c r="H79" s="25">
        <f>TRUNC((H$80+H$81)*$G79,2)</f>
        <v>91.32</v>
      </c>
      <c r="I79" s="20"/>
    </row>
    <row r="80" spans="2:9" x14ac:dyDescent="0.2">
      <c r="B80" s="16" t="s">
        <v>5</v>
      </c>
      <c r="C80" s="100" t="s">
        <v>100</v>
      </c>
      <c r="D80" s="179" t="s">
        <v>190</v>
      </c>
      <c r="E80" s="180"/>
      <c r="F80" s="181"/>
      <c r="G80" s="26"/>
      <c r="H80" s="22">
        <f>TRUNC((H$33+H$44+H$56+H$67-H61)/12,2)</f>
        <v>1382.6</v>
      </c>
      <c r="I80" s="112"/>
    </row>
    <row r="81" spans="2:9" x14ac:dyDescent="0.2">
      <c r="B81" s="16" t="s">
        <v>6</v>
      </c>
      <c r="C81" s="100" t="s">
        <v>101</v>
      </c>
      <c r="D81" s="223" t="s">
        <v>181</v>
      </c>
      <c r="E81" s="225"/>
      <c r="F81" s="43">
        <v>0.4</v>
      </c>
      <c r="G81" s="26"/>
      <c r="H81" s="22">
        <f>TRUNC(H$56*$F81,2)</f>
        <v>443.87</v>
      </c>
      <c r="I81" s="112"/>
    </row>
    <row r="82" spans="2:9" x14ac:dyDescent="0.2">
      <c r="B82" s="16" t="s">
        <v>7</v>
      </c>
      <c r="C82" s="91" t="s">
        <v>102</v>
      </c>
      <c r="D82" s="179" t="s">
        <v>170</v>
      </c>
      <c r="E82" s="180"/>
      <c r="F82" s="181"/>
      <c r="G82" s="41">
        <v>1</v>
      </c>
      <c r="H82" s="94">
        <f>IF($G82&gt;=1,(TRUNC(H$83*$G82,2)),"ERRO")</f>
        <v>443.87</v>
      </c>
      <c r="I82" s="114"/>
    </row>
    <row r="83" spans="2:9" x14ac:dyDescent="0.2">
      <c r="B83" s="16" t="s">
        <v>8</v>
      </c>
      <c r="C83" s="100" t="s">
        <v>103</v>
      </c>
      <c r="D83" s="223" t="s">
        <v>181</v>
      </c>
      <c r="E83" s="225"/>
      <c r="F83" s="43">
        <v>0.4</v>
      </c>
      <c r="G83" s="26"/>
      <c r="H83" s="22">
        <f>TRUNC(H$56*$F83,2)</f>
        <v>443.87</v>
      </c>
      <c r="I83" s="112"/>
    </row>
    <row r="84" spans="2:9" x14ac:dyDescent="0.2">
      <c r="B84" s="16" t="s">
        <v>9</v>
      </c>
      <c r="C84" s="91" t="s">
        <v>187</v>
      </c>
      <c r="D84" s="238" t="s">
        <v>182</v>
      </c>
      <c r="E84" s="239"/>
      <c r="F84" s="42">
        <v>12</v>
      </c>
      <c r="G84" s="42">
        <v>3</v>
      </c>
      <c r="H84" s="22">
        <f>TRUNC(((H$33+H$44+H$57)/30)*$G84/$F84,2)</f>
        <v>161.59</v>
      </c>
      <c r="I84" s="112"/>
    </row>
    <row r="85" spans="2:9" x14ac:dyDescent="0.2">
      <c r="B85" s="16" t="s">
        <v>156</v>
      </c>
      <c r="C85" s="201" t="s">
        <v>61</v>
      </c>
      <c r="D85" s="226"/>
      <c r="E85" s="226"/>
      <c r="F85" s="226"/>
      <c r="G85" s="89"/>
      <c r="H85" s="19">
        <f>H$79+H$82+H$84</f>
        <v>696.78000000000009</v>
      </c>
      <c r="I85" s="20"/>
    </row>
    <row r="86" spans="2:9" x14ac:dyDescent="0.2">
      <c r="B86" s="103"/>
      <c r="C86" s="103"/>
      <c r="D86" s="103"/>
      <c r="E86" s="103"/>
      <c r="F86" s="103"/>
      <c r="G86" s="103"/>
      <c r="H86" s="103"/>
      <c r="I86" s="103"/>
    </row>
    <row r="87" spans="2:9" x14ac:dyDescent="0.2">
      <c r="B87" s="106"/>
      <c r="C87" s="106"/>
      <c r="D87" s="106"/>
      <c r="E87" s="106"/>
      <c r="F87" s="106"/>
      <c r="G87" s="106"/>
      <c r="H87" s="106"/>
      <c r="I87" s="107"/>
    </row>
    <row r="88" spans="2:9" x14ac:dyDescent="0.2">
      <c r="B88" s="227" t="s">
        <v>73</v>
      </c>
      <c r="C88" s="228"/>
      <c r="D88" s="228"/>
      <c r="E88" s="228"/>
      <c r="F88" s="232"/>
      <c r="G88" s="153"/>
      <c r="H88" s="154"/>
      <c r="I88" s="107"/>
    </row>
    <row r="89" spans="2:9" x14ac:dyDescent="0.2">
      <c r="B89" s="240" t="s">
        <v>92</v>
      </c>
      <c r="C89" s="241"/>
      <c r="D89" s="241"/>
      <c r="E89" s="241"/>
      <c r="F89" s="241"/>
      <c r="G89" s="161"/>
      <c r="H89" s="162"/>
      <c r="I89" s="107"/>
    </row>
    <row r="90" spans="2:9" x14ac:dyDescent="0.2">
      <c r="B90" s="102" t="s">
        <v>14</v>
      </c>
      <c r="C90" s="201" t="s">
        <v>93</v>
      </c>
      <c r="D90" s="226"/>
      <c r="E90" s="226"/>
      <c r="F90" s="202"/>
      <c r="G90" s="102" t="s">
        <v>108</v>
      </c>
      <c r="H90" s="102" t="s">
        <v>49</v>
      </c>
      <c r="I90" s="107"/>
    </row>
    <row r="91" spans="2:9" x14ac:dyDescent="0.2">
      <c r="B91" s="16" t="s">
        <v>4</v>
      </c>
      <c r="C91" s="100" t="s">
        <v>113</v>
      </c>
      <c r="D91" s="179" t="s">
        <v>162</v>
      </c>
      <c r="E91" s="180"/>
      <c r="F91" s="181"/>
      <c r="G91" s="42">
        <v>30</v>
      </c>
      <c r="H91" s="22">
        <f>TRUNC((H$93*$G91)/12,2)</f>
        <v>1808.22</v>
      </c>
      <c r="I91" s="112"/>
    </row>
    <row r="92" spans="2:9" ht="22.5" x14ac:dyDescent="0.2">
      <c r="B92" s="16" t="s">
        <v>5</v>
      </c>
      <c r="C92" s="92" t="s">
        <v>168</v>
      </c>
      <c r="D92" s="182" t="s">
        <v>171</v>
      </c>
      <c r="E92" s="183"/>
      <c r="F92" s="184"/>
      <c r="G92" s="66">
        <v>8</v>
      </c>
      <c r="H92" s="22">
        <f>TRUNC((H$93*$G92)/12,2)</f>
        <v>482.19</v>
      </c>
      <c r="I92" s="112"/>
    </row>
    <row r="93" spans="2:9" x14ac:dyDescent="0.2">
      <c r="B93" s="16" t="s">
        <v>6</v>
      </c>
      <c r="C93" s="100" t="s">
        <v>115</v>
      </c>
      <c r="D93" s="179" t="s">
        <v>155</v>
      </c>
      <c r="E93" s="180"/>
      <c r="F93" s="180"/>
      <c r="G93" s="181"/>
      <c r="H93" s="22">
        <f>TRUNC((H$33+H$74+H$85)/30,2)</f>
        <v>723.29</v>
      </c>
      <c r="I93" s="112"/>
    </row>
    <row r="94" spans="2:9" x14ac:dyDescent="0.2">
      <c r="B94" s="16" t="s">
        <v>157</v>
      </c>
      <c r="C94" s="201" t="s">
        <v>61</v>
      </c>
      <c r="D94" s="226"/>
      <c r="E94" s="226"/>
      <c r="F94" s="226"/>
      <c r="G94" s="89"/>
      <c r="H94" s="19">
        <f>TRUNC(H$91+H$92,2)</f>
        <v>2290.41</v>
      </c>
      <c r="I94" s="20"/>
    </row>
    <row r="95" spans="2:9" x14ac:dyDescent="0.2">
      <c r="B95" s="80"/>
      <c r="C95" s="81"/>
      <c r="D95" s="81"/>
      <c r="E95" s="81"/>
      <c r="F95" s="81"/>
      <c r="G95" s="81"/>
      <c r="H95" s="82"/>
      <c r="I95" s="27"/>
    </row>
    <row r="96" spans="2:9" x14ac:dyDescent="0.2">
      <c r="B96" s="233" t="s">
        <v>94</v>
      </c>
      <c r="C96" s="234"/>
      <c r="D96" s="234"/>
      <c r="E96" s="234"/>
      <c r="F96" s="234"/>
      <c r="G96" s="163"/>
      <c r="H96" s="164"/>
      <c r="I96" s="107"/>
    </row>
    <row r="97" spans="2:9" x14ac:dyDescent="0.2">
      <c r="B97" s="102" t="s">
        <v>15</v>
      </c>
      <c r="C97" s="201" t="s">
        <v>95</v>
      </c>
      <c r="D97" s="226"/>
      <c r="E97" s="226"/>
      <c r="F97" s="202"/>
      <c r="G97" s="102" t="s">
        <v>108</v>
      </c>
      <c r="H97" s="102" t="s">
        <v>49</v>
      </c>
      <c r="I97" s="107"/>
    </row>
    <row r="98" spans="2:9" ht="22.5" x14ac:dyDescent="0.2">
      <c r="B98" s="16" t="s">
        <v>4</v>
      </c>
      <c r="C98" s="92" t="s">
        <v>96</v>
      </c>
      <c r="D98" s="179" t="s">
        <v>192</v>
      </c>
      <c r="E98" s="180"/>
      <c r="F98" s="180"/>
      <c r="G98" s="42"/>
      <c r="H98" s="22">
        <f>TRUNC(((H$33+H74+H85)/220)*(1+50%)*G98,2)</f>
        <v>0</v>
      </c>
      <c r="I98" s="112"/>
    </row>
    <row r="99" spans="2:9" x14ac:dyDescent="0.2">
      <c r="B99" s="16" t="s">
        <v>158</v>
      </c>
      <c r="C99" s="201" t="s">
        <v>61</v>
      </c>
      <c r="D99" s="226"/>
      <c r="E99" s="226"/>
      <c r="F99" s="226"/>
      <c r="G99" s="138"/>
      <c r="H99" s="19">
        <f>H98</f>
        <v>0</v>
      </c>
      <c r="I99" s="112"/>
    </row>
    <row r="100" spans="2:9" x14ac:dyDescent="0.2">
      <c r="B100" s="105"/>
      <c r="C100" s="104"/>
      <c r="D100" s="104"/>
      <c r="E100" s="104"/>
      <c r="F100" s="104"/>
      <c r="G100" s="106"/>
      <c r="H100" s="178"/>
      <c r="I100" s="128"/>
    </row>
    <row r="101" spans="2:9" x14ac:dyDescent="0.2">
      <c r="B101" s="233" t="s">
        <v>74</v>
      </c>
      <c r="C101" s="234"/>
      <c r="D101" s="234"/>
      <c r="E101" s="234"/>
      <c r="F101" s="234"/>
      <c r="G101" s="163"/>
      <c r="H101" s="164"/>
      <c r="I101" s="107"/>
    </row>
    <row r="102" spans="2:9" x14ac:dyDescent="0.2">
      <c r="B102" s="102">
        <v>4</v>
      </c>
      <c r="C102" s="201" t="s">
        <v>75</v>
      </c>
      <c r="D102" s="226"/>
      <c r="E102" s="226"/>
      <c r="F102" s="226"/>
      <c r="G102" s="202"/>
      <c r="H102" s="102" t="s">
        <v>49</v>
      </c>
      <c r="I102" s="107"/>
    </row>
    <row r="103" spans="2:9" x14ac:dyDescent="0.2">
      <c r="B103" s="16" t="s">
        <v>14</v>
      </c>
      <c r="C103" s="100" t="s">
        <v>42</v>
      </c>
      <c r="D103" s="179" t="s">
        <v>157</v>
      </c>
      <c r="E103" s="180"/>
      <c r="F103" s="180"/>
      <c r="G103" s="181"/>
      <c r="H103" s="22">
        <f>H94</f>
        <v>2290.41</v>
      </c>
      <c r="I103" s="112"/>
    </row>
    <row r="104" spans="2:9" x14ac:dyDescent="0.2">
      <c r="B104" s="16" t="s">
        <v>15</v>
      </c>
      <c r="C104" s="100" t="s">
        <v>44</v>
      </c>
      <c r="D104" s="179" t="s">
        <v>158</v>
      </c>
      <c r="E104" s="180"/>
      <c r="F104" s="180"/>
      <c r="G104" s="181"/>
      <c r="H104" s="22">
        <f>H99</f>
        <v>0</v>
      </c>
      <c r="I104" s="112"/>
    </row>
    <row r="105" spans="2:9" x14ac:dyDescent="0.2">
      <c r="B105" s="16" t="s">
        <v>159</v>
      </c>
      <c r="C105" s="201" t="s">
        <v>61</v>
      </c>
      <c r="D105" s="226"/>
      <c r="E105" s="226"/>
      <c r="F105" s="226"/>
      <c r="G105" s="89"/>
      <c r="H105" s="19">
        <f>SUM(H103:H104)</f>
        <v>2290.41</v>
      </c>
      <c r="I105" s="20"/>
    </row>
    <row r="106" spans="2:9" x14ac:dyDescent="0.2">
      <c r="B106" s="106"/>
      <c r="C106" s="106"/>
      <c r="D106" s="106"/>
      <c r="E106" s="106"/>
      <c r="F106" s="106"/>
      <c r="G106" s="106"/>
      <c r="H106" s="106"/>
      <c r="I106" s="107"/>
    </row>
    <row r="107" spans="2:9" x14ac:dyDescent="0.2">
      <c r="B107" s="106"/>
      <c r="C107" s="106"/>
      <c r="D107" s="106"/>
      <c r="E107" s="106"/>
      <c r="F107" s="106"/>
      <c r="G107" s="106"/>
      <c r="H107" s="106"/>
      <c r="I107" s="107"/>
    </row>
    <row r="108" spans="2:9" x14ac:dyDescent="0.2">
      <c r="B108" s="227" t="s">
        <v>76</v>
      </c>
      <c r="C108" s="228"/>
      <c r="D108" s="228"/>
      <c r="E108" s="228"/>
      <c r="F108" s="232"/>
      <c r="G108" s="153"/>
      <c r="H108" s="154"/>
      <c r="I108" s="107"/>
    </row>
    <row r="109" spans="2:9" x14ac:dyDescent="0.2">
      <c r="B109" s="102">
        <v>5</v>
      </c>
      <c r="C109" s="229" t="s">
        <v>63</v>
      </c>
      <c r="D109" s="230"/>
      <c r="E109" s="230"/>
      <c r="F109" s="230"/>
      <c r="G109" s="231"/>
      <c r="H109" s="102" t="s">
        <v>49</v>
      </c>
      <c r="I109" s="107"/>
    </row>
    <row r="110" spans="2:9" x14ac:dyDescent="0.2">
      <c r="B110" s="16" t="s">
        <v>4</v>
      </c>
      <c r="C110" s="74" t="s">
        <v>45</v>
      </c>
      <c r="D110" s="75"/>
      <c r="E110" s="75"/>
      <c r="F110" s="75"/>
      <c r="G110" s="76"/>
      <c r="H110" s="77">
        <f>Insumos!G15</f>
        <v>0</v>
      </c>
      <c r="I110" s="112"/>
    </row>
    <row r="111" spans="2:9" x14ac:dyDescent="0.2">
      <c r="B111" s="16" t="s">
        <v>5</v>
      </c>
      <c r="C111" s="74" t="s">
        <v>12</v>
      </c>
      <c r="D111" s="75"/>
      <c r="E111" s="75"/>
      <c r="F111" s="75"/>
      <c r="G111" s="76"/>
      <c r="H111" s="77">
        <f>Insumos!G32</f>
        <v>0</v>
      </c>
      <c r="I111" s="112"/>
    </row>
    <row r="112" spans="2:9" x14ac:dyDescent="0.2">
      <c r="B112" s="16" t="s">
        <v>6</v>
      </c>
      <c r="C112" s="74" t="s">
        <v>13</v>
      </c>
      <c r="D112" s="75"/>
      <c r="E112" s="75"/>
      <c r="F112" s="75"/>
      <c r="G112" s="76"/>
      <c r="H112" s="77">
        <f>Insumos!H50</f>
        <v>134.30000000000001</v>
      </c>
      <c r="I112" s="112"/>
    </row>
    <row r="113" spans="2:9" x14ac:dyDescent="0.2">
      <c r="B113" s="16" t="s">
        <v>7</v>
      </c>
      <c r="C113" s="74" t="s">
        <v>2</v>
      </c>
      <c r="D113" s="75"/>
      <c r="E113" s="75"/>
      <c r="F113" s="75"/>
      <c r="G113" s="76"/>
      <c r="H113" s="77"/>
      <c r="I113" s="112"/>
    </row>
    <row r="114" spans="2:9" x14ac:dyDescent="0.2">
      <c r="B114" s="16" t="s">
        <v>160</v>
      </c>
      <c r="C114" s="201" t="s">
        <v>61</v>
      </c>
      <c r="D114" s="226"/>
      <c r="E114" s="226"/>
      <c r="F114" s="226"/>
      <c r="G114" s="89"/>
      <c r="H114" s="19">
        <f>SUM(H110:H113)</f>
        <v>134.30000000000001</v>
      </c>
      <c r="I114" s="20"/>
    </row>
    <row r="115" spans="2:9" x14ac:dyDescent="0.2">
      <c r="B115" s="106"/>
      <c r="C115" s="106"/>
      <c r="D115" s="106"/>
      <c r="E115" s="106"/>
      <c r="F115" s="106"/>
      <c r="G115" s="83"/>
      <c r="H115" s="78"/>
      <c r="I115" s="20"/>
    </row>
    <row r="116" spans="2:9" x14ac:dyDescent="0.2">
      <c r="B116" s="106"/>
      <c r="C116" s="106"/>
      <c r="D116" s="106"/>
      <c r="E116" s="106"/>
      <c r="F116" s="106"/>
      <c r="G116" s="106"/>
      <c r="H116" s="106"/>
      <c r="I116" s="107"/>
    </row>
    <row r="117" spans="2:9" x14ac:dyDescent="0.2">
      <c r="B117" s="227" t="s">
        <v>77</v>
      </c>
      <c r="C117" s="228"/>
      <c r="D117" s="228"/>
      <c r="E117" s="228"/>
      <c r="F117" s="232"/>
      <c r="G117" s="153"/>
      <c r="H117" s="154"/>
      <c r="I117" s="107"/>
    </row>
    <row r="118" spans="2:9" x14ac:dyDescent="0.2">
      <c r="B118" s="102">
        <v>6</v>
      </c>
      <c r="C118" s="201" t="s">
        <v>64</v>
      </c>
      <c r="D118" s="226"/>
      <c r="E118" s="226"/>
      <c r="F118" s="202"/>
      <c r="G118" s="102" t="s">
        <v>1</v>
      </c>
      <c r="H118" s="102" t="s">
        <v>49</v>
      </c>
      <c r="I118" s="107"/>
    </row>
    <row r="119" spans="2:9" x14ac:dyDescent="0.2">
      <c r="B119" s="16" t="s">
        <v>4</v>
      </c>
      <c r="C119" s="100" t="s">
        <v>16</v>
      </c>
      <c r="D119" s="223" t="s">
        <v>172</v>
      </c>
      <c r="E119" s="224"/>
      <c r="F119" s="225"/>
      <c r="G119" s="55">
        <v>0.05</v>
      </c>
      <c r="H119" s="22">
        <f>TRUNC(H$136*$G119,2)</f>
        <v>1206.18</v>
      </c>
      <c r="I119" s="112"/>
    </row>
    <row r="120" spans="2:9" x14ac:dyDescent="0.2">
      <c r="B120" s="16" t="s">
        <v>5</v>
      </c>
      <c r="C120" s="100" t="s">
        <v>3</v>
      </c>
      <c r="D120" s="223" t="s">
        <v>173</v>
      </c>
      <c r="E120" s="224"/>
      <c r="F120" s="225"/>
      <c r="G120" s="55">
        <v>0.1</v>
      </c>
      <c r="H120" s="22">
        <f>TRUNC((H$136+H$119)*$G120,2)</f>
        <v>2532.98</v>
      </c>
      <c r="I120" s="112"/>
    </row>
    <row r="121" spans="2:9" x14ac:dyDescent="0.2">
      <c r="B121" s="16" t="s">
        <v>6</v>
      </c>
      <c r="C121" s="100" t="s">
        <v>124</v>
      </c>
      <c r="D121" s="223" t="s">
        <v>174</v>
      </c>
      <c r="E121" s="224"/>
      <c r="F121" s="225"/>
      <c r="G121" s="57">
        <f>1-(G122+G123+G124)</f>
        <v>0.85749999999999993</v>
      </c>
      <c r="H121" s="28">
        <f>TRUNC(((H$136+H$119+H$120)/$G121),2)</f>
        <v>32493.09</v>
      </c>
      <c r="I121" s="115"/>
    </row>
    <row r="122" spans="2:9" x14ac:dyDescent="0.2">
      <c r="B122" s="16" t="s">
        <v>21</v>
      </c>
      <c r="C122" s="100" t="s">
        <v>18</v>
      </c>
      <c r="D122" s="223" t="s">
        <v>175</v>
      </c>
      <c r="E122" s="224"/>
      <c r="F122" s="225"/>
      <c r="G122" s="56">
        <v>1.6500000000000001E-2</v>
      </c>
      <c r="H122" s="22">
        <f>TRUNC(H$121*$G122,2)</f>
        <v>536.13</v>
      </c>
      <c r="I122" s="112"/>
    </row>
    <row r="123" spans="2:9" x14ac:dyDescent="0.2">
      <c r="B123" s="16" t="s">
        <v>22</v>
      </c>
      <c r="C123" s="100" t="s">
        <v>19</v>
      </c>
      <c r="D123" s="223" t="s">
        <v>175</v>
      </c>
      <c r="E123" s="224"/>
      <c r="F123" s="225"/>
      <c r="G123" s="56">
        <v>7.5999999999999998E-2</v>
      </c>
      <c r="H123" s="22">
        <f>TRUNC(H$121*$G123,2)</f>
        <v>2469.4699999999998</v>
      </c>
      <c r="I123" s="112"/>
    </row>
    <row r="124" spans="2:9" x14ac:dyDescent="0.2">
      <c r="B124" s="16" t="s">
        <v>23</v>
      </c>
      <c r="C124" s="100" t="s">
        <v>20</v>
      </c>
      <c r="D124" s="223" t="s">
        <v>175</v>
      </c>
      <c r="E124" s="224"/>
      <c r="F124" s="225"/>
      <c r="G124" s="56">
        <v>0.05</v>
      </c>
      <c r="H124" s="22">
        <f>TRUNC(H$121*$G124,2)</f>
        <v>1624.65</v>
      </c>
      <c r="I124" s="112"/>
    </row>
    <row r="125" spans="2:9" x14ac:dyDescent="0.2">
      <c r="B125" s="16" t="s">
        <v>161</v>
      </c>
      <c r="C125" s="96" t="s">
        <v>61</v>
      </c>
      <c r="D125" s="207" t="s">
        <v>163</v>
      </c>
      <c r="E125" s="207"/>
      <c r="F125" s="207"/>
      <c r="G125" s="177"/>
      <c r="H125" s="19">
        <f>SUM(H119:H124)-H121</f>
        <v>8369.41</v>
      </c>
      <c r="I125" s="20"/>
    </row>
    <row r="126" spans="2:9" x14ac:dyDescent="0.2">
      <c r="B126" s="72"/>
      <c r="C126" s="72"/>
      <c r="D126" s="72"/>
      <c r="E126" s="72"/>
      <c r="F126" s="72"/>
      <c r="G126" s="72"/>
      <c r="H126" s="84"/>
      <c r="I126" s="29"/>
    </row>
    <row r="127" spans="2:9" x14ac:dyDescent="0.2">
      <c r="B127" s="211" t="s">
        <v>203</v>
      </c>
      <c r="C127" s="211"/>
      <c r="D127" s="211"/>
      <c r="E127" s="211"/>
      <c r="F127" s="211"/>
      <c r="G127" s="211"/>
      <c r="H127" s="211"/>
      <c r="I127" s="122"/>
    </row>
    <row r="128" spans="2:9" x14ac:dyDescent="0.2">
      <c r="B128" s="99"/>
      <c r="C128" s="99"/>
      <c r="D128" s="99"/>
      <c r="E128" s="99"/>
      <c r="F128" s="99"/>
      <c r="G128" s="99"/>
      <c r="H128" s="99"/>
      <c r="I128" s="122"/>
    </row>
    <row r="129" spans="2:10" x14ac:dyDescent="0.2">
      <c r="B129" s="227" t="s">
        <v>204</v>
      </c>
      <c r="C129" s="228"/>
      <c r="D129" s="228"/>
      <c r="E129" s="228"/>
      <c r="F129" s="228"/>
      <c r="G129" s="171"/>
      <c r="H129" s="154"/>
      <c r="I129" s="107"/>
    </row>
    <row r="130" spans="2:10" ht="12.75" customHeight="1" x14ac:dyDescent="0.2">
      <c r="B130" s="169"/>
      <c r="C130" s="205" t="s">
        <v>125</v>
      </c>
      <c r="D130" s="206"/>
      <c r="E130" s="206"/>
      <c r="F130" s="206"/>
      <c r="G130" s="170"/>
      <c r="H130" s="152" t="s">
        <v>49</v>
      </c>
      <c r="I130" s="107"/>
    </row>
    <row r="131" spans="2:10" x14ac:dyDescent="0.2">
      <c r="B131" s="16" t="s">
        <v>4</v>
      </c>
      <c r="C131" s="92" t="s">
        <v>79</v>
      </c>
      <c r="D131" s="179" t="s">
        <v>138</v>
      </c>
      <c r="E131" s="180"/>
      <c r="F131" s="180"/>
      <c r="G131" s="181"/>
      <c r="H131" s="22">
        <f>H33</f>
        <v>11612.960000000001</v>
      </c>
      <c r="I131" s="112"/>
    </row>
    <row r="132" spans="2:10" ht="22.5" x14ac:dyDescent="0.2">
      <c r="B132" s="16" t="s">
        <v>5</v>
      </c>
      <c r="C132" s="92" t="s">
        <v>80</v>
      </c>
      <c r="D132" s="179" t="s">
        <v>152</v>
      </c>
      <c r="E132" s="180"/>
      <c r="F132" s="180"/>
      <c r="G132" s="181"/>
      <c r="H132" s="22">
        <f>H74</f>
        <v>9389.2200000000012</v>
      </c>
      <c r="I132" s="112"/>
    </row>
    <row r="133" spans="2:10" x14ac:dyDescent="0.2">
      <c r="B133" s="16" t="s">
        <v>6</v>
      </c>
      <c r="C133" s="92" t="s">
        <v>81</v>
      </c>
      <c r="D133" s="179" t="s">
        <v>156</v>
      </c>
      <c r="E133" s="180"/>
      <c r="F133" s="180"/>
      <c r="G133" s="181"/>
      <c r="H133" s="22">
        <f>H85</f>
        <v>696.78000000000009</v>
      </c>
      <c r="I133" s="112"/>
    </row>
    <row r="134" spans="2:10" ht="22.5" x14ac:dyDescent="0.2">
      <c r="B134" s="16" t="s">
        <v>7</v>
      </c>
      <c r="C134" s="92" t="s">
        <v>43</v>
      </c>
      <c r="D134" s="179" t="s">
        <v>159</v>
      </c>
      <c r="E134" s="180"/>
      <c r="F134" s="180"/>
      <c r="G134" s="181"/>
      <c r="H134" s="22">
        <f>H105</f>
        <v>2290.41</v>
      </c>
      <c r="I134" s="112"/>
    </row>
    <row r="135" spans="2:10" x14ac:dyDescent="0.2">
      <c r="B135" s="16" t="s">
        <v>8</v>
      </c>
      <c r="C135" s="92" t="s">
        <v>82</v>
      </c>
      <c r="D135" s="179" t="s">
        <v>160</v>
      </c>
      <c r="E135" s="180"/>
      <c r="F135" s="180"/>
      <c r="G135" s="181"/>
      <c r="H135" s="22">
        <f>H114</f>
        <v>134.30000000000001</v>
      </c>
      <c r="I135" s="112"/>
    </row>
    <row r="136" spans="2:10" x14ac:dyDescent="0.2">
      <c r="B136" s="98" t="s">
        <v>9</v>
      </c>
      <c r="C136" s="91" t="s">
        <v>46</v>
      </c>
      <c r="D136" s="185" t="s">
        <v>179</v>
      </c>
      <c r="E136" s="186"/>
      <c r="F136" s="186"/>
      <c r="G136" s="187"/>
      <c r="H136" s="25">
        <f>SUM(H131:H135)</f>
        <v>24123.67</v>
      </c>
      <c r="I136" s="20"/>
    </row>
    <row r="137" spans="2:10" x14ac:dyDescent="0.2">
      <c r="B137" s="16" t="s">
        <v>10</v>
      </c>
      <c r="C137" s="100" t="s">
        <v>83</v>
      </c>
      <c r="D137" s="179" t="s">
        <v>161</v>
      </c>
      <c r="E137" s="180"/>
      <c r="F137" s="180"/>
      <c r="G137" s="181"/>
      <c r="H137" s="22">
        <f>H125</f>
        <v>8369.41</v>
      </c>
      <c r="I137" s="112"/>
    </row>
    <row r="138" spans="2:10" x14ac:dyDescent="0.2">
      <c r="B138" s="16" t="s">
        <v>164</v>
      </c>
      <c r="C138" s="95" t="s">
        <v>78</v>
      </c>
      <c r="D138" s="188" t="s">
        <v>178</v>
      </c>
      <c r="E138" s="176"/>
      <c r="F138" s="176"/>
      <c r="G138" s="177"/>
      <c r="H138" s="31">
        <f>SUM(H136:H137)</f>
        <v>32493.079999999998</v>
      </c>
      <c r="I138" s="126"/>
      <c r="J138" s="189"/>
    </row>
    <row r="139" spans="2:10" ht="12.75" customHeight="1" x14ac:dyDescent="0.2">
      <c r="B139" s="14"/>
      <c r="C139" s="14"/>
      <c r="D139" s="14"/>
      <c r="E139" s="14"/>
      <c r="F139" s="14"/>
      <c r="G139" s="14"/>
      <c r="H139" s="32"/>
      <c r="I139" s="32"/>
    </row>
    <row r="140" spans="2:10" x14ac:dyDescent="0.2">
      <c r="B140" s="211" t="s">
        <v>205</v>
      </c>
      <c r="C140" s="211"/>
      <c r="D140" s="211"/>
      <c r="E140" s="211"/>
      <c r="F140" s="211"/>
      <c r="I140" s="14"/>
    </row>
    <row r="141" spans="2:10" x14ac:dyDescent="0.2">
      <c r="B141" s="85"/>
      <c r="C141" s="85"/>
      <c r="D141" s="85"/>
      <c r="E141" s="79"/>
      <c r="F141" s="79"/>
      <c r="I141" s="14"/>
    </row>
    <row r="142" spans="2:10" x14ac:dyDescent="0.2">
      <c r="B142" s="215" t="s">
        <v>206</v>
      </c>
      <c r="C142" s="216"/>
      <c r="D142" s="216"/>
      <c r="E142" s="216"/>
      <c r="F142" s="216"/>
      <c r="G142" s="171"/>
      <c r="H142" s="154"/>
      <c r="I142" s="123"/>
    </row>
    <row r="143" spans="2:10" x14ac:dyDescent="0.2">
      <c r="B143" s="139" t="s">
        <v>4</v>
      </c>
      <c r="C143" s="172" t="s">
        <v>109</v>
      </c>
      <c r="D143" s="217" t="s">
        <v>164</v>
      </c>
      <c r="E143" s="218"/>
      <c r="F143" s="218"/>
      <c r="G143" s="173"/>
      <c r="H143" s="174">
        <f>H138</f>
        <v>32493.079999999998</v>
      </c>
      <c r="I143" s="121"/>
    </row>
    <row r="144" spans="2:10" ht="22.5" x14ac:dyDescent="0.2">
      <c r="B144" s="16" t="s">
        <v>5</v>
      </c>
      <c r="C144" s="93" t="s">
        <v>166</v>
      </c>
      <c r="D144" s="219" t="s">
        <v>167</v>
      </c>
      <c r="E144" s="220"/>
      <c r="F144" s="220"/>
      <c r="G144" s="167"/>
      <c r="H144" s="11">
        <f>H44+H85+H103</f>
        <v>5245.25</v>
      </c>
      <c r="I144" s="116"/>
    </row>
    <row r="145" spans="2:9" ht="22.5" x14ac:dyDescent="0.2">
      <c r="B145" s="16" t="s">
        <v>6</v>
      </c>
      <c r="C145" s="93" t="s">
        <v>183</v>
      </c>
      <c r="D145" s="219" t="s">
        <v>191</v>
      </c>
      <c r="E145" s="220"/>
      <c r="F145" s="220"/>
      <c r="G145" s="168"/>
      <c r="H145" s="120">
        <f>TRUNC((H$44*$G57),2)</f>
        <v>898.7</v>
      </c>
      <c r="I145" s="121"/>
    </row>
    <row r="146" spans="2:9" ht="12.75" customHeight="1" x14ac:dyDescent="0.2">
      <c r="B146" s="16" t="s">
        <v>7</v>
      </c>
      <c r="C146" s="93" t="s">
        <v>16</v>
      </c>
      <c r="D146" s="208" t="s">
        <v>176</v>
      </c>
      <c r="E146" s="209"/>
      <c r="F146" s="210"/>
      <c r="G146" s="12">
        <f>G119</f>
        <v>0.05</v>
      </c>
      <c r="H146" s="11">
        <f>TRUNC((H$144+H$145)*$G146,2)</f>
        <v>307.19</v>
      </c>
      <c r="I146" s="116"/>
    </row>
    <row r="147" spans="2:9" ht="12.75" customHeight="1" x14ac:dyDescent="0.2">
      <c r="B147" s="16" t="s">
        <v>8</v>
      </c>
      <c r="C147" s="93" t="s">
        <v>3</v>
      </c>
      <c r="D147" s="208" t="s">
        <v>177</v>
      </c>
      <c r="E147" s="209"/>
      <c r="F147" s="210"/>
      <c r="G147" s="12">
        <f>G120</f>
        <v>0.1</v>
      </c>
      <c r="H147" s="11">
        <f>TRUNC((H$144+H$145+H$146)*$G147,2)</f>
        <v>645.11</v>
      </c>
      <c r="I147" s="116"/>
    </row>
    <row r="148" spans="2:9" ht="12.75" customHeight="1" x14ac:dyDescent="0.2">
      <c r="B148" s="16" t="s">
        <v>9</v>
      </c>
      <c r="C148" s="93" t="s">
        <v>110</v>
      </c>
      <c r="D148" s="208" t="s">
        <v>185</v>
      </c>
      <c r="E148" s="209"/>
      <c r="F148" s="210"/>
      <c r="G148" s="12">
        <f>G122+G123+G124</f>
        <v>0.14250000000000002</v>
      </c>
      <c r="H148" s="11">
        <f>TRUNC((H$144+H$145+H$146+H$147)/(1-$G148)-(H$144+H$145+H$146+H$147),2)</f>
        <v>1179.26</v>
      </c>
      <c r="I148" s="116"/>
    </row>
    <row r="149" spans="2:9" ht="22.5" x14ac:dyDescent="0.2">
      <c r="B149" s="16" t="s">
        <v>10</v>
      </c>
      <c r="C149" s="140" t="s">
        <v>111</v>
      </c>
      <c r="D149" s="165" t="s">
        <v>186</v>
      </c>
      <c r="E149" s="166"/>
      <c r="F149" s="166"/>
      <c r="G149" s="167"/>
      <c r="H149" s="141">
        <f>SUM(H144:H148)</f>
        <v>8275.5099999999984</v>
      </c>
      <c r="I149" s="117"/>
    </row>
    <row r="150" spans="2:9" x14ac:dyDescent="0.2">
      <c r="B150" s="16" t="s">
        <v>165</v>
      </c>
      <c r="C150" s="97" t="s">
        <v>135</v>
      </c>
      <c r="D150" s="221" t="s">
        <v>184</v>
      </c>
      <c r="E150" s="222"/>
      <c r="F150" s="222"/>
      <c r="G150" s="175"/>
      <c r="H150" s="33">
        <f>H143-H149</f>
        <v>24217.57</v>
      </c>
      <c r="I150" s="127"/>
    </row>
    <row r="151" spans="2:9" ht="45" customHeight="1" x14ac:dyDescent="0.2">
      <c r="B151" s="212" t="s">
        <v>134</v>
      </c>
      <c r="C151" s="213"/>
      <c r="D151" s="213"/>
      <c r="E151" s="213"/>
      <c r="F151" s="213"/>
      <c r="G151" s="214"/>
      <c r="H151" s="151"/>
      <c r="I151" s="118"/>
    </row>
  </sheetData>
  <mergeCells count="107">
    <mergeCell ref="D34:F34"/>
    <mergeCell ref="B2:H2"/>
    <mergeCell ref="B3:H3"/>
    <mergeCell ref="B9:B10"/>
    <mergeCell ref="B19:B20"/>
    <mergeCell ref="C24:F24"/>
    <mergeCell ref="B15:B16"/>
    <mergeCell ref="D6:F6"/>
    <mergeCell ref="B17:B18"/>
    <mergeCell ref="D32:F32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  <mergeCell ref="B13:B14"/>
    <mergeCell ref="C33:F33"/>
    <mergeCell ref="D25:F25"/>
    <mergeCell ref="D26:F26"/>
    <mergeCell ref="D27:F27"/>
    <mergeCell ref="D28:F28"/>
    <mergeCell ref="D29:F29"/>
    <mergeCell ref="D30:F30"/>
    <mergeCell ref="B23:F23"/>
    <mergeCell ref="D31:F31"/>
    <mergeCell ref="B38:F38"/>
    <mergeCell ref="B40:F40"/>
    <mergeCell ref="B39:F39"/>
    <mergeCell ref="B50:B51"/>
    <mergeCell ref="C50:C51"/>
    <mergeCell ref="D50:D51"/>
    <mergeCell ref="C41:F41"/>
    <mergeCell ref="D42:F42"/>
    <mergeCell ref="D43:F43"/>
    <mergeCell ref="C44:F44"/>
    <mergeCell ref="B45:H45"/>
    <mergeCell ref="G50:G51"/>
    <mergeCell ref="H50:H51"/>
    <mergeCell ref="B46:F46"/>
    <mergeCell ref="D52:F52"/>
    <mergeCell ref="D53:F53"/>
    <mergeCell ref="D54:F54"/>
    <mergeCell ref="C47:F47"/>
    <mergeCell ref="D48:F48"/>
    <mergeCell ref="D49:F49"/>
    <mergeCell ref="B59:F59"/>
    <mergeCell ref="C60:F60"/>
    <mergeCell ref="D55:F55"/>
    <mergeCell ref="D56:F56"/>
    <mergeCell ref="C57:F57"/>
    <mergeCell ref="B58:H58"/>
    <mergeCell ref="C67:F67"/>
    <mergeCell ref="B75:H75"/>
    <mergeCell ref="C78:F78"/>
    <mergeCell ref="B68:H68"/>
    <mergeCell ref="B77:F77"/>
    <mergeCell ref="B69:F69"/>
    <mergeCell ref="C70:F70"/>
    <mergeCell ref="C74:F74"/>
    <mergeCell ref="C90:F90"/>
    <mergeCell ref="D81:E81"/>
    <mergeCell ref="D83:E83"/>
    <mergeCell ref="D84:E84"/>
    <mergeCell ref="B88:F88"/>
    <mergeCell ref="B89:F89"/>
    <mergeCell ref="C94:F94"/>
    <mergeCell ref="C85:F85"/>
    <mergeCell ref="C109:G109"/>
    <mergeCell ref="C97:F97"/>
    <mergeCell ref="C102:G102"/>
    <mergeCell ref="B108:F108"/>
    <mergeCell ref="B117:F117"/>
    <mergeCell ref="B96:F96"/>
    <mergeCell ref="B101:F101"/>
    <mergeCell ref="C114:F114"/>
    <mergeCell ref="C105:F105"/>
    <mergeCell ref="C99:F99"/>
    <mergeCell ref="D124:F124"/>
    <mergeCell ref="B127:H127"/>
    <mergeCell ref="C118:F118"/>
    <mergeCell ref="D119:F119"/>
    <mergeCell ref="D120:F120"/>
    <mergeCell ref="D121:F121"/>
    <mergeCell ref="D122:F122"/>
    <mergeCell ref="D123:F123"/>
    <mergeCell ref="B129:F129"/>
    <mergeCell ref="C130:F130"/>
    <mergeCell ref="D125:F125"/>
    <mergeCell ref="D146:F146"/>
    <mergeCell ref="D147:F147"/>
    <mergeCell ref="D148:F148"/>
    <mergeCell ref="B140:F140"/>
    <mergeCell ref="B151:G151"/>
    <mergeCell ref="B142:F142"/>
    <mergeCell ref="D143:F143"/>
    <mergeCell ref="D144:F144"/>
    <mergeCell ref="D145:F145"/>
    <mergeCell ref="D150:F150"/>
  </mergeCells>
  <dataValidations count="11">
    <dataValidation type="list" allowBlank="1" showInputMessage="1" showErrorMessage="1" sqref="G84" xr:uid="{00000000-0002-0000-0100-000000000000}">
      <formula1>"3,6,9,12,15"</formula1>
    </dataValidation>
    <dataValidation type="custom" allowBlank="1" showInputMessage="1" showErrorMessage="1" sqref="G121" xr:uid="{00000000-0002-0000-0100-000001000000}">
      <formula1>1-(G122+G123+G124)</formula1>
    </dataValidation>
    <dataValidation type="list" operator="equal" allowBlank="1" showInputMessage="1" showErrorMessage="1" errorTitle="Valor errado" error="Percentual fixo. Preencher com 40%." sqref="F81 F83" xr:uid="{00000000-0002-0000-0100-000002000000}">
      <formula1>"40%"</formula1>
    </dataValidation>
    <dataValidation type="whole" allowBlank="1" showInputMessage="1" showErrorMessage="1" errorTitle="Valor errado" error="Quantidade fixa de dias. Prencher com 30" sqref="G91" xr:uid="{00000000-0002-0000-0100-000003000000}">
      <formula1>30</formula1>
      <formula2>30</formula2>
    </dataValidation>
    <dataValidation type="list" allowBlank="1" showInputMessage="1" showErrorMessage="1" sqref="G30:G31" xr:uid="{00000000-0002-0000-0100-000004000000}">
      <formula1>"0, 50%, 100%"</formula1>
    </dataValidation>
    <dataValidation type="list" allowBlank="1" showInputMessage="1" showErrorMessage="1" sqref="G122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3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1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50"/>
  <sheetViews>
    <sheetView showGridLines="0" topLeftCell="B32" zoomScaleNormal="100" workbookViewId="0">
      <selection activeCell="C41" sqref="C41"/>
    </sheetView>
  </sheetViews>
  <sheetFormatPr defaultColWidth="9.140625" defaultRowHeight="11.25" x14ac:dyDescent="0.2"/>
  <cols>
    <col min="1" max="1" width="3.7109375" style="47" customWidth="1"/>
    <col min="2" max="2" width="25.7109375" style="47" customWidth="1"/>
    <col min="3" max="3" width="14.140625" style="47" customWidth="1"/>
    <col min="4" max="4" width="15.42578125" style="47" customWidth="1"/>
    <col min="5" max="5" width="14" style="47" customWidth="1"/>
    <col min="6" max="6" width="11.42578125" style="47" customWidth="1"/>
    <col min="7" max="7" width="13.140625" style="47" customWidth="1"/>
    <col min="8" max="10" width="15.7109375" style="47" customWidth="1"/>
    <col min="11" max="16384" width="9.140625" style="47"/>
  </cols>
  <sheetData>
    <row r="1" spans="1:12" ht="12" thickBot="1" x14ac:dyDescent="0.25"/>
    <row r="2" spans="1:12" ht="18.75" customHeight="1" thickBot="1" x14ac:dyDescent="0.25">
      <c r="A2" s="276" t="s">
        <v>84</v>
      </c>
      <c r="B2" s="277"/>
      <c r="C2" s="277"/>
      <c r="D2" s="277"/>
      <c r="E2" s="277"/>
      <c r="F2" s="277"/>
      <c r="G2" s="278"/>
      <c r="H2" s="146"/>
      <c r="I2" s="146"/>
    </row>
    <row r="4" spans="1:12" s="48" customFormat="1" ht="30" customHeight="1" x14ac:dyDescent="0.2">
      <c r="A4" s="281" t="s">
        <v>85</v>
      </c>
      <c r="B4" s="281"/>
      <c r="C4" s="44" t="s">
        <v>86</v>
      </c>
      <c r="D4" s="44" t="s">
        <v>211</v>
      </c>
      <c r="E4" s="44" t="s">
        <v>116</v>
      </c>
      <c r="F4" s="44" t="s">
        <v>121</v>
      </c>
      <c r="G4" s="44" t="s">
        <v>122</v>
      </c>
      <c r="H4" s="142"/>
      <c r="I4" s="142"/>
      <c r="K4" s="47"/>
      <c r="L4" s="47"/>
    </row>
    <row r="5" spans="1:12" ht="22.5" customHeight="1" x14ac:dyDescent="0.2">
      <c r="A5" s="5">
        <v>1</v>
      </c>
      <c r="B5" s="147"/>
      <c r="C5" s="52"/>
      <c r="D5" s="148"/>
      <c r="E5" s="148"/>
      <c r="F5" s="148" t="str">
        <f>IF(B5="","",TRUNC(C5*D5*(12/E5),2))</f>
        <v/>
      </c>
      <c r="G5" s="148" t="str">
        <f>IF(B5="","",TRUNC(F5/12,2))</f>
        <v/>
      </c>
      <c r="H5" s="143"/>
      <c r="I5" s="143"/>
    </row>
    <row r="6" spans="1:12" ht="22.5" customHeight="1" x14ac:dyDescent="0.2">
      <c r="A6" s="5">
        <f>A5+1</f>
        <v>2</v>
      </c>
      <c r="B6" s="147"/>
      <c r="C6" s="52"/>
      <c r="D6" s="148"/>
      <c r="E6" s="148"/>
      <c r="F6" s="148" t="str">
        <f>IF(B6="","",TRUNC(C6*D6*(12/E6),2))</f>
        <v/>
      </c>
      <c r="G6" s="148" t="str">
        <f>IF(B6="","",TRUNC(F6/12,2))</f>
        <v/>
      </c>
      <c r="H6" s="143"/>
      <c r="I6" s="143"/>
    </row>
    <row r="7" spans="1:12" ht="22.5" customHeight="1" x14ac:dyDescent="0.2">
      <c r="A7" s="5">
        <f t="shared" ref="A7:A14" si="0">A6+1</f>
        <v>3</v>
      </c>
      <c r="B7" s="147"/>
      <c r="C7" s="52"/>
      <c r="D7" s="148"/>
      <c r="E7" s="148"/>
      <c r="F7" s="148"/>
      <c r="G7" s="148"/>
      <c r="H7" s="144"/>
      <c r="I7" s="144"/>
    </row>
    <row r="8" spans="1:12" ht="22.5" customHeight="1" x14ac:dyDescent="0.2">
      <c r="A8" s="5">
        <f t="shared" si="0"/>
        <v>4</v>
      </c>
      <c r="B8" s="147"/>
      <c r="C8" s="52"/>
      <c r="D8" s="148"/>
      <c r="E8" s="148"/>
      <c r="F8" s="148"/>
      <c r="G8" s="148"/>
      <c r="H8" s="144"/>
      <c r="I8" s="144"/>
    </row>
    <row r="9" spans="1:12" ht="22.5" customHeight="1" x14ac:dyDescent="0.2">
      <c r="A9" s="5">
        <f t="shared" si="0"/>
        <v>5</v>
      </c>
      <c r="B9" s="147"/>
      <c r="C9" s="52"/>
      <c r="D9" s="148"/>
      <c r="E9" s="148"/>
      <c r="F9" s="148"/>
      <c r="G9" s="148"/>
      <c r="H9" s="144"/>
      <c r="I9" s="144"/>
    </row>
    <row r="10" spans="1:12" ht="22.5" customHeight="1" x14ac:dyDescent="0.2">
      <c r="A10" s="5">
        <f t="shared" si="0"/>
        <v>6</v>
      </c>
      <c r="B10" s="147"/>
      <c r="C10" s="52"/>
      <c r="D10" s="148"/>
      <c r="E10" s="148"/>
      <c r="F10" s="148"/>
      <c r="G10" s="148"/>
      <c r="H10" s="144"/>
      <c r="I10" s="144"/>
    </row>
    <row r="11" spans="1:12" ht="22.5" customHeight="1" x14ac:dyDescent="0.2">
      <c r="A11" s="5">
        <f t="shared" si="0"/>
        <v>7</v>
      </c>
      <c r="B11" s="147"/>
      <c r="C11" s="52"/>
      <c r="D11" s="148"/>
      <c r="E11" s="148"/>
      <c r="F11" s="148"/>
      <c r="G11" s="148"/>
      <c r="H11" s="144"/>
      <c r="I11" s="144"/>
    </row>
    <row r="12" spans="1:12" ht="22.5" customHeight="1" x14ac:dyDescent="0.2">
      <c r="A12" s="5">
        <f t="shared" si="0"/>
        <v>8</v>
      </c>
      <c r="B12" s="147"/>
      <c r="C12" s="52"/>
      <c r="D12" s="148"/>
      <c r="E12" s="148"/>
      <c r="F12" s="148"/>
      <c r="G12" s="148"/>
      <c r="H12" s="144"/>
      <c r="I12" s="144"/>
    </row>
    <row r="13" spans="1:12" ht="22.5" customHeight="1" x14ac:dyDescent="0.2">
      <c r="A13" s="5">
        <f t="shared" si="0"/>
        <v>9</v>
      </c>
      <c r="B13" s="147"/>
      <c r="C13" s="52"/>
      <c r="D13" s="148"/>
      <c r="E13" s="148"/>
      <c r="F13" s="148"/>
      <c r="G13" s="148"/>
      <c r="H13" s="144"/>
      <c r="I13" s="144"/>
    </row>
    <row r="14" spans="1:12" ht="22.5" customHeight="1" x14ac:dyDescent="0.2">
      <c r="A14" s="5">
        <f t="shared" si="0"/>
        <v>10</v>
      </c>
      <c r="B14" s="147"/>
      <c r="C14" s="52"/>
      <c r="D14" s="148"/>
      <c r="E14" s="148"/>
      <c r="F14" s="148"/>
      <c r="G14" s="148"/>
      <c r="H14" s="144"/>
      <c r="I14" s="144"/>
    </row>
    <row r="15" spans="1:12" ht="22.5" customHeight="1" x14ac:dyDescent="0.2">
      <c r="B15" s="48"/>
      <c r="C15" s="51"/>
      <c r="D15" s="51"/>
      <c r="E15" s="279" t="s">
        <v>117</v>
      </c>
      <c r="F15" s="280"/>
      <c r="G15" s="46">
        <f>SUM(G5:G14)</f>
        <v>0</v>
      </c>
    </row>
    <row r="18" spans="1:9" ht="12" thickBot="1" x14ac:dyDescent="0.25"/>
    <row r="19" spans="1:9" ht="18.75" customHeight="1" thickBot="1" x14ac:dyDescent="0.25">
      <c r="A19" s="276" t="s">
        <v>118</v>
      </c>
      <c r="B19" s="277"/>
      <c r="C19" s="277"/>
      <c r="D19" s="277"/>
      <c r="E19" s="277"/>
      <c r="F19" s="277"/>
      <c r="G19" s="278"/>
      <c r="H19" s="146"/>
      <c r="I19" s="146"/>
    </row>
    <row r="21" spans="1:9" s="48" customFormat="1" ht="30" customHeight="1" x14ac:dyDescent="0.2">
      <c r="A21" s="281" t="s">
        <v>85</v>
      </c>
      <c r="B21" s="281"/>
      <c r="C21" s="44" t="s">
        <v>86</v>
      </c>
      <c r="D21" s="44" t="s">
        <v>127</v>
      </c>
      <c r="E21" s="44" t="s">
        <v>128</v>
      </c>
      <c r="F21" s="45" t="s">
        <v>121</v>
      </c>
      <c r="G21" s="44" t="s">
        <v>122</v>
      </c>
    </row>
    <row r="22" spans="1:9" ht="22.5" customHeight="1" x14ac:dyDescent="0.2">
      <c r="A22" s="5">
        <v>1</v>
      </c>
      <c r="B22" s="147"/>
      <c r="C22" s="52"/>
      <c r="D22" s="148"/>
      <c r="E22" s="148"/>
      <c r="F22" s="148" t="str">
        <f>IF(B22="","",TRUNC((C22*D22*12)/E22,2))</f>
        <v/>
      </c>
      <c r="G22" s="148" t="str">
        <f>IF(B22="","",TRUNC(F22/12,2))</f>
        <v/>
      </c>
    </row>
    <row r="23" spans="1:9" ht="22.5" customHeight="1" x14ac:dyDescent="0.2">
      <c r="A23" s="5">
        <f>A22+1</f>
        <v>2</v>
      </c>
      <c r="B23" s="147"/>
      <c r="C23" s="52"/>
      <c r="D23" s="148"/>
      <c r="E23" s="148"/>
      <c r="F23" s="148"/>
      <c r="G23" s="145"/>
      <c r="H23" s="144" t="str">
        <f t="shared" ref="H23:H31" si="1">IF(B23="","",TRUNC((C23*D23*12)/G23,2))</f>
        <v/>
      </c>
      <c r="I23" s="144" t="str">
        <f t="shared" ref="I23:I31" si="2">IF(B23="","",TRUNC(H23/12,2))</f>
        <v/>
      </c>
    </row>
    <row r="24" spans="1:9" ht="22.5" customHeight="1" x14ac:dyDescent="0.2">
      <c r="A24" s="5">
        <f t="shared" ref="A24:A31" si="3">A23+1</f>
        <v>3</v>
      </c>
      <c r="B24" s="147"/>
      <c r="C24" s="52"/>
      <c r="D24" s="148"/>
      <c r="E24" s="148"/>
      <c r="F24" s="148"/>
      <c r="G24" s="145"/>
      <c r="H24" s="144" t="str">
        <f t="shared" si="1"/>
        <v/>
      </c>
      <c r="I24" s="144" t="str">
        <f t="shared" si="2"/>
        <v/>
      </c>
    </row>
    <row r="25" spans="1:9" ht="22.5" customHeight="1" x14ac:dyDescent="0.2">
      <c r="A25" s="5">
        <f t="shared" si="3"/>
        <v>4</v>
      </c>
      <c r="B25" s="147"/>
      <c r="C25" s="52"/>
      <c r="D25" s="148"/>
      <c r="E25" s="148"/>
      <c r="F25" s="148"/>
      <c r="G25" s="145"/>
      <c r="H25" s="144" t="str">
        <f t="shared" si="1"/>
        <v/>
      </c>
      <c r="I25" s="144" t="str">
        <f t="shared" si="2"/>
        <v/>
      </c>
    </row>
    <row r="26" spans="1:9" ht="22.5" customHeight="1" x14ac:dyDescent="0.2">
      <c r="A26" s="5">
        <f t="shared" si="3"/>
        <v>5</v>
      </c>
      <c r="B26" s="147"/>
      <c r="C26" s="52"/>
      <c r="D26" s="148"/>
      <c r="E26" s="148"/>
      <c r="F26" s="148"/>
      <c r="G26" s="145"/>
      <c r="H26" s="144" t="str">
        <f t="shared" si="1"/>
        <v/>
      </c>
      <c r="I26" s="144" t="str">
        <f t="shared" si="2"/>
        <v/>
      </c>
    </row>
    <row r="27" spans="1:9" ht="22.5" customHeight="1" x14ac:dyDescent="0.2">
      <c r="A27" s="5">
        <f t="shared" si="3"/>
        <v>6</v>
      </c>
      <c r="B27" s="147"/>
      <c r="C27" s="52"/>
      <c r="D27" s="148"/>
      <c r="E27" s="148"/>
      <c r="F27" s="148"/>
      <c r="G27" s="145"/>
      <c r="H27" s="144" t="str">
        <f t="shared" si="1"/>
        <v/>
      </c>
      <c r="I27" s="144" t="str">
        <f t="shared" si="2"/>
        <v/>
      </c>
    </row>
    <row r="28" spans="1:9" ht="22.5" customHeight="1" x14ac:dyDescent="0.2">
      <c r="A28" s="5">
        <f t="shared" si="3"/>
        <v>7</v>
      </c>
      <c r="B28" s="147"/>
      <c r="C28" s="52"/>
      <c r="D28" s="148"/>
      <c r="E28" s="148"/>
      <c r="F28" s="148"/>
      <c r="G28" s="145"/>
      <c r="H28" s="144" t="str">
        <f t="shared" si="1"/>
        <v/>
      </c>
      <c r="I28" s="144" t="str">
        <f t="shared" si="2"/>
        <v/>
      </c>
    </row>
    <row r="29" spans="1:9" ht="22.5" customHeight="1" x14ac:dyDescent="0.2">
      <c r="A29" s="5">
        <f t="shared" si="3"/>
        <v>8</v>
      </c>
      <c r="B29" s="147"/>
      <c r="C29" s="52"/>
      <c r="D29" s="148"/>
      <c r="E29" s="148"/>
      <c r="F29" s="148"/>
      <c r="G29" s="145"/>
      <c r="H29" s="144" t="str">
        <f t="shared" si="1"/>
        <v/>
      </c>
      <c r="I29" s="144" t="str">
        <f t="shared" si="2"/>
        <v/>
      </c>
    </row>
    <row r="30" spans="1:9" ht="22.5" customHeight="1" x14ac:dyDescent="0.2">
      <c r="A30" s="5">
        <f t="shared" si="3"/>
        <v>9</v>
      </c>
      <c r="B30" s="147"/>
      <c r="C30" s="52"/>
      <c r="D30" s="148"/>
      <c r="E30" s="148"/>
      <c r="F30" s="148"/>
      <c r="G30" s="145"/>
      <c r="H30" s="144" t="str">
        <f t="shared" si="1"/>
        <v/>
      </c>
      <c r="I30" s="144" t="str">
        <f t="shared" si="2"/>
        <v/>
      </c>
    </row>
    <row r="31" spans="1:9" ht="22.5" customHeight="1" x14ac:dyDescent="0.2">
      <c r="A31" s="5">
        <f t="shared" si="3"/>
        <v>10</v>
      </c>
      <c r="B31" s="147"/>
      <c r="C31" s="52"/>
      <c r="D31" s="145"/>
      <c r="E31" s="145"/>
      <c r="F31" s="145"/>
      <c r="G31" s="145"/>
      <c r="H31" s="144" t="str">
        <f t="shared" si="1"/>
        <v/>
      </c>
      <c r="I31" s="144" t="str">
        <f t="shared" si="2"/>
        <v/>
      </c>
    </row>
    <row r="32" spans="1:9" ht="22.5" customHeight="1" x14ac:dyDescent="0.2">
      <c r="B32" s="48"/>
      <c r="C32" s="51"/>
      <c r="E32" s="279" t="s">
        <v>117</v>
      </c>
      <c r="F32" s="280"/>
      <c r="G32" s="54">
        <f>SUM(G22:G31)</f>
        <v>0</v>
      </c>
    </row>
    <row r="35" spans="1:10" ht="12" thickBot="1" x14ac:dyDescent="0.25"/>
    <row r="36" spans="1:10" ht="18.75" customHeight="1" thickBot="1" x14ac:dyDescent="0.25">
      <c r="A36" s="276" t="s">
        <v>119</v>
      </c>
      <c r="B36" s="277"/>
      <c r="C36" s="277"/>
      <c r="D36" s="277"/>
      <c r="E36" s="277"/>
      <c r="F36" s="277"/>
      <c r="G36" s="277"/>
      <c r="H36" s="278"/>
      <c r="I36" s="146"/>
      <c r="J36" s="146"/>
    </row>
    <row r="39" spans="1:10" s="48" customFormat="1" ht="48" customHeight="1" x14ac:dyDescent="0.2">
      <c r="A39" s="279" t="s">
        <v>85</v>
      </c>
      <c r="B39" s="280"/>
      <c r="C39" s="44" t="s">
        <v>120</v>
      </c>
      <c r="D39" s="44" t="s">
        <v>207</v>
      </c>
      <c r="E39" s="44" t="s">
        <v>129</v>
      </c>
      <c r="F39" s="44" t="s">
        <v>128</v>
      </c>
      <c r="G39" s="44" t="s">
        <v>123</v>
      </c>
      <c r="H39" s="44" t="s">
        <v>122</v>
      </c>
      <c r="I39" s="142"/>
      <c r="J39" s="142"/>
    </row>
    <row r="40" spans="1:10" ht="22.5" customHeight="1" x14ac:dyDescent="0.2">
      <c r="A40" s="5">
        <v>1</v>
      </c>
      <c r="B40" s="147" t="s">
        <v>97</v>
      </c>
      <c r="C40" s="52">
        <v>1327.19</v>
      </c>
      <c r="D40" s="53">
        <v>12</v>
      </c>
      <c r="E40" s="50">
        <v>1</v>
      </c>
      <c r="F40" s="50">
        <v>1</v>
      </c>
      <c r="G40" s="49">
        <f>IF(B40="","",TRUNC(E40/F40,2))</f>
        <v>1</v>
      </c>
      <c r="H40" s="49">
        <f>IF(B40="","",TRUNC(C40/D40*G40,2))</f>
        <v>110.59</v>
      </c>
      <c r="I40" s="144"/>
      <c r="J40" s="144"/>
    </row>
    <row r="41" spans="1:10" ht="22.5" customHeight="1" x14ac:dyDescent="0.2">
      <c r="A41" s="5">
        <f>A40+1</f>
        <v>2</v>
      </c>
      <c r="B41" s="147" t="s">
        <v>210</v>
      </c>
      <c r="C41" s="52">
        <v>284.58999999999997</v>
      </c>
      <c r="D41" s="53">
        <v>12</v>
      </c>
      <c r="E41" s="50">
        <v>1</v>
      </c>
      <c r="F41" s="50">
        <v>1</v>
      </c>
      <c r="G41" s="49">
        <f t="shared" ref="G41:G49" si="4">IF(B41="","",TRUNC(E41/F41,2))</f>
        <v>1</v>
      </c>
      <c r="H41" s="49">
        <f t="shared" ref="H41:H49" si="5">IF(B41="","",TRUNC(C41/D41*G41,2))</f>
        <v>23.71</v>
      </c>
      <c r="I41" s="144"/>
      <c r="J41" s="144"/>
    </row>
    <row r="42" spans="1:10" ht="22.5" customHeight="1" x14ac:dyDescent="0.2">
      <c r="A42" s="5">
        <f t="shared" ref="A42:A49" si="6">A41+1</f>
        <v>3</v>
      </c>
      <c r="B42" s="147"/>
      <c r="C42" s="52"/>
      <c r="D42" s="53"/>
      <c r="E42" s="50"/>
      <c r="F42" s="50"/>
      <c r="G42" s="49" t="str">
        <f t="shared" si="4"/>
        <v/>
      </c>
      <c r="H42" s="49" t="str">
        <f t="shared" si="5"/>
        <v/>
      </c>
      <c r="I42" s="144"/>
      <c r="J42" s="144"/>
    </row>
    <row r="43" spans="1:10" ht="22.5" customHeight="1" x14ac:dyDescent="0.2">
      <c r="A43" s="5">
        <f>A42+1</f>
        <v>4</v>
      </c>
      <c r="B43" s="147"/>
      <c r="C43" s="52"/>
      <c r="D43" s="53"/>
      <c r="E43" s="50"/>
      <c r="F43" s="50"/>
      <c r="G43" s="49" t="str">
        <f t="shared" si="4"/>
        <v/>
      </c>
      <c r="H43" s="49" t="str">
        <f t="shared" si="5"/>
        <v/>
      </c>
      <c r="I43" s="144"/>
      <c r="J43" s="144"/>
    </row>
    <row r="44" spans="1:10" ht="22.5" customHeight="1" x14ac:dyDescent="0.2">
      <c r="A44" s="5">
        <f t="shared" si="6"/>
        <v>5</v>
      </c>
      <c r="B44" s="147"/>
      <c r="C44" s="52"/>
      <c r="D44" s="53"/>
      <c r="E44" s="50"/>
      <c r="F44" s="50"/>
      <c r="G44" s="49" t="str">
        <f t="shared" si="4"/>
        <v/>
      </c>
      <c r="H44" s="49" t="str">
        <f t="shared" si="5"/>
        <v/>
      </c>
      <c r="I44" s="144"/>
      <c r="J44" s="144"/>
    </row>
    <row r="45" spans="1:10" ht="22.5" customHeight="1" x14ac:dyDescent="0.2">
      <c r="A45" s="5">
        <f t="shared" si="6"/>
        <v>6</v>
      </c>
      <c r="B45" s="147"/>
      <c r="C45" s="52"/>
      <c r="D45" s="53"/>
      <c r="E45" s="50"/>
      <c r="F45" s="50"/>
      <c r="G45" s="49" t="str">
        <f t="shared" si="4"/>
        <v/>
      </c>
      <c r="H45" s="49" t="str">
        <f t="shared" si="5"/>
        <v/>
      </c>
      <c r="I45" s="144"/>
      <c r="J45" s="144"/>
    </row>
    <row r="46" spans="1:10" ht="22.5" customHeight="1" x14ac:dyDescent="0.2">
      <c r="A46" s="5">
        <f t="shared" si="6"/>
        <v>7</v>
      </c>
      <c r="B46" s="147"/>
      <c r="C46" s="52"/>
      <c r="D46" s="53"/>
      <c r="E46" s="50"/>
      <c r="F46" s="50"/>
      <c r="G46" s="49" t="str">
        <f t="shared" si="4"/>
        <v/>
      </c>
      <c r="H46" s="49" t="str">
        <f t="shared" si="5"/>
        <v/>
      </c>
      <c r="I46" s="144"/>
      <c r="J46" s="144"/>
    </row>
    <row r="47" spans="1:10" ht="22.5" customHeight="1" x14ac:dyDescent="0.2">
      <c r="A47" s="5">
        <f t="shared" si="6"/>
        <v>8</v>
      </c>
      <c r="B47" s="147"/>
      <c r="C47" s="52"/>
      <c r="D47" s="53"/>
      <c r="E47" s="50"/>
      <c r="F47" s="50"/>
      <c r="G47" s="49" t="str">
        <f t="shared" si="4"/>
        <v/>
      </c>
      <c r="H47" s="49" t="str">
        <f t="shared" si="5"/>
        <v/>
      </c>
      <c r="I47" s="144"/>
      <c r="J47" s="144"/>
    </row>
    <row r="48" spans="1:10" ht="22.5" customHeight="1" x14ac:dyDescent="0.2">
      <c r="A48" s="5">
        <f t="shared" si="6"/>
        <v>9</v>
      </c>
      <c r="B48" s="147"/>
      <c r="C48" s="52"/>
      <c r="D48" s="53"/>
      <c r="E48" s="50"/>
      <c r="F48" s="50"/>
      <c r="G48" s="49" t="str">
        <f t="shared" si="4"/>
        <v/>
      </c>
      <c r="H48" s="49" t="str">
        <f t="shared" si="5"/>
        <v/>
      </c>
      <c r="I48" s="144"/>
      <c r="J48" s="144"/>
    </row>
    <row r="49" spans="1:10" ht="22.5" customHeight="1" x14ac:dyDescent="0.2">
      <c r="A49" s="5">
        <f t="shared" si="6"/>
        <v>10</v>
      </c>
      <c r="B49" s="147"/>
      <c r="C49" s="52"/>
      <c r="D49" s="52"/>
      <c r="E49" s="49"/>
      <c r="F49" s="49"/>
      <c r="G49" s="49" t="str">
        <f t="shared" si="4"/>
        <v/>
      </c>
      <c r="H49" s="49" t="str">
        <f t="shared" si="5"/>
        <v/>
      </c>
      <c r="I49" s="144"/>
      <c r="J49" s="144"/>
    </row>
    <row r="50" spans="1:10" ht="22.5" customHeight="1" x14ac:dyDescent="0.2">
      <c r="B50" s="48"/>
      <c r="C50" s="51"/>
      <c r="D50" s="51"/>
      <c r="E50" s="51"/>
      <c r="F50" s="279" t="s">
        <v>117</v>
      </c>
      <c r="G50" s="280"/>
      <c r="H50" s="46">
        <f>SUM(H40:H49)</f>
        <v>134.30000000000001</v>
      </c>
    </row>
  </sheetData>
  <mergeCells count="9">
    <mergeCell ref="A2:G2"/>
    <mergeCell ref="A39:B39"/>
    <mergeCell ref="F50:G50"/>
    <mergeCell ref="A4:B4"/>
    <mergeCell ref="E15:F15"/>
    <mergeCell ref="A21:B21"/>
    <mergeCell ref="E32:F32"/>
    <mergeCell ref="A36:H36"/>
    <mergeCell ref="A19:G19"/>
  </mergeCells>
  <pageMargins left="0.511811024" right="0.511811024" top="0.78740157499999996" bottom="0.78740157499999996" header="0.31496062000000002" footer="0.31496062000000002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Quadro resumo</vt:lpstr>
      <vt:lpstr>Arquiteto</vt:lpstr>
      <vt:lpstr>Insumos</vt:lpstr>
      <vt:lpstr>Arquiteto!Area_de_impressao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Jomar Rolland Braga Neto</cp:lastModifiedBy>
  <cp:lastPrinted>2022-11-17T21:40:00Z</cp:lastPrinted>
  <dcterms:created xsi:type="dcterms:W3CDTF">2010-12-08T17:56:29Z</dcterms:created>
  <dcterms:modified xsi:type="dcterms:W3CDTF">2025-03-20T15:22:18Z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