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mar\Downloads\"/>
    </mc:Choice>
  </mc:AlternateContent>
  <xr:revisionPtr revIDLastSave="0" documentId="13_ncr:1_{ABBEE442-4B69-4A7B-9435-6487AAE55008}" xr6:coauthVersionLast="47" xr6:coauthVersionMax="47" xr10:uidLastSave="{00000000-0000-0000-0000-000000000000}"/>
  <bookViews>
    <workbookView xWindow="28680" yWindow="-120" windowWidth="29040" windowHeight="15720" activeTab="2" xr2:uid="{69EC0766-FBE6-468B-BA56-C454D37F1357}"/>
  </bookViews>
  <sheets>
    <sheet name="ORÇAMENTO" sheetId="2" r:id="rId1"/>
    <sheet name="PV" sheetId="3" r:id="rId2"/>
    <sheet name="BDI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3" i="2" l="1"/>
  <c r="AG83" i="2"/>
  <c r="AF83" i="2"/>
  <c r="AE83" i="2"/>
  <c r="AD83" i="2"/>
  <c r="AC83" i="2"/>
  <c r="AB83" i="2"/>
  <c r="AA83" i="2"/>
  <c r="Z83" i="2"/>
  <c r="X83" i="2"/>
  <c r="Y83" i="2"/>
  <c r="W83" i="2"/>
  <c r="Z82" i="2"/>
  <c r="Y82" i="2"/>
  <c r="X82" i="2"/>
  <c r="W82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1" i="2"/>
  <c r="U64" i="2"/>
  <c r="U63" i="2"/>
  <c r="U62" i="2"/>
  <c r="U61" i="2"/>
  <c r="U60" i="2"/>
  <c r="U59" i="2"/>
  <c r="U58" i="2"/>
  <c r="U57" i="2"/>
  <c r="U56" i="2"/>
  <c r="U55" i="2"/>
  <c r="U54" i="2"/>
  <c r="U53" i="2"/>
  <c r="U65" i="2"/>
  <c r="U67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R82" i="2"/>
  <c r="H82" i="2"/>
  <c r="F22" i="3"/>
  <c r="H80" i="2"/>
  <c r="G12" i="3"/>
  <c r="F17" i="3" s="1"/>
  <c r="F16" i="3" s="1"/>
  <c r="G18" i="3" l="1"/>
  <c r="F9" i="3"/>
  <c r="I43" i="2"/>
  <c r="I42" i="2"/>
  <c r="I31" i="2"/>
  <c r="I29" i="2"/>
  <c r="I28" i="2"/>
  <c r="I27" i="2"/>
  <c r="I26" i="2"/>
  <c r="I18" i="2"/>
  <c r="I17" i="2"/>
  <c r="I16" i="2"/>
  <c r="I15" i="2"/>
  <c r="I14" i="2"/>
  <c r="I13" i="2"/>
  <c r="I12" i="2"/>
  <c r="I10" i="2"/>
  <c r="Q77" i="2"/>
  <c r="Q76" i="2"/>
  <c r="Q75" i="2"/>
  <c r="Q62" i="2"/>
  <c r="Q61" i="2"/>
  <c r="Q59" i="2"/>
  <c r="Q58" i="2"/>
  <c r="Q56" i="2"/>
  <c r="Q55" i="2"/>
  <c r="Q54" i="2"/>
  <c r="Q50" i="2"/>
  <c r="Q41" i="2"/>
  <c r="Q40" i="2"/>
  <c r="Q37" i="2"/>
  <c r="Q36" i="2"/>
  <c r="Q35" i="2"/>
  <c r="Q32" i="2"/>
  <c r="Q30" i="2"/>
  <c r="Q21" i="2"/>
  <c r="Q20" i="2"/>
  <c r="Q19" i="2"/>
  <c r="M77" i="2"/>
  <c r="M76" i="2"/>
  <c r="M75" i="2"/>
  <c r="M62" i="2"/>
  <c r="M61" i="2"/>
  <c r="M59" i="2"/>
  <c r="M58" i="2"/>
  <c r="M56" i="2"/>
  <c r="M55" i="2"/>
  <c r="M54" i="2"/>
  <c r="M50" i="2"/>
  <c r="M41" i="2"/>
  <c r="M40" i="2"/>
  <c r="M37" i="2"/>
  <c r="M36" i="2"/>
  <c r="M35" i="2"/>
  <c r="M32" i="2"/>
  <c r="M30" i="2"/>
  <c r="M21" i="2"/>
  <c r="M20" i="2"/>
  <c r="M19" i="2"/>
  <c r="H77" i="2"/>
  <c r="H76" i="2"/>
  <c r="H75" i="2"/>
  <c r="H62" i="2"/>
  <c r="H61" i="2"/>
  <c r="H59" i="2"/>
  <c r="H58" i="2"/>
  <c r="H56" i="2"/>
  <c r="H55" i="2"/>
  <c r="H54" i="2"/>
  <c r="H50" i="2"/>
  <c r="H41" i="2"/>
  <c r="I41" i="2" s="1"/>
  <c r="H40" i="2"/>
  <c r="I40" i="2" s="1"/>
  <c r="H37" i="2"/>
  <c r="I37" i="2" s="1"/>
  <c r="H36" i="2"/>
  <c r="H35" i="2"/>
  <c r="H32" i="2"/>
  <c r="I32" i="2" s="1"/>
  <c r="H30" i="2"/>
  <c r="H21" i="2"/>
  <c r="I21" i="2" s="1"/>
  <c r="H20" i="2"/>
  <c r="I20" i="2" s="1"/>
  <c r="H19" i="2"/>
  <c r="I19" i="2" s="1"/>
  <c r="I47" i="2"/>
  <c r="I60" i="2"/>
  <c r="R60" i="2"/>
  <c r="R64" i="2"/>
  <c r="R63" i="2"/>
  <c r="I74" i="2"/>
  <c r="R74" i="2"/>
  <c r="T41" i="2"/>
  <c r="T40" i="2"/>
  <c r="T32" i="2"/>
  <c r="AD63" i="2" l="1"/>
  <c r="AB63" i="2"/>
  <c r="AD64" i="2"/>
  <c r="AB64" i="2"/>
  <c r="X74" i="2"/>
  <c r="AF74" i="2"/>
  <c r="AH74" i="2"/>
  <c r="Z74" i="2"/>
  <c r="AB74" i="2"/>
  <c r="AD74" i="2"/>
  <c r="AB60" i="2"/>
  <c r="AD60" i="2"/>
  <c r="Q39" i="2"/>
  <c r="Q22" i="2"/>
  <c r="M39" i="2"/>
  <c r="R40" i="2"/>
  <c r="H39" i="2"/>
  <c r="R41" i="2"/>
  <c r="R32" i="2"/>
  <c r="Q6" i="2"/>
  <c r="T20" i="2"/>
  <c r="T21" i="2"/>
  <c r="Z40" i="2" l="1"/>
  <c r="X40" i="2"/>
  <c r="X41" i="2"/>
  <c r="Z41" i="2"/>
  <c r="Z32" i="2"/>
  <c r="X32" i="2"/>
  <c r="M6" i="2"/>
  <c r="R21" i="2"/>
  <c r="R20" i="2"/>
  <c r="Q69" i="2"/>
  <c r="I71" i="2"/>
  <c r="I72" i="2"/>
  <c r="I73" i="2"/>
  <c r="I70" i="2"/>
  <c r="Q57" i="2"/>
  <c r="I63" i="2"/>
  <c r="I64" i="2"/>
  <c r="Q53" i="2"/>
  <c r="Q49" i="2"/>
  <c r="H46" i="2"/>
  <c r="I46" i="2"/>
  <c r="M46" i="2"/>
  <c r="Q46" i="2"/>
  <c r="I44" i="2"/>
  <c r="Q34" i="2"/>
  <c r="M22" i="2"/>
  <c r="H6" i="2"/>
  <c r="H22" i="2"/>
  <c r="T19" i="2"/>
  <c r="T30" i="2"/>
  <c r="M49" i="2"/>
  <c r="R73" i="2"/>
  <c r="R72" i="2"/>
  <c r="R71" i="2"/>
  <c r="R70" i="2"/>
  <c r="R47" i="2"/>
  <c r="R43" i="2"/>
  <c r="R44" i="2"/>
  <c r="R42" i="2"/>
  <c r="R26" i="2"/>
  <c r="R27" i="2"/>
  <c r="R28" i="2"/>
  <c r="R29" i="2"/>
  <c r="R31" i="2"/>
  <c r="Z28" i="2" l="1"/>
  <c r="X28" i="2"/>
  <c r="AD47" i="2"/>
  <c r="AH47" i="2"/>
  <c r="AF47" i="2"/>
  <c r="AB47" i="2"/>
  <c r="X27" i="2"/>
  <c r="Z27" i="2"/>
  <c r="AH70" i="2"/>
  <c r="AD70" i="2"/>
  <c r="Z70" i="2"/>
  <c r="X70" i="2"/>
  <c r="AF70" i="2"/>
  <c r="AB70" i="2"/>
  <c r="Z26" i="2"/>
  <c r="X26" i="2"/>
  <c r="X71" i="2"/>
  <c r="AB71" i="2"/>
  <c r="AF71" i="2"/>
  <c r="AH71" i="2"/>
  <c r="Z71" i="2"/>
  <c r="AD71" i="2"/>
  <c r="R39" i="2"/>
  <c r="Z42" i="2"/>
  <c r="X42" i="2"/>
  <c r="X72" i="2"/>
  <c r="AF72" i="2"/>
  <c r="AH72" i="2"/>
  <c r="Z72" i="2"/>
  <c r="AB72" i="2"/>
  <c r="AD72" i="2"/>
  <c r="Z20" i="2"/>
  <c r="X20" i="2"/>
  <c r="Z31" i="2"/>
  <c r="X31" i="2"/>
  <c r="X44" i="2"/>
  <c r="Z44" i="2"/>
  <c r="X73" i="2"/>
  <c r="Z73" i="2"/>
  <c r="AB73" i="2"/>
  <c r="AF73" i="2"/>
  <c r="AH73" i="2"/>
  <c r="AD73" i="2"/>
  <c r="Z21" i="2"/>
  <c r="X21" i="2"/>
  <c r="Z29" i="2"/>
  <c r="X29" i="2"/>
  <c r="X43" i="2"/>
  <c r="Z43" i="2"/>
  <c r="I39" i="2"/>
  <c r="H49" i="2"/>
  <c r="R50" i="2"/>
  <c r="X50" i="2" s="1"/>
  <c r="M69" i="2"/>
  <c r="M53" i="2"/>
  <c r="M57" i="2"/>
  <c r="I50" i="2"/>
  <c r="I49" i="2" s="1"/>
  <c r="R19" i="2"/>
  <c r="R10" i="2"/>
  <c r="R12" i="2"/>
  <c r="R13" i="2"/>
  <c r="R14" i="2"/>
  <c r="R15" i="2"/>
  <c r="R16" i="2"/>
  <c r="R17" i="2"/>
  <c r="R18" i="2"/>
  <c r="R76" i="2"/>
  <c r="AH76" i="2" s="1"/>
  <c r="R77" i="2"/>
  <c r="AH77" i="2" s="1"/>
  <c r="R75" i="2"/>
  <c r="X75" i="2" s="1"/>
  <c r="R62" i="2"/>
  <c r="R61" i="2"/>
  <c r="R59" i="2"/>
  <c r="R58" i="2"/>
  <c r="R55" i="2"/>
  <c r="R56" i="2"/>
  <c r="R54" i="2"/>
  <c r="R37" i="2"/>
  <c r="F19" i="1"/>
  <c r="E8" i="1"/>
  <c r="T77" i="2"/>
  <c r="T76" i="2"/>
  <c r="T75" i="2"/>
  <c r="T62" i="2"/>
  <c r="T61" i="2"/>
  <c r="T59" i="2"/>
  <c r="T58" i="2"/>
  <c r="T56" i="2"/>
  <c r="T55" i="2"/>
  <c r="T54" i="2"/>
  <c r="T50" i="2"/>
  <c r="R46" i="2"/>
  <c r="T37" i="2"/>
  <c r="T36" i="2"/>
  <c r="D36" i="2"/>
  <c r="T35" i="2"/>
  <c r="D35" i="2"/>
  <c r="D30" i="2"/>
  <c r="I30" i="2" s="1"/>
  <c r="D23" i="2"/>
  <c r="I23" i="2" s="1"/>
  <c r="D11" i="2"/>
  <c r="I11" i="2" s="1"/>
  <c r="D9" i="2"/>
  <c r="I9" i="2" s="1"/>
  <c r="D8" i="2"/>
  <c r="I8" i="2" s="1"/>
  <c r="D7" i="2"/>
  <c r="AF37" i="2" l="1"/>
  <c r="AH37" i="2"/>
  <c r="AB54" i="2"/>
  <c r="AD54" i="2"/>
  <c r="AD62" i="2"/>
  <c r="AB62" i="2"/>
  <c r="Z18" i="2"/>
  <c r="X18" i="2"/>
  <c r="Z12" i="2"/>
  <c r="X12" i="2"/>
  <c r="Z14" i="2"/>
  <c r="X14" i="2"/>
  <c r="AB61" i="2"/>
  <c r="AD61" i="2"/>
  <c r="Z56" i="2"/>
  <c r="X56" i="2"/>
  <c r="Z17" i="2"/>
  <c r="X17" i="2"/>
  <c r="X10" i="2"/>
  <c r="Z10" i="2"/>
  <c r="R7" i="2"/>
  <c r="I7" i="2"/>
  <c r="AD55" i="2"/>
  <c r="X55" i="2"/>
  <c r="Z55" i="2"/>
  <c r="AB55" i="2"/>
  <c r="X16" i="2"/>
  <c r="Z16" i="2"/>
  <c r="X19" i="2"/>
  <c r="Z19" i="2"/>
  <c r="AD59" i="2"/>
  <c r="AB59" i="2"/>
  <c r="X13" i="2"/>
  <c r="Z13" i="2"/>
  <c r="M34" i="2"/>
  <c r="I35" i="2"/>
  <c r="AB58" i="2"/>
  <c r="AD58" i="2"/>
  <c r="Z15" i="2"/>
  <c r="X15" i="2"/>
  <c r="R35" i="2"/>
  <c r="R36" i="2"/>
  <c r="I75" i="2"/>
  <c r="H69" i="2"/>
  <c r="I76" i="2"/>
  <c r="I77" i="2"/>
  <c r="I62" i="2"/>
  <c r="I54" i="2"/>
  <c r="I56" i="2"/>
  <c r="I55" i="2"/>
  <c r="H34" i="2"/>
  <c r="I58" i="2"/>
  <c r="I36" i="2"/>
  <c r="I59" i="2"/>
  <c r="H57" i="2"/>
  <c r="I61" i="2"/>
  <c r="H53" i="2"/>
  <c r="R30" i="2"/>
  <c r="R8" i="2"/>
  <c r="R9" i="2"/>
  <c r="R11" i="2"/>
  <c r="D24" i="2"/>
  <c r="I24" i="2" s="1"/>
  <c r="R23" i="2"/>
  <c r="R49" i="2"/>
  <c r="D25" i="2"/>
  <c r="I25" i="2" s="1"/>
  <c r="X30" i="2" l="1"/>
  <c r="Z30" i="2"/>
  <c r="AH36" i="2"/>
  <c r="AF36" i="2"/>
  <c r="Z8" i="2"/>
  <c r="X8" i="2"/>
  <c r="Z23" i="2"/>
  <c r="X23" i="2"/>
  <c r="AF35" i="2"/>
  <c r="AH35" i="2"/>
  <c r="Z11" i="2"/>
  <c r="X11" i="2"/>
  <c r="Z7" i="2"/>
  <c r="X7" i="2"/>
  <c r="Z9" i="2"/>
  <c r="X9" i="2"/>
  <c r="I6" i="2"/>
  <c r="R6" i="2"/>
  <c r="R69" i="2"/>
  <c r="I69" i="2"/>
  <c r="R57" i="2"/>
  <c r="I34" i="2"/>
  <c r="R34" i="2"/>
  <c r="R53" i="2"/>
  <c r="I53" i="2"/>
  <c r="I57" i="2"/>
  <c r="R25" i="2"/>
  <c r="R24" i="2"/>
  <c r="X24" i="2" l="1"/>
  <c r="Z24" i="2"/>
  <c r="Z25" i="2"/>
  <c r="X25" i="2"/>
  <c r="I22" i="2"/>
  <c r="I78" i="2" s="1"/>
  <c r="R22" i="2"/>
  <c r="R51" i="2" s="1"/>
  <c r="R65" i="2"/>
  <c r="R67" i="2" l="1"/>
  <c r="R79" i="2" l="1"/>
  <c r="D39" i="1" l="1"/>
  <c r="F13" i="1" s="1"/>
  <c r="E12" i="1" s="1"/>
  <c r="X79" i="2"/>
  <c r="E19" i="1" l="1"/>
  <c r="R80" i="2" l="1"/>
  <c r="X80" i="2"/>
  <c r="X81" i="2" s="1"/>
  <c r="AH80" i="2"/>
  <c r="AH81" i="2" s="1"/>
  <c r="AD80" i="2"/>
  <c r="AD81" i="2" s="1"/>
  <c r="AF80" i="2"/>
  <c r="AF81" i="2" s="1"/>
  <c r="Z80" i="2"/>
  <c r="Z81" i="2" s="1"/>
  <c r="AB80" i="2"/>
  <c r="AB81" i="2" s="1"/>
  <c r="R81" i="2" l="1"/>
  <c r="R83" i="2" l="1"/>
  <c r="W75" i="2"/>
  <c r="W79" i="2"/>
  <c r="AG77" i="2"/>
  <c r="W50" i="2"/>
  <c r="AG76" i="2"/>
  <c r="W30" i="2" l="1"/>
  <c r="Y30" i="2"/>
  <c r="W40" i="2"/>
  <c r="Y40" i="2"/>
  <c r="AA61" i="2"/>
  <c r="AC61" i="2"/>
  <c r="W10" i="2"/>
  <c r="Y10" i="2"/>
  <c r="AC54" i="2"/>
  <c r="AA54" i="2"/>
  <c r="Y14" i="2"/>
  <c r="W14" i="2"/>
  <c r="Y43" i="2"/>
  <c r="W43" i="2"/>
  <c r="AG47" i="2"/>
  <c r="AE47" i="2"/>
  <c r="AC47" i="2"/>
  <c r="AA47" i="2"/>
  <c r="AC58" i="2"/>
  <c r="AA58" i="2"/>
  <c r="W29" i="2"/>
  <c r="Y29" i="2"/>
  <c r="W7" i="2"/>
  <c r="Y7" i="2"/>
  <c r="W21" i="2"/>
  <c r="Y21" i="2"/>
  <c r="Y26" i="2"/>
  <c r="W26" i="2"/>
  <c r="W17" i="2"/>
  <c r="Y17" i="2"/>
  <c r="Y25" i="2"/>
  <c r="W25" i="2"/>
  <c r="W72" i="2"/>
  <c r="AE72" i="2"/>
  <c r="AG72" i="2"/>
  <c r="Y72" i="2"/>
  <c r="AA72" i="2"/>
  <c r="AC72" i="2"/>
  <c r="AG73" i="2"/>
  <c r="AA73" i="2"/>
  <c r="W73" i="2"/>
  <c r="Y73" i="2"/>
  <c r="AE73" i="2"/>
  <c r="AC73" i="2"/>
  <c r="Y23" i="2"/>
  <c r="W23" i="2"/>
  <c r="Y15" i="2"/>
  <c r="W15" i="2"/>
  <c r="Y44" i="2"/>
  <c r="W44" i="2"/>
  <c r="AA63" i="2"/>
  <c r="AC63" i="2"/>
  <c r="Y24" i="2"/>
  <c r="W24" i="2"/>
  <c r="W71" i="2"/>
  <c r="AE71" i="2"/>
  <c r="Y71" i="2"/>
  <c r="AG71" i="2"/>
  <c r="AC71" i="2"/>
  <c r="AA71" i="2"/>
  <c r="Y74" i="2"/>
  <c r="AG74" i="2"/>
  <c r="W74" i="2"/>
  <c r="AA74" i="2"/>
  <c r="AC74" i="2"/>
  <c r="AE74" i="2"/>
  <c r="AC59" i="2"/>
  <c r="AA59" i="2"/>
  <c r="W9" i="2"/>
  <c r="Y9" i="2"/>
  <c r="W32" i="2"/>
  <c r="Y32" i="2"/>
  <c r="Y20" i="2"/>
  <c r="W20" i="2"/>
  <c r="W31" i="2"/>
  <c r="Y31" i="2"/>
  <c r="Y11" i="2"/>
  <c r="W11" i="2"/>
  <c r="AA55" i="2"/>
  <c r="W55" i="2"/>
  <c r="AC55" i="2"/>
  <c r="Y55" i="2"/>
  <c r="AC62" i="2"/>
  <c r="AA62" i="2"/>
  <c r="Y28" i="2"/>
  <c r="W28" i="2"/>
  <c r="W13" i="2"/>
  <c r="Y13" i="2"/>
  <c r="Y41" i="2"/>
  <c r="W41" i="2"/>
  <c r="AA64" i="2"/>
  <c r="AC64" i="2"/>
  <c r="AG36" i="2"/>
  <c r="AE36" i="2"/>
  <c r="Y42" i="2"/>
  <c r="W42" i="2"/>
  <c r="Y56" i="2"/>
  <c r="W56" i="2"/>
  <c r="W19" i="2"/>
  <c r="Y19" i="2"/>
  <c r="Y8" i="2"/>
  <c r="W8" i="2"/>
  <c r="W12" i="2"/>
  <c r="Y12" i="2"/>
  <c r="W27" i="2"/>
  <c r="Y27" i="2"/>
  <c r="AA60" i="2"/>
  <c r="AC60" i="2"/>
  <c r="AE70" i="2"/>
  <c r="Y70" i="2"/>
  <c r="AA70" i="2"/>
  <c r="AG70" i="2"/>
  <c r="AC70" i="2"/>
  <c r="W70" i="2"/>
  <c r="W18" i="2"/>
  <c r="Y18" i="2"/>
  <c r="Y16" i="2"/>
  <c r="W16" i="2"/>
  <c r="AG35" i="2"/>
  <c r="AE35" i="2"/>
  <c r="AE37" i="2"/>
  <c r="AG37" i="2"/>
  <c r="AE80" i="2" l="1"/>
  <c r="AE81" i="2" s="1"/>
  <c r="Y80" i="2"/>
  <c r="Y81" i="2" s="1"/>
  <c r="AG80" i="2"/>
  <c r="AG81" i="2" s="1"/>
  <c r="W80" i="2"/>
  <c r="W81" i="2" s="1"/>
  <c r="AA80" i="2"/>
  <c r="AA81" i="2" s="1"/>
  <c r="AC80" i="2"/>
  <c r="AC81" i="2" s="1"/>
</calcChain>
</file>

<file path=xl/sharedStrings.xml><?xml version="1.0" encoding="utf-8"?>
<sst xmlns="http://schemas.openxmlformats.org/spreadsheetml/2006/main" count="662" uniqueCount="261">
  <si>
    <t>Proprietário: FINEP</t>
  </si>
  <si>
    <t>Endereço:  Rua Joaquim Floriano, 512 - 12º andar, bloco C - Edifício Brascan Century Corporate - Itaim Bibi, São Paulo, SP</t>
  </si>
  <si>
    <t xml:space="preserve">Obra:  Readaquação do Departamento Regional Sudeste </t>
  </si>
  <si>
    <t>ITEM</t>
  </si>
  <si>
    <t>MATERIAIS</t>
  </si>
  <si>
    <t>UN.</t>
  </si>
  <si>
    <t>QUAN.</t>
  </si>
  <si>
    <t>TABELA UTILIZADA</t>
  </si>
  <si>
    <t>CÓDIGO</t>
  </si>
  <si>
    <t>PERCENTUAL</t>
  </si>
  <si>
    <t>1.0</t>
  </si>
  <si>
    <t>ARQUITETURA - PLANTA BAIXA</t>
  </si>
  <si>
    <t>1.1</t>
  </si>
  <si>
    <t>1.1.1</t>
  </si>
  <si>
    <t>REMOÇÃO DE CHAPAS E PERFIS DE DRYWALL, DE FORMA MANUAL, SEM REAPROVEITAMENTO. AF_09/2023</t>
  </si>
  <si>
    <t>M2</t>
  </si>
  <si>
    <t>1.1.2</t>
  </si>
  <si>
    <t>REMOÇÃO DE VIDRO TEMPERADO FIXADO EM PERFIL U. AF_01/2021 (VIDRO DUPLO COM PORTAS)</t>
  </si>
  <si>
    <t>1.1.3</t>
  </si>
  <si>
    <t>DEMOLIÇÃO DE ALVENARIA PARA QUALQUER TIPO DE BLOCO, DE FORMA MECANIZADA, SEM REAPROVEITAMENTO. AF_09/2023 (MADEIRA DA RECEPÇÃO)</t>
  </si>
  <si>
    <t>M3</t>
  </si>
  <si>
    <t>1.1.4</t>
  </si>
  <si>
    <t>REMOÇÃO DE LUMINÁRIAS, DE FORMA MANUAL, SEM REAPROVEITAMENTO. AF_09/2023</t>
  </si>
  <si>
    <t>UN</t>
  </si>
  <si>
    <t>1.1.5</t>
  </si>
  <si>
    <t>REMOÇÃO DE ACESSÓRIOS, DE FORMA MANUAL, SEM REAPROVEITAMENTO. AF_09/2023 (CARPETE)</t>
  </si>
  <si>
    <t>1.1.6</t>
  </si>
  <si>
    <t>REMOÇÃO DE ACESSÓRIOS, DE FORMA MANUAL, SEM REAPROVEITAMENTO. AF_09/2023 (CÂMERAS)</t>
  </si>
  <si>
    <t>1.1.7</t>
  </si>
  <si>
    <t>REMOÇÃO DE ACESSÓRIOS, DE FORMA MANUAL, SEM REAPROVEITAMENTO. AF_09/2023 (SUPORTE DE TV)</t>
  </si>
  <si>
    <t>1.1.8</t>
  </si>
  <si>
    <t>REMOÇÃO DE ACESSÓRIOS, DE FORMA MANUAL, SEM REAPROVEITAMENTO. AF_09/2023 (IDENTIDADE VISUAL DAS PORTAS)</t>
  </si>
  <si>
    <t>1.1.9</t>
  </si>
  <si>
    <t>REMOÇÃO DE ACESSÓRIOS, DE FORMA MANUAL, SEM REAPROVEITAMENTO. AF_09/2023 (ADESIVOS)</t>
  </si>
  <si>
    <t>1.1.10</t>
  </si>
  <si>
    <t>REMOÇÃO DE LOUÇAS, DE FORMA MANUAL, SEM REAPROVEITAMENTO. AF_09/2023</t>
  </si>
  <si>
    <t>1.1.11</t>
  </si>
  <si>
    <t>REMOÇÃO DE CABOS ELÉTRICOS, COM SEÇÃO MAIOR QUE 2,5 MM² E MENOR QUE 10 MM², DE FORMA MANUAL, SEM REAPROVEITAMENTO. AF_09/2023 (CABEAMENTO ESTRUTURADO ATUAL)</t>
  </si>
  <si>
    <t>M</t>
  </si>
  <si>
    <t>1.1.13</t>
  </si>
  <si>
    <t>MARCENEIRO COM ENCARGOS COMPLEMENTARES (REMOÇÃO DE ARMÁRIO PLANEJADO, SEM REAPROVEITAMENTO)</t>
  </si>
  <si>
    <t>H</t>
  </si>
  <si>
    <t>1.1.12</t>
  </si>
  <si>
    <t>CARGA, MANOBRA E DESCARGA DE ENTULHO EM CAMINHÃO BASCULANTE 6 M³ - CARGA COM ESCAVADEIRA HIDRÁULICA  (CAÇAMBA DE 0,80 M³ / 111 HP) E DESCARGA LIVRE (UNIDADE: M3). AF_07/2020</t>
  </si>
  <si>
    <t>1.2</t>
  </si>
  <si>
    <t>1.2.1</t>
  </si>
  <si>
    <t>PAREDE COM SISTEMA EM CHAPAS DE GESSO PARA DRYWALL, USO INTERNO, COM DUAS FACES SIMPLES E ESTRUTURA METÁLICA COM GUIAS SIMPLES, SEM VÃOS. AF_07/2023_PS</t>
  </si>
  <si>
    <t>1.2.2</t>
  </si>
  <si>
    <t>EMASSAMENTO COM MASSA LÁTEX, APLICAÇÃO EM PAREDE, UMA DEMÃO, LIXAMENTO MANUAL. AF_04/2023</t>
  </si>
  <si>
    <t>1.2.3</t>
  </si>
  <si>
    <t>FUNDO SELADOR ACRÍLICO, APLICAÇÃO MANUAL EM PAREDE, UMA DEMÃO. AF_04/2023</t>
  </si>
  <si>
    <t>1.2.4</t>
  </si>
  <si>
    <t xml:space="preserve">PINTURA LÁTEX ACRÍLICA PREMIUM, APLICAÇÃO MANUAL EM PAREDES, DUAS DEMÃOS. AF_04/2023 (TINTA ACRÍLICA ACETINADA NA COR BRANCO. REF.: BRANCO NEVE SUVINIL OU EQUIVALENTE) </t>
  </si>
  <si>
    <t>1.2.5</t>
  </si>
  <si>
    <t xml:space="preserve">PINTURA LÁTEX ACRÍLICA PREMIUM, APLICAÇÃO MANUAL EM PAREDES, DUAS DEMÃOS. AF_04/2023 (TINTA ACRÍLICA ACETINADA NA COR DO PANTONE FINEP LARANJA) </t>
  </si>
  <si>
    <t>1.2.6</t>
  </si>
  <si>
    <t xml:space="preserve">PINTURA LÁTEX ACRÍLICA PREMIUM, APLICAÇÃO MANUAL EM PAREDES, DUAS DEMÃOS. AF_04/2023 (TINTA ACRÍLICA ACETINADA NA COR DO PANTONE FINEP AMARELO) </t>
  </si>
  <si>
    <t>1.2.7</t>
  </si>
  <si>
    <t xml:space="preserve">PINTURA LÁTEX ACRÍLICA PREMIUM, APLICAÇÃO MANUAL EM PAREDES, DUAS DEMÃOS. AF_04/2023 (TINTA ACRÍLICA ACETINADA NA COR DO PANTONE VERDE) </t>
  </si>
  <si>
    <t>1.2.8</t>
  </si>
  <si>
    <t>MARMORISTA/GRANITEIRO COM ENCARGOS COMPLEMENTARES (FURO NA PIA DA COPA PARA COOKTOP)</t>
  </si>
  <si>
    <t>1.2.9</t>
  </si>
  <si>
    <t>MARCENEIRO COM ENCARGOS COMPLEMENTARES (ADAPTAR ESTANTE)</t>
  </si>
  <si>
    <t>2.0</t>
  </si>
  <si>
    <t>ARQUITETURA - COMUNICAÇÃO VISUAL</t>
  </si>
  <si>
    <t>2.1</t>
  </si>
  <si>
    <t>IMAGENS COM MENSAGEM CORPORATIVA ADESIVADA - FORNECIMENTO E INSTALAÇÃO</t>
  </si>
  <si>
    <t>COMPOSIÇÃO</t>
  </si>
  <si>
    <t>PELICULA FOSCA - FORNECIMENTO E INSTALAÇÃO</t>
  </si>
  <si>
    <t>PORTAS: IDENTIFICAÇÃO COM NOME DA SALA EM ACRÍLICO E ADESIVO - FORNECIMENTO E INSTALAÇÃO</t>
  </si>
  <si>
    <t>3.0</t>
  </si>
  <si>
    <t xml:space="preserve">ARQUITETURA - TETO </t>
  </si>
  <si>
    <t>3.1</t>
  </si>
  <si>
    <t>3.1.1</t>
  </si>
  <si>
    <t>APLICAÇÃO MANUAL DE GESSO DESEMPENADO (SEM TALISCAS) EM TETO DE AMBIENTES DE ÁREA MENOR QUE 5M², ESPESSURA DE 0,5CM. AF_03/2023</t>
  </si>
  <si>
    <t>3.1.2</t>
  </si>
  <si>
    <t>PINTURA LÁTEX ACRÍLICA PREMIUM, APLICAÇÃO MANUAL EM TETO, DUAS DEMÃOS. AF_04/2023</t>
  </si>
  <si>
    <t>3.1.3</t>
  </si>
  <si>
    <t>LUMINÁRIA TIPO SPOT, DE SOBREPOR, COM 1 LÂMPADA FLUORESCENTE DE 15 W, SEM REATOR - FORNECIMENTO E INSTALAÇÃO. AF_02/2020</t>
  </si>
  <si>
    <t>4.0</t>
  </si>
  <si>
    <t>ARQUITETURA - PISO</t>
  </si>
  <si>
    <t>4.1</t>
  </si>
  <si>
    <t xml:space="preserve">CARPETE DE NYLON EM PLACAS 50 X 50 CM PARA TRAFEGO COMERCIAL PESADO, E = 6,5 MM (INSTALADO)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</si>
  <si>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5.0</t>
  </si>
  <si>
    <t>ARQUITETURA - INCÊNDIO</t>
  </si>
  <si>
    <t>5.1</t>
  </si>
  <si>
    <t>ATUALIZAÇÃO DO PROJETO DE SEGURANÇA CONTRA INCENDIO E PANICO PARA LEGALIZAÇÃO JUNTO AO CORPO DE BOMBEIROS COM EMISSÃO DE ART e FAT</t>
  </si>
  <si>
    <t>VB</t>
  </si>
  <si>
    <t>TOTAL ARQUITETURA</t>
  </si>
  <si>
    <t>6.0</t>
  </si>
  <si>
    <t xml:space="preserve">INSTALAÇÕES ELÉTRICAS </t>
  </si>
  <si>
    <t>INSTALAÇÕES ELÉTRICAS DO LAYOUT</t>
  </si>
  <si>
    <t xml:space="preserve">ABERTURA E FECHAMENTO DE PISO ELEVADO, CONSIDERANDO 40% DA ÁREA DO PISO EXISTENTE </t>
  </si>
  <si>
    <t>NOBREAK TRIFÁSICO 15kVA, ENTRADA 220/127V, SAIDA 220/127V, DE ACORDO COM ESPECIFICAÇÕES TÉCNICAS DO MEMORIAL DESCRITIVO - FORNECIMENTO E INSTALAÇÃO.</t>
  </si>
  <si>
    <t>7.0</t>
  </si>
  <si>
    <t>CABEAMENTO ESTRUTURADO/CFTV</t>
  </si>
  <si>
    <t>INSTALAÇÕES DE INFRAESTRURA DE REDES</t>
  </si>
  <si>
    <t>CABO HDMI 5M - FORNECIMENTO E INSTALAÇÃO</t>
  </si>
  <si>
    <t>CABO ELETRÔNICO CATEGORIA 6A BLINDADO, INSTALADO EM EDIFICAÇÃO INSTITUCIONAL - FORNECIMENTO E INSTALAÇÃO. AF_11/2019 (PATCH CORDS, LINE CORDS E CABEAMENTO HORIZONTAL)</t>
  </si>
  <si>
    <t>CONSOLIDATION POINT, CATEGORIA 6A, 24 PONTOS PARA PISO - FORNECIMENTO E INSTALAÇÃO</t>
  </si>
  <si>
    <t>CONSOLIDATION POINT, CATEGORIA 6A, 12 PONTOS PARA TETO - FORNECIMENTO E INSTALAÇÃO</t>
  </si>
  <si>
    <t>RACK ABERTO EM COLUNA 44U PARA SERVIDOR - FORNECIMENTO E INSTALAÇÃO. AF_11/2019</t>
  </si>
  <si>
    <t>PATCH PANEL 24 PORTAS, CATEGORIA 6A, - FORNECIMENTO E INSTALAÇÃO. AF_11/2019</t>
  </si>
  <si>
    <t>TOTAL INSTALAÇÕES</t>
  </si>
  <si>
    <t>TOTAL DA OBRA</t>
  </si>
  <si>
    <t>8.0</t>
  </si>
  <si>
    <t>CONSTRUTORA</t>
  </si>
  <si>
    <t>8.1.1</t>
  </si>
  <si>
    <t>ARQUITETO PLENO COM ENCARGOS COMPLEMENTARES</t>
  </si>
  <si>
    <t>MES</t>
  </si>
  <si>
    <t>8.1.2</t>
  </si>
  <si>
    <t>ENCARREGADO GERAL DE OBRAS COM ENCARGOS COMPLEMENTARES</t>
  </si>
  <si>
    <t>8.1.3</t>
  </si>
  <si>
    <t>ELETRICISTA COM ENCARGOS COMPLEMENTARES</t>
  </si>
  <si>
    <t>8.1.4</t>
  </si>
  <si>
    <t>AJUDANTE DE ELETRICISTA COM ENCARGOS COMPLEMENTARES</t>
  </si>
  <si>
    <t>8.1.5</t>
  </si>
  <si>
    <t>PLOTAGEM, IMPRESSÃO</t>
  </si>
  <si>
    <t>8.1.6</t>
  </si>
  <si>
    <t>AS BUILT</t>
  </si>
  <si>
    <t>8.1.7</t>
  </si>
  <si>
    <t>LIMPEZA FINAL DA OBRA</t>
  </si>
  <si>
    <t>9.0</t>
  </si>
  <si>
    <t>SEGURO DE RC = TOTAL DA OBRA + CONSTRUTORA</t>
  </si>
  <si>
    <t>vb</t>
  </si>
  <si>
    <t>10.0</t>
  </si>
  <si>
    <t>BDI</t>
  </si>
  <si>
    <t>OBSERVAÇÕES:</t>
  </si>
  <si>
    <t xml:space="preserve">1 - RELAÇÃO DE MATERIAIS ORIENTATIVA, CABENDO AO CONSTRUTOR CONFERIR E COMPLEMENTAR, NÃO EFETUAR COMPRA DE MATERIAIS BASEADO NESTA RELAÇÃO. </t>
  </si>
  <si>
    <t xml:space="preserve">2 - TODO MATERIAL OU SERVIÇO PREVISTO NESTE PROJETO QUE NÃO FOR EXECUTADO SERÁ GLOSADO NA MEDIÇÃO. </t>
  </si>
  <si>
    <t xml:space="preserve">3 - NO CAMPO TABELA UTILIZADA ONDE SE ENCONTRA COMPOSIÇÃO FOI FEITO PESQUISA MÉDIA DO VALOR DE MERCADO </t>
  </si>
  <si>
    <t>4 - NO CAMPO TABELA UTILIZADA ONDE SE ENCONTRA VERBA FOI DESTINADA UMA VERBA PARA EXECUÇÃO DO ITEM</t>
  </si>
  <si>
    <t xml:space="preserve">TABELA DE COMPOSIÇÃO DO  BDI </t>
  </si>
  <si>
    <t>DISCRIMINAÇÃO</t>
  </si>
  <si>
    <t>elemento da fórmula</t>
  </si>
  <si>
    <t>TAXA (%)</t>
  </si>
  <si>
    <t>Administração Central</t>
  </si>
  <si>
    <t>AC</t>
  </si>
  <si>
    <t>Despesas Financeiras</t>
  </si>
  <si>
    <t>DF</t>
  </si>
  <si>
    <t>Seguros, Riscos e Garantias</t>
  </si>
  <si>
    <t>Seguros e Garantias</t>
  </si>
  <si>
    <t>S</t>
  </si>
  <si>
    <t>3.2</t>
  </si>
  <si>
    <t>Riscos</t>
  </si>
  <si>
    <t>R</t>
  </si>
  <si>
    <t>Tributos</t>
  </si>
  <si>
    <t>I</t>
  </si>
  <si>
    <t>ISS</t>
  </si>
  <si>
    <t>4.2</t>
  </si>
  <si>
    <t>PIS</t>
  </si>
  <si>
    <t>4.3</t>
  </si>
  <si>
    <t>COFINS</t>
  </si>
  <si>
    <t>4.4</t>
  </si>
  <si>
    <t>CPRB</t>
  </si>
  <si>
    <t>LUCRO*</t>
  </si>
  <si>
    <t>L</t>
  </si>
  <si>
    <t>Fórmula do BDI :</t>
  </si>
  <si>
    <t>Referências</t>
  </si>
  <si>
    <t>Itens 1, 2, 3 e 5: Cartilha "ORIENTAÇÕES PARA ELABORAÇÃO DE PLANILHAS ORÇAMENTÁRIAS DE OBRAS PÚBLICAS" elaborada pelo TCU em 2014 (https://portal.tcu.gov.br/orientacoes-para-elaboracao-de-planilhas-orcamentarias-de-obras-publicas.htm)</t>
  </si>
  <si>
    <t xml:space="preserve">Itens 4.1:  Instrução Normativa SF/SUREM nº 08, de 18 de julho de 2011  </t>
  </si>
  <si>
    <t>Itens 4.2 e 4.3: LEI No 10.147, DE 21 DE DEZEMBRO DE 2000.</t>
  </si>
  <si>
    <t xml:space="preserve">Item 4.4: Lei nº 12.546/2011 </t>
  </si>
  <si>
    <t>MOLLINARI</t>
  </si>
  <si>
    <t>LEMAM</t>
  </si>
  <si>
    <t>FDV</t>
  </si>
  <si>
    <t>SINAPI SP MAI/2024</t>
  </si>
  <si>
    <t>SINAPI SP MAI/2024 (INSUMO)</t>
  </si>
  <si>
    <t>SINAPI SP MAR/2024</t>
  </si>
  <si>
    <t>11.0</t>
  </si>
  <si>
    <t>VALOR TOTAL DA MÃO DE OBRA</t>
  </si>
  <si>
    <t>CONSTRUÇÃO</t>
  </si>
  <si>
    <t>DEMOLIÇÃO</t>
  </si>
  <si>
    <t>% Custo de mão de obra</t>
  </si>
  <si>
    <t>1.1.14</t>
  </si>
  <si>
    <t>1.1.15</t>
  </si>
  <si>
    <t>REMOÇÃO DE FORRO MODULAR MINERAL, DE FORMA MANUAL. (NAS 03 SALAS DE REUNIÃO)</t>
  </si>
  <si>
    <t>REMOÇÃO DE TABEIRA/FAIXA DE GESSO ACARTONADO, DE FORMA MANUAL. (NAS 03 SALAS DE REUNIÃO)</t>
  </si>
  <si>
    <t>1.2.10</t>
  </si>
  <si>
    <t xml:space="preserve">EPI'S </t>
  </si>
  <si>
    <t>TABEIRA/FAIXA DE GESSO ACARTONADO, ATÉ 1M</t>
  </si>
  <si>
    <t>FORRO MODULAR MINERAL, ACESSÓRIOS E PERFIS - FORNECIMENTO E INSTALAÇÃO</t>
  </si>
  <si>
    <t>8.1.8</t>
  </si>
  <si>
    <t>SUB-TOTAL    (CMO + CM + CE)</t>
  </si>
  <si>
    <t>CMO             CUSTO MÃO DE OBRA</t>
  </si>
  <si>
    <t>CM          CUSTO MATERIAL</t>
  </si>
  <si>
    <t>CE                  CUSTO EQUIPAMENTO</t>
  </si>
  <si>
    <t>TOTAL MÃO-DE-OBRA  (QUAN. X CMO)</t>
  </si>
  <si>
    <t>BDI: INCIDE SOBRE TOTAL DA OBRA + CONSTRUTORA + SGURO RC (VER ABA BDI)</t>
  </si>
  <si>
    <t>1ª Medição</t>
  </si>
  <si>
    <t>2ª Medição</t>
  </si>
  <si>
    <t>3ª Medição</t>
  </si>
  <si>
    <t>%</t>
  </si>
  <si>
    <t>Valor</t>
  </si>
  <si>
    <t>-</t>
  </si>
  <si>
    <t>4ª Medição</t>
  </si>
  <si>
    <t>5ª Medição</t>
  </si>
  <si>
    <t>6ª Medição</t>
  </si>
  <si>
    <t>Fórmula do PV:</t>
  </si>
  <si>
    <t>Fórmula do FP:</t>
  </si>
  <si>
    <t>ELEMENTO DA FÓRMULA</t>
  </si>
  <si>
    <t>FP</t>
  </si>
  <si>
    <t>Fator percentual 1</t>
  </si>
  <si>
    <t>Fator percentual 2</t>
  </si>
  <si>
    <t>FP1</t>
  </si>
  <si>
    <t>FP2</t>
  </si>
  <si>
    <t>1.3</t>
  </si>
  <si>
    <t>1.4</t>
  </si>
  <si>
    <t>Área Construída Estimada 1</t>
  </si>
  <si>
    <t>Área Construída Estimada 2</t>
  </si>
  <si>
    <t>Área Construída Estimada</t>
  </si>
  <si>
    <t>1.5</t>
  </si>
  <si>
    <t>2.2</t>
  </si>
  <si>
    <t>2.3</t>
  </si>
  <si>
    <t>SC</t>
  </si>
  <si>
    <t>SC1</t>
  </si>
  <si>
    <t>SC2</t>
  </si>
  <si>
    <t xml:space="preserve">Fator percentual </t>
  </si>
  <si>
    <t>UNIDADES</t>
  </si>
  <si>
    <t>M²</t>
  </si>
  <si>
    <t>BH</t>
  </si>
  <si>
    <t>MODALIDADE DE REMUNERAÇÃO 01 - PERCENTUAL SOBRE O CUSTO DA OBRA</t>
  </si>
  <si>
    <t>Itens 1.1, 1.2, 1.4, 1.5 foram retirados da TABELA 5 da Cartilha acima</t>
  </si>
  <si>
    <t>Fórmula do R e SP:</t>
  </si>
  <si>
    <t>R$/M²</t>
  </si>
  <si>
    <t>Área do projeto</t>
  </si>
  <si>
    <t>SP</t>
  </si>
  <si>
    <t>Área construída não repetida</t>
  </si>
  <si>
    <t>Área construída repetida</t>
  </si>
  <si>
    <t>SNR</t>
  </si>
  <si>
    <t>SR</t>
  </si>
  <si>
    <t>Redutor</t>
  </si>
  <si>
    <t>r</t>
  </si>
  <si>
    <t>FATOR</t>
  </si>
  <si>
    <t>ÁREA DO PROJETO ARQUITETÔNICO (M²):</t>
  </si>
  <si>
    <t>7.1</t>
  </si>
  <si>
    <t>7.2</t>
  </si>
  <si>
    <t>7.3</t>
  </si>
  <si>
    <t>7.4</t>
  </si>
  <si>
    <t>7.5</t>
  </si>
  <si>
    <t>7.6</t>
  </si>
  <si>
    <t>7.7</t>
  </si>
  <si>
    <t>6.1</t>
  </si>
  <si>
    <t>6.2</t>
  </si>
  <si>
    <t>6.3</t>
  </si>
  <si>
    <t>VALOR TOTAL DA OBRA: OBRA + CONSTRUTORA + SEGURO + BDI</t>
  </si>
  <si>
    <t>VALOR TOTAL DA LICITAÇÃO: OBRA + CONSTRUTORA + SEGURO + BDI + PROJETO EXECUTIVO</t>
  </si>
  <si>
    <t>OBSERVAÇÃO: NÃO FOI UTILIZADO O VALOR DO CUB (SCxBH) PARA O CÁLCULO DO PREÇO DE VENDA DO PROJETO (PV). FOI UTILIZADO O VALOR TOTAL DA OBRA, PRESENTE NA ABA ORÇAMENTO.</t>
  </si>
  <si>
    <t>3.3</t>
  </si>
  <si>
    <t>3.4</t>
  </si>
  <si>
    <t>Razão entre área de projeto e área de construção – Redutor de fp</t>
  </si>
  <si>
    <r>
      <t xml:space="preserve">Base de Honorários </t>
    </r>
    <r>
      <rPr>
        <sz val="10"/>
        <color rgb="FFFF0000"/>
        <rFont val="Arial"/>
        <family val="2"/>
      </rPr>
      <t>*Não utilizada</t>
    </r>
  </si>
  <si>
    <t>Itens 2 foi retirado da TABELA 8 da Cartilha acima</t>
  </si>
  <si>
    <t>Itens 1.3, 3.2 e 3.3 foi retirado da RRT do Projeto Básico</t>
  </si>
  <si>
    <t>Itens 3.4 foi retirado da TABELA 4 da Cartilha acima</t>
  </si>
  <si>
    <t>CATEGORIA CONFORME TIPOLOGIA - C1: EDIFÍCIOS DE ESCRITÓRIOS E EDIFÍCIOS ADMINISTRATIVOS DE ANDAR CORRIDO - IV</t>
  </si>
  <si>
    <t>Todos os itens foram retirados da Cartilha "Modulo 1 Tabela de Honorários em Arquitetura e Urbanismo " Aprovada pela Resolução nº 64 do CAU/BR, de 8/11/2013 (https://honorario.caubr.gov.br/download/)</t>
  </si>
  <si>
    <t>12.0</t>
  </si>
  <si>
    <t>TABELA DE COMPOSIÇÃO DO PV</t>
  </si>
  <si>
    <t>PV (em porcentagem)</t>
  </si>
  <si>
    <t>PV: PREÇO DE VENDA DO PROJETO ARQUITETÔNICO (VER ABA PV)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</si>
</sst>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.000%"/>
    <numFmt numFmtId="166" formatCode="0.0"/>
    <numFmt numFmtId="167" formatCode="_-[$R$-416]\ * #,##0.0_-;\-[$R$-416]\ * #,##0.0_-;_-[$R$-416]\ * &quot;-&quot;??_-;_-@_-"/>
    <numFmt numFmtId="168" formatCode="0.0%"/>
    <numFmt numFmtId="169" formatCode="0.0000%"/>
    <numFmt numFmtId="170" formatCode="&quot;R$&quot;\ #,##0.00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ourier New"/>
      <family val="3"/>
    </font>
    <font>
      <sz val="9"/>
      <name val="Courier New"/>
      <family val="3"/>
    </font>
    <font>
      <b/>
      <sz val="10"/>
      <name val="Courier New"/>
      <family val="3"/>
    </font>
    <font>
      <b/>
      <sz val="9"/>
      <name val="Courier New"/>
      <family val="3"/>
    </font>
    <font>
      <sz val="10"/>
      <name val="Arial"/>
      <family val="2"/>
    </font>
    <font>
      <sz val="10"/>
      <name val="Times New Roman"/>
      <family val="1"/>
    </font>
    <font>
      <sz val="10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sz val="10"/>
      <color rgb="FFFF0000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i/>
      <sz val="10"/>
      <color indexed="8"/>
      <name val="Calibri"/>
      <family val="2"/>
    </font>
    <font>
      <b/>
      <sz val="10"/>
      <name val="Arial"/>
      <family val="2"/>
    </font>
    <font>
      <sz val="10"/>
      <color rgb="FFFF0000"/>
      <name val="Courier New"/>
      <family val="3"/>
    </font>
    <font>
      <b/>
      <sz val="12"/>
      <name val="Courier New"/>
      <family val="3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9" tint="-0.249977111117893"/>
      <name val="Arial"/>
      <family val="2"/>
    </font>
    <font>
      <b/>
      <sz val="10"/>
      <color theme="9"/>
      <name val="Courier New"/>
      <family val="3"/>
    </font>
    <font>
      <sz val="10"/>
      <color theme="9"/>
      <name val="Courier New"/>
      <family val="3"/>
    </font>
    <font>
      <b/>
      <sz val="9"/>
      <color theme="8"/>
      <name val="Arial"/>
      <family val="2"/>
    </font>
    <font>
      <b/>
      <sz val="10"/>
      <color theme="8"/>
      <name val="Courier New"/>
      <family val="3"/>
    </font>
    <font>
      <sz val="10"/>
      <color theme="8"/>
      <name val="Courier New"/>
      <family val="3"/>
    </font>
    <font>
      <b/>
      <sz val="9"/>
      <color theme="6"/>
      <name val="Arial"/>
      <family val="2"/>
    </font>
    <font>
      <b/>
      <sz val="10"/>
      <color theme="6"/>
      <name val="Courier New"/>
      <family val="3"/>
    </font>
    <font>
      <sz val="10"/>
      <color theme="6"/>
      <name val="Courier New"/>
      <family val="3"/>
    </font>
    <font>
      <sz val="12"/>
      <name val="Courier New"/>
      <family val="3"/>
    </font>
    <font>
      <b/>
      <sz val="11"/>
      <color rgb="FFFF0000"/>
      <name val="Courier New"/>
      <family val="3"/>
    </font>
    <font>
      <sz val="10"/>
      <color rgb="FFFF0000"/>
      <name val="Arial"/>
      <family val="2"/>
    </font>
    <font>
      <b/>
      <sz val="12"/>
      <color theme="8"/>
      <name val="Courier New"/>
      <family val="3"/>
    </font>
    <font>
      <b/>
      <sz val="12"/>
      <color theme="6"/>
      <name val="Courier New"/>
      <family val="3"/>
    </font>
    <font>
      <b/>
      <sz val="9"/>
      <name val="Arial"/>
      <family val="2"/>
    </font>
    <font>
      <b/>
      <sz val="11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1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1" applyNumberFormat="1" applyFont="1" applyFill="1" applyBorder="1" applyAlignment="1" applyProtection="1">
      <alignment horizontal="center" vertical="center"/>
    </xf>
    <xf numFmtId="2" fontId="4" fillId="4" borderId="1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4" fontId="4" fillId="7" borderId="1" xfId="3" applyNumberFormat="1" applyFont="1" applyFill="1" applyBorder="1" applyAlignment="1">
      <alignment horizontal="center" vertical="center"/>
    </xf>
    <xf numFmtId="2" fontId="4" fillId="7" borderId="1" xfId="3" applyNumberFormat="1" applyFont="1" applyFill="1" applyBorder="1" applyAlignment="1">
      <alignment horizontal="center" vertical="center"/>
    </xf>
    <xf numFmtId="164" fontId="4" fillId="7" borderId="1" xfId="3" applyNumberFormat="1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2" fontId="4" fillId="4" borderId="1" xfId="3" applyNumberFormat="1" applyFont="1" applyFill="1" applyBorder="1" applyAlignment="1">
      <alignment horizontal="center" vertical="center"/>
    </xf>
    <xf numFmtId="164" fontId="4" fillId="4" borderId="1" xfId="3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 applyProtection="1">
      <alignment horizontal="center" vertical="center"/>
    </xf>
    <xf numFmtId="3" fontId="4" fillId="3" borderId="1" xfId="1" applyNumberFormat="1" applyFont="1" applyFill="1" applyBorder="1" applyAlignment="1" applyProtection="1">
      <alignment horizontal="center" vertical="center"/>
    </xf>
    <xf numFmtId="4" fontId="4" fillId="4" borderId="1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3" fillId="10" borderId="18" xfId="4" applyFont="1" applyFill="1" applyBorder="1" applyAlignment="1">
      <alignment horizontal="left" vertical="top" wrapText="1" indent="1"/>
    </xf>
    <xf numFmtId="0" fontId="13" fillId="10" borderId="1" xfId="4" applyFont="1" applyFill="1" applyBorder="1" applyAlignment="1">
      <alignment horizontal="left" vertical="top" wrapText="1"/>
    </xf>
    <xf numFmtId="0" fontId="13" fillId="10" borderId="1" xfId="4" applyFont="1" applyFill="1" applyBorder="1" applyAlignment="1">
      <alignment horizontal="center" vertical="top" wrapText="1"/>
    </xf>
    <xf numFmtId="10" fontId="12" fillId="10" borderId="1" xfId="5" applyNumberFormat="1" applyFont="1" applyFill="1" applyBorder="1" applyAlignment="1">
      <alignment horizontal="center" vertical="top" wrapText="1"/>
    </xf>
    <xf numFmtId="10" fontId="13" fillId="10" borderId="19" xfId="6" applyNumberFormat="1" applyFont="1" applyFill="1" applyBorder="1"/>
    <xf numFmtId="9" fontId="0" fillId="0" borderId="0" xfId="5" applyFont="1"/>
    <xf numFmtId="10" fontId="12" fillId="10" borderId="1" xfId="6" applyNumberFormat="1" applyFont="1" applyFill="1" applyBorder="1" applyAlignment="1">
      <alignment horizontal="center" vertical="top" wrapText="1"/>
    </xf>
    <xf numFmtId="0" fontId="13" fillId="10" borderId="1" xfId="4" applyFont="1" applyFill="1" applyBorder="1" applyAlignment="1">
      <alignment horizontal="right" vertical="top" wrapText="1"/>
    </xf>
    <xf numFmtId="0" fontId="13" fillId="10" borderId="1" xfId="4" applyFont="1" applyFill="1" applyBorder="1" applyAlignment="1">
      <alignment horizontal="justify" vertical="top" wrapText="1"/>
    </xf>
    <xf numFmtId="0" fontId="13" fillId="10" borderId="20" xfId="4" applyFont="1" applyFill="1" applyBorder="1" applyAlignment="1">
      <alignment horizontal="center" vertical="top" wrapText="1"/>
    </xf>
    <xf numFmtId="0" fontId="13" fillId="10" borderId="21" xfId="4" applyFont="1" applyFill="1" applyBorder="1" applyAlignment="1">
      <alignment horizontal="center" vertical="top" wrapText="1"/>
    </xf>
    <xf numFmtId="0" fontId="13" fillId="10" borderId="14" xfId="4" applyFont="1" applyFill="1" applyBorder="1" applyAlignment="1">
      <alignment horizontal="center" vertical="top" wrapText="1"/>
    </xf>
    <xf numFmtId="0" fontId="12" fillId="10" borderId="22" xfId="4" applyFont="1" applyFill="1" applyBorder="1" applyAlignment="1">
      <alignment horizontal="center" vertical="top" wrapText="1"/>
    </xf>
    <xf numFmtId="0" fontId="12" fillId="10" borderId="2" xfId="4" applyFont="1" applyFill="1" applyBorder="1" applyAlignment="1">
      <alignment horizontal="center" vertical="top" wrapText="1"/>
    </xf>
    <xf numFmtId="0" fontId="12" fillId="10" borderId="23" xfId="4" applyFont="1" applyFill="1" applyBorder="1" applyAlignment="1">
      <alignment horizontal="center" vertical="top" wrapText="1"/>
    </xf>
    <xf numFmtId="0" fontId="15" fillId="10" borderId="0" xfId="4" applyFont="1" applyFill="1"/>
    <xf numFmtId="2" fontId="16" fillId="10" borderId="0" xfId="4" applyNumberFormat="1" applyFont="1" applyFill="1" applyAlignment="1">
      <alignment horizontal="center"/>
    </xf>
    <xf numFmtId="0" fontId="15" fillId="10" borderId="7" xfId="4" applyFont="1" applyFill="1" applyBorder="1"/>
    <xf numFmtId="0" fontId="15" fillId="10" borderId="6" xfId="4" applyFont="1" applyFill="1" applyBorder="1"/>
    <xf numFmtId="0" fontId="17" fillId="10" borderId="0" xfId="4" applyFont="1" applyFill="1"/>
    <xf numFmtId="10" fontId="12" fillId="10" borderId="0" xfId="7" applyNumberFormat="1" applyFont="1" applyFill="1" applyBorder="1" applyAlignment="1">
      <alignment horizontal="center"/>
    </xf>
    <xf numFmtId="0" fontId="0" fillId="10" borderId="26" xfId="0" applyFill="1" applyBorder="1"/>
    <xf numFmtId="0" fontId="0" fillId="10" borderId="27" xfId="0" applyFill="1" applyBorder="1"/>
    <xf numFmtId="0" fontId="0" fillId="10" borderId="28" xfId="0" applyFill="1" applyBorder="1"/>
    <xf numFmtId="0" fontId="18" fillId="0" borderId="0" xfId="0" applyFont="1"/>
    <xf numFmtId="0" fontId="6" fillId="0" borderId="0" xfId="0" applyFont="1"/>
    <xf numFmtId="0" fontId="9" fillId="11" borderId="1" xfId="0" applyFont="1" applyFill="1" applyBorder="1" applyAlignment="1">
      <alignment horizontal="center" vertical="center"/>
    </xf>
    <xf numFmtId="2" fontId="9" fillId="11" borderId="1" xfId="2" applyNumberFormat="1" applyFont="1" applyFill="1" applyBorder="1" applyAlignment="1">
      <alignment horizontal="center" vertical="center"/>
    </xf>
    <xf numFmtId="164" fontId="9" fillId="11" borderId="1" xfId="1" applyNumberFormat="1" applyFont="1" applyFill="1" applyBorder="1" applyAlignment="1">
      <alignment horizontal="center" vertical="center"/>
    </xf>
    <xf numFmtId="164" fontId="10" fillId="11" borderId="1" xfId="1" applyNumberFormat="1" applyFont="1" applyFill="1" applyBorder="1" applyAlignment="1">
      <alignment horizontal="center" vertical="center"/>
    </xf>
    <xf numFmtId="43" fontId="9" fillId="11" borderId="1" xfId="1" applyFont="1" applyFill="1" applyBorder="1" applyAlignment="1">
      <alignment horizontal="center" vertical="center"/>
    </xf>
    <xf numFmtId="166" fontId="9" fillId="11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2" fontId="10" fillId="11" borderId="1" xfId="1" applyNumberFormat="1" applyFont="1" applyFill="1" applyBorder="1" applyAlignment="1">
      <alignment horizontal="center" vertical="center"/>
    </xf>
    <xf numFmtId="43" fontId="10" fillId="11" borderId="1" xfId="1" applyFont="1" applyFill="1" applyBorder="1" applyAlignment="1">
      <alignment horizontal="center" vertical="center"/>
    </xf>
    <xf numFmtId="166" fontId="10" fillId="11" borderId="1" xfId="0" applyNumberFormat="1" applyFont="1" applyFill="1" applyBorder="1" applyAlignment="1">
      <alignment horizontal="center" vertical="center" wrapText="1"/>
    </xf>
    <xf numFmtId="0" fontId="6" fillId="10" borderId="6" xfId="4" applyFill="1" applyBorder="1" applyAlignment="1">
      <alignment horizontal="left"/>
    </xf>
    <xf numFmtId="10" fontId="10" fillId="11" borderId="1" xfId="2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2" fontId="4" fillId="3" borderId="1" xfId="1" applyNumberFormat="1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2" fontId="4" fillId="8" borderId="1" xfId="1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2" fontId="4" fillId="7" borderId="1" xfId="1" applyNumberFormat="1" applyFont="1" applyFill="1" applyBorder="1" applyAlignment="1" applyProtection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44" fontId="8" fillId="0" borderId="1" xfId="8" applyFont="1" applyFill="1" applyBorder="1" applyAlignment="1">
      <alignment horizontal="right" vertical="center"/>
    </xf>
    <xf numFmtId="44" fontId="8" fillId="0" borderId="1" xfId="8" applyFont="1" applyBorder="1" applyAlignment="1">
      <alignment horizontal="right" vertical="center"/>
    </xf>
    <xf numFmtId="44" fontId="2" fillId="0" borderId="1" xfId="8" applyFont="1" applyFill="1" applyBorder="1" applyAlignment="1">
      <alignment horizontal="center" vertical="center"/>
    </xf>
    <xf numFmtId="44" fontId="8" fillId="0" borderId="1" xfId="8" applyFont="1" applyBorder="1" applyAlignment="1">
      <alignment horizontal="right"/>
    </xf>
    <xf numFmtId="44" fontId="19" fillId="0" borderId="1" xfId="8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vertical="center" wrapText="1"/>
    </xf>
    <xf numFmtId="0" fontId="20" fillId="10" borderId="0" xfId="0" applyFont="1" applyFill="1" applyAlignment="1">
      <alignment horizontal="center" vertical="center"/>
    </xf>
    <xf numFmtId="2" fontId="20" fillId="10" borderId="0" xfId="0" applyNumberFormat="1" applyFont="1" applyFill="1" applyAlignment="1">
      <alignment horizontal="center" vertical="center"/>
    </xf>
    <xf numFmtId="164" fontId="20" fillId="10" borderId="0" xfId="0" applyNumberFormat="1" applyFont="1" applyFill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164" fontId="10" fillId="13" borderId="1" xfId="1" applyNumberFormat="1" applyFont="1" applyFill="1" applyBorder="1" applyAlignment="1">
      <alignment horizontal="center" vertical="center"/>
    </xf>
    <xf numFmtId="43" fontId="5" fillId="13" borderId="1" xfId="1" applyFont="1" applyFill="1" applyBorder="1" applyAlignment="1">
      <alignment horizontal="center" vertical="center"/>
    </xf>
    <xf numFmtId="164" fontId="4" fillId="10" borderId="0" xfId="0" applyNumberFormat="1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44" fontId="4" fillId="5" borderId="1" xfId="8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10" borderId="0" xfId="0" applyFont="1" applyFill="1" applyAlignment="1">
      <alignment horizontal="center" vertical="center"/>
    </xf>
    <xf numFmtId="164" fontId="4" fillId="10" borderId="0" xfId="1" applyNumberFormat="1" applyFont="1" applyFill="1" applyBorder="1" applyAlignment="1">
      <alignment horizontal="center" vertical="center"/>
    </xf>
    <xf numFmtId="43" fontId="4" fillId="10" borderId="0" xfId="1" applyFont="1" applyFill="1" applyBorder="1" applyAlignment="1">
      <alignment horizontal="center" vertical="center"/>
    </xf>
    <xf numFmtId="165" fontId="5" fillId="10" borderId="30" xfId="2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vertical="center" wrapText="1"/>
    </xf>
    <xf numFmtId="0" fontId="4" fillId="14" borderId="1" xfId="0" applyFont="1" applyFill="1" applyBorder="1" applyAlignment="1">
      <alignment horizontal="center" vertical="center" wrapText="1"/>
    </xf>
    <xf numFmtId="2" fontId="4" fillId="14" borderId="1" xfId="0" applyNumberFormat="1" applyFont="1" applyFill="1" applyBorder="1" applyAlignment="1">
      <alignment horizontal="center" vertical="center" wrapText="1"/>
    </xf>
    <xf numFmtId="164" fontId="4" fillId="14" borderId="1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43" fontId="4" fillId="9" borderId="1" xfId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10" fillId="11" borderId="1" xfId="2" applyNumberFormat="1" applyFont="1" applyFill="1" applyBorder="1" applyAlignment="1">
      <alignment horizontal="center" vertical="center"/>
    </xf>
    <xf numFmtId="0" fontId="18" fillId="0" borderId="31" xfId="0" applyFont="1" applyBorder="1"/>
    <xf numFmtId="0" fontId="0" fillId="0" borderId="2" xfId="0" applyBorder="1"/>
    <xf numFmtId="10" fontId="22" fillId="0" borderId="29" xfId="2" applyNumberFormat="1" applyFont="1" applyBorder="1"/>
    <xf numFmtId="44" fontId="20" fillId="10" borderId="0" xfId="8" applyFont="1" applyFill="1" applyAlignment="1">
      <alignment horizontal="left" vertical="center"/>
    </xf>
    <xf numFmtId="44" fontId="5" fillId="2" borderId="1" xfId="8" applyFont="1" applyFill="1" applyBorder="1" applyAlignment="1">
      <alignment horizontal="left" vertical="center" wrapText="1"/>
    </xf>
    <xf numFmtId="44" fontId="4" fillId="3" borderId="1" xfId="8" applyFont="1" applyFill="1" applyBorder="1" applyAlignment="1" applyProtection="1">
      <alignment horizontal="left" vertical="center"/>
    </xf>
    <xf numFmtId="44" fontId="4" fillId="5" borderId="1" xfId="8" applyFont="1" applyFill="1" applyBorder="1" applyAlignment="1" applyProtection="1">
      <alignment horizontal="left" vertical="center"/>
    </xf>
    <xf numFmtId="44" fontId="2" fillId="0" borderId="1" xfId="8" applyFont="1" applyFill="1" applyBorder="1" applyAlignment="1">
      <alignment horizontal="left" vertical="center"/>
    </xf>
    <xf numFmtId="44" fontId="4" fillId="4" borderId="1" xfId="8" applyFont="1" applyFill="1" applyBorder="1" applyAlignment="1" applyProtection="1">
      <alignment horizontal="left" vertical="center"/>
    </xf>
    <xf numFmtId="44" fontId="4" fillId="7" borderId="1" xfId="8" applyFont="1" applyFill="1" applyBorder="1" applyAlignment="1">
      <alignment horizontal="left" vertical="center"/>
    </xf>
    <xf numFmtId="44" fontId="4" fillId="4" borderId="1" xfId="8" applyFont="1" applyFill="1" applyBorder="1" applyAlignment="1">
      <alignment horizontal="left" vertical="center"/>
    </xf>
    <xf numFmtId="44" fontId="4" fillId="4" borderId="1" xfId="8" applyFont="1" applyFill="1" applyBorder="1" applyAlignment="1">
      <alignment horizontal="left" vertical="center" wrapText="1"/>
    </xf>
    <xf numFmtId="44" fontId="4" fillId="10" borderId="0" xfId="8" applyFont="1" applyFill="1" applyAlignment="1">
      <alignment horizontal="left" vertical="center"/>
    </xf>
    <xf numFmtId="44" fontId="4" fillId="8" borderId="1" xfId="8" applyFont="1" applyFill="1" applyBorder="1" applyAlignment="1" applyProtection="1">
      <alignment horizontal="left" vertical="center"/>
    </xf>
    <xf numFmtId="44" fontId="4" fillId="7" borderId="1" xfId="8" applyFont="1" applyFill="1" applyBorder="1" applyAlignment="1" applyProtection="1">
      <alignment horizontal="left" vertical="center"/>
    </xf>
    <xf numFmtId="44" fontId="4" fillId="14" borderId="1" xfId="8" applyFont="1" applyFill="1" applyBorder="1" applyAlignment="1">
      <alignment horizontal="left" vertical="center" wrapText="1"/>
    </xf>
    <xf numFmtId="44" fontId="9" fillId="11" borderId="1" xfId="8" applyFont="1" applyFill="1" applyBorder="1" applyAlignment="1">
      <alignment horizontal="left" vertical="center"/>
    </xf>
    <xf numFmtId="44" fontId="10" fillId="11" borderId="1" xfId="8" applyFont="1" applyFill="1" applyBorder="1" applyAlignment="1">
      <alignment horizontal="left" vertical="center"/>
    </xf>
    <xf numFmtId="44" fontId="3" fillId="0" borderId="0" xfId="8" applyFont="1" applyAlignment="1">
      <alignment horizontal="left" vertical="center" wrapText="1"/>
    </xf>
    <xf numFmtId="44" fontId="8" fillId="0" borderId="1" xfId="8" applyFont="1" applyBorder="1" applyAlignment="1">
      <alignment horizontal="left" vertical="center"/>
    </xf>
    <xf numFmtId="44" fontId="19" fillId="0" borderId="1" xfId="8" applyFont="1" applyFill="1" applyBorder="1" applyAlignment="1">
      <alignment horizontal="left" vertical="center"/>
    </xf>
    <xf numFmtId="44" fontId="10" fillId="13" borderId="1" xfId="8" applyFont="1" applyFill="1" applyBorder="1" applyAlignment="1">
      <alignment horizontal="left" vertical="center"/>
    </xf>
    <xf numFmtId="44" fontId="8" fillId="0" borderId="1" xfId="8" applyFont="1" applyFill="1" applyBorder="1" applyAlignment="1">
      <alignment horizontal="right"/>
    </xf>
    <xf numFmtId="44" fontId="8" fillId="0" borderId="1" xfId="8" applyFont="1" applyFill="1" applyBorder="1" applyAlignment="1">
      <alignment horizontal="left" vertical="center"/>
    </xf>
    <xf numFmtId="165" fontId="4" fillId="0" borderId="0" xfId="2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44" fontId="4" fillId="4" borderId="1" xfId="8" applyFont="1" applyFill="1" applyBorder="1" applyAlignment="1" applyProtection="1">
      <alignment horizontal="center" vertical="center"/>
    </xf>
    <xf numFmtId="44" fontId="4" fillId="7" borderId="1" xfId="8" applyFont="1" applyFill="1" applyBorder="1" applyAlignment="1">
      <alignment horizontal="center" vertical="center"/>
    </xf>
    <xf numFmtId="44" fontId="4" fillId="4" borderId="1" xfId="8" applyFont="1" applyFill="1" applyBorder="1" applyAlignment="1">
      <alignment horizontal="center" vertical="center"/>
    </xf>
    <xf numFmtId="44" fontId="4" fillId="3" borderId="1" xfId="8" applyFont="1" applyFill="1" applyBorder="1" applyAlignment="1" applyProtection="1">
      <alignment horizontal="center" vertical="center"/>
    </xf>
    <xf numFmtId="44" fontId="4" fillId="4" borderId="1" xfId="8" applyFont="1" applyFill="1" applyBorder="1" applyAlignment="1">
      <alignment horizontal="center" vertical="center" wrapText="1"/>
    </xf>
    <xf numFmtId="44" fontId="4" fillId="7" borderId="1" xfId="8" applyFont="1" applyFill="1" applyBorder="1" applyAlignment="1" applyProtection="1">
      <alignment horizontal="center" vertical="center"/>
    </xf>
    <xf numFmtId="44" fontId="9" fillId="11" borderId="1" xfId="8" applyFont="1" applyFill="1" applyBorder="1" applyAlignment="1">
      <alignment horizontal="center" vertical="center"/>
    </xf>
    <xf numFmtId="44" fontId="10" fillId="11" borderId="1" xfId="8" applyFont="1" applyFill="1" applyBorder="1" applyAlignment="1">
      <alignment horizontal="center" vertical="center"/>
    </xf>
    <xf numFmtId="44" fontId="10" fillId="13" borderId="1" xfId="8" applyFont="1" applyFill="1" applyBorder="1" applyAlignment="1">
      <alignment horizontal="center" vertical="center"/>
    </xf>
    <xf numFmtId="44" fontId="2" fillId="0" borderId="1" xfId="8" applyFont="1" applyBorder="1" applyAlignment="1">
      <alignment horizontal="right"/>
    </xf>
    <xf numFmtId="44" fontId="2" fillId="0" borderId="1" xfId="8" applyFont="1" applyBorder="1" applyAlignment="1">
      <alignment horizontal="left" vertical="center"/>
    </xf>
    <xf numFmtId="44" fontId="2" fillId="3" borderId="1" xfId="8" applyFont="1" applyFill="1" applyBorder="1" applyAlignment="1" applyProtection="1">
      <alignment horizontal="center" vertical="center"/>
    </xf>
    <xf numFmtId="44" fontId="2" fillId="3" borderId="1" xfId="8" applyFont="1" applyFill="1" applyBorder="1" applyAlignment="1" applyProtection="1">
      <alignment horizontal="left" vertical="center"/>
    </xf>
    <xf numFmtId="44" fontId="2" fillId="4" borderId="1" xfId="8" applyFont="1" applyFill="1" applyBorder="1" applyAlignment="1">
      <alignment horizontal="center" vertical="center"/>
    </xf>
    <xf numFmtId="44" fontId="2" fillId="4" borderId="1" xfId="8" applyFont="1" applyFill="1" applyBorder="1" applyAlignment="1">
      <alignment horizontal="left" vertical="center"/>
    </xf>
    <xf numFmtId="44" fontId="2" fillId="4" borderId="1" xfId="8" applyFont="1" applyFill="1" applyBorder="1" applyAlignment="1">
      <alignment horizontal="center" vertical="center" wrapText="1"/>
    </xf>
    <xf numFmtId="44" fontId="2" fillId="4" borderId="1" xfId="8" applyFont="1" applyFill="1" applyBorder="1" applyAlignment="1">
      <alignment horizontal="left" vertical="center" wrapText="1"/>
    </xf>
    <xf numFmtId="44" fontId="2" fillId="0" borderId="1" xfId="8" applyFont="1" applyFill="1" applyBorder="1" applyAlignment="1">
      <alignment horizontal="right"/>
    </xf>
    <xf numFmtId="10" fontId="12" fillId="15" borderId="1" xfId="5" applyNumberFormat="1" applyFont="1" applyFill="1" applyBorder="1" applyAlignment="1">
      <alignment horizontal="center" vertical="top" wrapText="1"/>
    </xf>
    <xf numFmtId="10" fontId="12" fillId="15" borderId="1" xfId="6" applyNumberFormat="1" applyFont="1" applyFill="1" applyBorder="1" applyAlignment="1">
      <alignment horizontal="center" vertical="top" wrapText="1"/>
    </xf>
    <xf numFmtId="10" fontId="13" fillId="15" borderId="19" xfId="6" applyNumberFormat="1" applyFont="1" applyFill="1" applyBorder="1"/>
    <xf numFmtId="44" fontId="2" fillId="0" borderId="1" xfId="8" applyFont="1" applyFill="1" applyBorder="1" applyAlignment="1">
      <alignment horizontal="right" vertical="center"/>
    </xf>
    <xf numFmtId="166" fontId="2" fillId="0" borderId="1" xfId="0" applyNumberFormat="1" applyFont="1" applyBorder="1" applyAlignment="1">
      <alignment horizontal="center" vertical="center" wrapText="1"/>
    </xf>
    <xf numFmtId="43" fontId="23" fillId="2" borderId="18" xfId="1" applyFont="1" applyFill="1" applyBorder="1" applyAlignment="1">
      <alignment horizontal="center" vertical="center"/>
    </xf>
    <xf numFmtId="165" fontId="2" fillId="9" borderId="1" xfId="2" applyNumberFormat="1" applyFont="1" applyFill="1" applyBorder="1" applyAlignment="1">
      <alignment horizontal="center" vertical="center" wrapText="1"/>
    </xf>
    <xf numFmtId="44" fontId="4" fillId="9" borderId="1" xfId="8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5" fontId="4" fillId="9" borderId="1" xfId="2" applyNumberFormat="1" applyFont="1" applyFill="1" applyBorder="1" applyAlignment="1">
      <alignment horizontal="center" vertical="center" wrapText="1"/>
    </xf>
    <xf numFmtId="44" fontId="2" fillId="9" borderId="1" xfId="8" applyFont="1" applyFill="1" applyBorder="1" applyAlignment="1">
      <alignment horizontal="center" vertical="center" wrapText="1"/>
    </xf>
    <xf numFmtId="169" fontId="5" fillId="6" borderId="1" xfId="2" applyNumberFormat="1" applyFont="1" applyFill="1" applyBorder="1" applyAlignment="1">
      <alignment horizontal="center" vertical="center" wrapText="1"/>
    </xf>
    <xf numFmtId="165" fontId="24" fillId="9" borderId="1" xfId="2" applyNumberFormat="1" applyFont="1" applyFill="1" applyBorder="1" applyAlignment="1">
      <alignment horizontal="center" vertical="center" wrapText="1"/>
    </xf>
    <xf numFmtId="44" fontId="24" fillId="9" borderId="1" xfId="8" applyFont="1" applyFill="1" applyBorder="1" applyAlignment="1">
      <alignment horizontal="center" vertical="center" wrapText="1"/>
    </xf>
    <xf numFmtId="165" fontId="25" fillId="9" borderId="1" xfId="2" applyNumberFormat="1" applyFont="1" applyFill="1" applyBorder="1" applyAlignment="1">
      <alignment horizontal="center" vertical="center" wrapText="1"/>
    </xf>
    <xf numFmtId="44" fontId="25" fillId="9" borderId="1" xfId="8" applyFont="1" applyFill="1" applyBorder="1" applyAlignment="1">
      <alignment horizontal="center" vertical="center" wrapText="1"/>
    </xf>
    <xf numFmtId="43" fontId="26" fillId="2" borderId="18" xfId="1" applyFont="1" applyFill="1" applyBorder="1" applyAlignment="1">
      <alignment horizontal="center" vertical="center"/>
    </xf>
    <xf numFmtId="165" fontId="27" fillId="9" borderId="1" xfId="2" applyNumberFormat="1" applyFont="1" applyFill="1" applyBorder="1" applyAlignment="1">
      <alignment horizontal="center" vertical="center" wrapText="1"/>
    </xf>
    <xf numFmtId="44" fontId="27" fillId="9" borderId="1" xfId="8" applyFont="1" applyFill="1" applyBorder="1" applyAlignment="1">
      <alignment horizontal="center" vertical="center" wrapText="1"/>
    </xf>
    <xf numFmtId="165" fontId="28" fillId="9" borderId="1" xfId="2" applyNumberFormat="1" applyFont="1" applyFill="1" applyBorder="1" applyAlignment="1">
      <alignment horizontal="center" vertical="center" wrapText="1"/>
    </xf>
    <xf numFmtId="44" fontId="28" fillId="9" borderId="1" xfId="8" applyFont="1" applyFill="1" applyBorder="1" applyAlignment="1">
      <alignment horizontal="center" vertical="center" wrapText="1"/>
    </xf>
    <xf numFmtId="43" fontId="29" fillId="2" borderId="18" xfId="1" applyFont="1" applyFill="1" applyBorder="1" applyAlignment="1">
      <alignment horizontal="center" vertical="center"/>
    </xf>
    <xf numFmtId="165" fontId="30" fillId="9" borderId="1" xfId="2" applyNumberFormat="1" applyFont="1" applyFill="1" applyBorder="1" applyAlignment="1">
      <alignment horizontal="center" vertical="center" wrapText="1"/>
    </xf>
    <xf numFmtId="44" fontId="30" fillId="9" borderId="1" xfId="8" applyFont="1" applyFill="1" applyBorder="1" applyAlignment="1">
      <alignment horizontal="center" vertical="center" wrapText="1"/>
    </xf>
    <xf numFmtId="165" fontId="31" fillId="9" borderId="1" xfId="2" applyNumberFormat="1" applyFont="1" applyFill="1" applyBorder="1" applyAlignment="1">
      <alignment horizontal="center" vertical="center" wrapText="1"/>
    </xf>
    <xf numFmtId="44" fontId="31" fillId="9" borderId="1" xfId="8" applyFont="1" applyFill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44" fontId="2" fillId="10" borderId="1" xfId="8" applyFont="1" applyFill="1" applyBorder="1" applyAlignment="1">
      <alignment horizontal="center" vertical="center"/>
    </xf>
    <xf numFmtId="44" fontId="8" fillId="10" borderId="1" xfId="8" applyFont="1" applyFill="1" applyBorder="1" applyAlignment="1">
      <alignment horizontal="right" vertical="center"/>
    </xf>
    <xf numFmtId="44" fontId="2" fillId="10" borderId="1" xfId="8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13" fillId="15" borderId="19" xfId="6" applyNumberFormat="1" applyFont="1" applyFill="1" applyBorder="1" applyAlignment="1">
      <alignment horizontal="center" vertical="center"/>
    </xf>
    <xf numFmtId="0" fontId="13" fillId="10" borderId="1" xfId="4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right" vertical="center" wrapText="1"/>
    </xf>
    <xf numFmtId="0" fontId="13" fillId="10" borderId="18" xfId="4" applyFont="1" applyFill="1" applyBorder="1" applyAlignment="1">
      <alignment horizontal="center" vertical="center" wrapText="1"/>
    </xf>
    <xf numFmtId="10" fontId="13" fillId="0" borderId="1" xfId="5" applyNumberFormat="1" applyFont="1" applyFill="1" applyBorder="1" applyAlignment="1">
      <alignment horizontal="center" vertical="center" wrapText="1"/>
    </xf>
    <xf numFmtId="10" fontId="13" fillId="0" borderId="19" xfId="6" applyNumberFormat="1" applyFont="1" applyBorder="1" applyAlignment="1">
      <alignment horizontal="center" vertical="center"/>
    </xf>
    <xf numFmtId="10" fontId="13" fillId="0" borderId="1" xfId="6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2" fontId="32" fillId="0" borderId="0" xfId="0" applyNumberFormat="1" applyFont="1" applyAlignment="1">
      <alignment horizontal="left" vertical="center"/>
    </xf>
    <xf numFmtId="164" fontId="3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44" fontId="9" fillId="0" borderId="0" xfId="8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2" fillId="10" borderId="18" xfId="4" applyFont="1" applyFill="1" applyBorder="1" applyAlignment="1">
      <alignment horizontal="center" vertical="center" wrapText="1"/>
    </xf>
    <xf numFmtId="0" fontId="12" fillId="10" borderId="1" xfId="4" applyFont="1" applyFill="1" applyBorder="1" applyAlignment="1">
      <alignment vertical="center" wrapText="1"/>
    </xf>
    <xf numFmtId="2" fontId="13" fillId="15" borderId="19" xfId="6" applyNumberFormat="1" applyFont="1" applyFill="1" applyBorder="1" applyAlignment="1">
      <alignment horizontal="center" vertical="center"/>
    </xf>
    <xf numFmtId="2" fontId="13" fillId="0" borderId="19" xfId="6" applyNumberFormat="1" applyFont="1" applyBorder="1" applyAlignment="1">
      <alignment horizontal="center" vertical="center"/>
    </xf>
    <xf numFmtId="2" fontId="12" fillId="0" borderId="19" xfId="6" applyNumberFormat="1" applyFont="1" applyBorder="1" applyAlignment="1">
      <alignment horizontal="center" vertical="center"/>
    </xf>
    <xf numFmtId="169" fontId="12" fillId="0" borderId="1" xfId="5" applyNumberFormat="1" applyFont="1" applyFill="1" applyBorder="1" applyAlignment="1">
      <alignment horizontal="center" vertical="center" wrapText="1"/>
    </xf>
    <xf numFmtId="2" fontId="12" fillId="0" borderId="1" xfId="5" applyNumberFormat="1" applyFont="1" applyFill="1" applyBorder="1" applyAlignment="1">
      <alignment horizontal="center" vertical="center" wrapText="1"/>
    </xf>
    <xf numFmtId="0" fontId="12" fillId="10" borderId="1" xfId="4" applyFont="1" applyFill="1" applyBorder="1" applyAlignment="1">
      <alignment horizontal="left" vertical="center" wrapText="1"/>
    </xf>
    <xf numFmtId="170" fontId="13" fillId="0" borderId="19" xfId="6" applyNumberFormat="1" applyFont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vertical="center" wrapText="1"/>
    </xf>
    <xf numFmtId="0" fontId="10" fillId="17" borderId="1" xfId="0" applyFont="1" applyFill="1" applyBorder="1" applyAlignment="1">
      <alignment horizontal="center" vertical="center"/>
    </xf>
    <xf numFmtId="2" fontId="2" fillId="17" borderId="1" xfId="1" applyNumberFormat="1" applyFont="1" applyFill="1" applyBorder="1" applyAlignment="1">
      <alignment horizontal="center" vertical="center"/>
    </xf>
    <xf numFmtId="44" fontId="10" fillId="17" borderId="1" xfId="8" applyFont="1" applyFill="1" applyBorder="1" applyAlignment="1">
      <alignment horizontal="left" vertical="center"/>
    </xf>
    <xf numFmtId="44" fontId="10" fillId="17" borderId="1" xfId="8" applyFont="1" applyFill="1" applyBorder="1" applyAlignment="1">
      <alignment horizontal="center" vertical="center"/>
    </xf>
    <xf numFmtId="164" fontId="10" fillId="17" borderId="1" xfId="1" applyNumberFormat="1" applyFont="1" applyFill="1" applyBorder="1" applyAlignment="1">
      <alignment horizontal="center" vertical="center"/>
    </xf>
    <xf numFmtId="43" fontId="5" fillId="17" borderId="1" xfId="1" applyFont="1" applyFill="1" applyBorder="1" applyAlignment="1">
      <alignment horizontal="center" vertical="center"/>
    </xf>
    <xf numFmtId="169" fontId="10" fillId="17" borderId="1" xfId="2" applyNumberFormat="1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44" fontId="20" fillId="0" borderId="0" xfId="8" applyFont="1" applyAlignment="1">
      <alignment horizontal="center" vertical="center" wrapText="1"/>
    </xf>
    <xf numFmtId="44" fontId="23" fillId="2" borderId="19" xfId="8" applyFont="1" applyFill="1" applyBorder="1" applyAlignment="1">
      <alignment horizontal="center" vertical="center"/>
    </xf>
    <xf numFmtId="44" fontId="4" fillId="0" borderId="0" xfId="8" applyFont="1" applyAlignment="1">
      <alignment horizontal="center" vertical="center" wrapText="1"/>
    </xf>
    <xf numFmtId="44" fontId="2" fillId="0" borderId="0" xfId="8" applyFont="1" applyAlignment="1">
      <alignment horizontal="center" vertical="center" wrapText="1"/>
    </xf>
    <xf numFmtId="44" fontId="26" fillId="2" borderId="19" xfId="8" applyFont="1" applyFill="1" applyBorder="1" applyAlignment="1">
      <alignment horizontal="center" vertical="center"/>
    </xf>
    <xf numFmtId="44" fontId="29" fillId="2" borderId="19" xfId="8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44" fontId="35" fillId="0" borderId="0" xfId="8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4" fontId="27" fillId="0" borderId="0" xfId="8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4" fontId="28" fillId="0" borderId="0" xfId="8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4" fontId="36" fillId="0" borderId="0" xfId="8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4" fontId="30" fillId="0" borderId="0" xfId="8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4" fontId="31" fillId="0" borderId="0" xfId="8" applyFont="1" applyAlignment="1">
      <alignment horizontal="center" vertical="center" wrapText="1"/>
    </xf>
    <xf numFmtId="43" fontId="37" fillId="2" borderId="18" xfId="1" applyFont="1" applyFill="1" applyBorder="1" applyAlignment="1">
      <alignment horizontal="center" vertical="center"/>
    </xf>
    <xf numFmtId="44" fontId="37" fillId="2" borderId="19" xfId="8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37" fillId="2" borderId="32" xfId="0" applyFont="1" applyFill="1" applyBorder="1" applyAlignment="1">
      <alignment horizontal="center" vertical="center" wrapText="1"/>
    </xf>
    <xf numFmtId="0" fontId="37" fillId="2" borderId="33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164" fontId="20" fillId="10" borderId="9" xfId="0" applyNumberFormat="1" applyFont="1" applyFill="1" applyBorder="1" applyAlignment="1">
      <alignment horizontal="center" vertical="center"/>
    </xf>
    <xf numFmtId="2" fontId="20" fillId="10" borderId="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11" borderId="3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2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10" borderId="13" xfId="4" applyFont="1" applyFill="1" applyBorder="1" applyAlignment="1">
      <alignment horizontal="center" vertical="center" wrapText="1"/>
    </xf>
    <xf numFmtId="0" fontId="12" fillId="10" borderId="14" xfId="4" applyFont="1" applyFill="1" applyBorder="1" applyAlignment="1">
      <alignment horizontal="center" vertical="center" wrapText="1"/>
    </xf>
    <xf numFmtId="0" fontId="12" fillId="10" borderId="17" xfId="4" applyFont="1" applyFill="1" applyBorder="1" applyAlignment="1">
      <alignment horizontal="center" vertical="center" wrapText="1"/>
    </xf>
    <xf numFmtId="0" fontId="12" fillId="10" borderId="10" xfId="4" applyFont="1" applyFill="1" applyBorder="1" applyAlignment="1">
      <alignment horizontal="center" vertical="center" wrapText="1"/>
    </xf>
    <xf numFmtId="169" fontId="14" fillId="9" borderId="24" xfId="2" applyNumberFormat="1" applyFont="1" applyFill="1" applyBorder="1" applyAlignment="1">
      <alignment horizontal="center"/>
    </xf>
    <xf numFmtId="169" fontId="14" fillId="9" borderId="25" xfId="2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3" fillId="2" borderId="31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29" xfId="0" applyFont="1" applyFill="1" applyBorder="1" applyAlignment="1">
      <alignment horizontal="center" vertical="center" wrapText="1"/>
    </xf>
    <xf numFmtId="0" fontId="12" fillId="10" borderId="22" xfId="4" applyFont="1" applyFill="1" applyBorder="1" applyAlignment="1">
      <alignment horizontal="center" vertical="center" wrapText="1"/>
    </xf>
    <xf numFmtId="0" fontId="12" fillId="10" borderId="2" xfId="4" applyFont="1" applyFill="1" applyBorder="1" applyAlignment="1">
      <alignment horizontal="center" vertical="center" wrapText="1"/>
    </xf>
    <xf numFmtId="0" fontId="12" fillId="10" borderId="23" xfId="4" applyFont="1" applyFill="1" applyBorder="1" applyAlignment="1">
      <alignment horizontal="center" vertical="center" wrapText="1"/>
    </xf>
    <xf numFmtId="0" fontId="12" fillId="10" borderId="12" xfId="4" applyFont="1" applyFill="1" applyBorder="1" applyAlignment="1">
      <alignment horizontal="center" vertical="center" wrapText="1"/>
    </xf>
    <xf numFmtId="0" fontId="12" fillId="10" borderId="16" xfId="4" applyFont="1" applyFill="1" applyBorder="1" applyAlignment="1">
      <alignment horizontal="center" vertical="center" wrapText="1"/>
    </xf>
    <xf numFmtId="0" fontId="38" fillId="9" borderId="3" xfId="4" applyFont="1" applyFill="1" applyBorder="1" applyAlignment="1">
      <alignment horizontal="center" vertical="center"/>
    </xf>
    <xf numFmtId="0" fontId="38" fillId="9" borderId="4" xfId="4" applyFont="1" applyFill="1" applyBorder="1" applyAlignment="1">
      <alignment horizontal="center" vertical="center"/>
    </xf>
    <xf numFmtId="0" fontId="38" fillId="9" borderId="5" xfId="4" applyFont="1" applyFill="1" applyBorder="1" applyAlignment="1">
      <alignment horizontal="center" vertical="center"/>
    </xf>
    <xf numFmtId="0" fontId="38" fillId="9" borderId="8" xfId="4" applyFont="1" applyFill="1" applyBorder="1" applyAlignment="1">
      <alignment horizontal="center" vertical="center"/>
    </xf>
    <xf numFmtId="0" fontId="38" fillId="9" borderId="9" xfId="4" applyFont="1" applyFill="1" applyBorder="1" applyAlignment="1">
      <alignment horizontal="center" vertical="center"/>
    </xf>
    <xf numFmtId="0" fontId="38" fillId="9" borderId="10" xfId="4" applyFont="1" applyFill="1" applyBorder="1" applyAlignment="1">
      <alignment horizontal="center" vertical="center"/>
    </xf>
    <xf numFmtId="0" fontId="12" fillId="10" borderId="11" xfId="4" applyFont="1" applyFill="1" applyBorder="1" applyAlignment="1">
      <alignment horizontal="center" vertical="center" wrapText="1"/>
    </xf>
    <xf numFmtId="0" fontId="12" fillId="10" borderId="15" xfId="4" applyFont="1" applyFill="1" applyBorder="1" applyAlignment="1">
      <alignment horizontal="center" vertical="center" wrapText="1"/>
    </xf>
    <xf numFmtId="10" fontId="14" fillId="9" borderId="24" xfId="4" applyNumberFormat="1" applyFont="1" applyFill="1" applyBorder="1" applyAlignment="1">
      <alignment horizontal="center"/>
    </xf>
    <xf numFmtId="10" fontId="14" fillId="9" borderId="25" xfId="4" applyNumberFormat="1" applyFont="1" applyFill="1" applyBorder="1" applyAlignment="1">
      <alignment horizontal="center"/>
    </xf>
    <xf numFmtId="0" fontId="12" fillId="9" borderId="3" xfId="4" applyFont="1" applyFill="1" applyBorder="1" applyAlignment="1">
      <alignment horizontal="center" vertical="center"/>
    </xf>
    <xf numFmtId="0" fontId="12" fillId="9" borderId="4" xfId="4" applyFont="1" applyFill="1" applyBorder="1" applyAlignment="1">
      <alignment horizontal="center" vertical="center"/>
    </xf>
    <xf numFmtId="0" fontId="12" fillId="9" borderId="5" xfId="4" applyFont="1" applyFill="1" applyBorder="1" applyAlignment="1">
      <alignment horizontal="center" vertical="center"/>
    </xf>
    <xf numFmtId="0" fontId="12" fillId="9" borderId="8" xfId="4" applyFont="1" applyFill="1" applyBorder="1" applyAlignment="1">
      <alignment horizontal="center" vertical="center"/>
    </xf>
    <xf numFmtId="0" fontId="12" fillId="9" borderId="9" xfId="4" applyFont="1" applyFill="1" applyBorder="1" applyAlignment="1">
      <alignment horizontal="center" vertical="center"/>
    </xf>
    <xf numFmtId="0" fontId="12" fillId="9" borderId="10" xfId="4" applyFont="1" applyFill="1" applyBorder="1" applyAlignment="1">
      <alignment horizontal="center" vertical="center"/>
    </xf>
  </cellXfs>
  <cellStyles count="9">
    <cellStyle name="Moeda" xfId="8" builtinId="4"/>
    <cellStyle name="Normal" xfId="0" builtinId="0"/>
    <cellStyle name="Normal 2" xfId="6" xr:uid="{1CEB27EC-CC6B-49D0-8EE5-376E5E7C3C05}"/>
    <cellStyle name="Normal 6 2 4" xfId="4" xr:uid="{3E599B2E-63CF-4FA7-B777-D612C3595605}"/>
    <cellStyle name="Normal_administração (CI 001-2006) 2" xfId="3" xr:uid="{55F9C632-2D84-4509-8029-70918B206640}"/>
    <cellStyle name="Porcentagem" xfId="2" builtinId="5"/>
    <cellStyle name="Porcentagem 2" xfId="5" xr:uid="{E0AE0028-6B1D-4AB8-A991-6C4ACBEBF7A6}"/>
    <cellStyle name="Porcentagem 7 2 4" xfId="7" xr:uid="{8CF059AE-01B1-4E6C-8534-5634E64009EA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22</xdr:row>
      <xdr:rowOff>114301</xdr:rowOff>
    </xdr:from>
    <xdr:to>
      <xdr:col>4</xdr:col>
      <xdr:colOff>533400</xdr:colOff>
      <xdr:row>26</xdr:row>
      <xdr:rowOff>101752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77DA47-7F80-8F96-FAB1-403F36D3A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4295776"/>
          <a:ext cx="3467100" cy="751356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28</xdr:row>
      <xdr:rowOff>9525</xdr:rowOff>
    </xdr:from>
    <xdr:to>
      <xdr:col>6</xdr:col>
      <xdr:colOff>594117</xdr:colOff>
      <xdr:row>31</xdr:row>
      <xdr:rowOff>87630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9833A74-ECE8-2FD2-4E87-AC1C4CF666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642" b="7407"/>
        <a:stretch/>
      </xdr:blipFill>
      <xdr:spPr>
        <a:xfrm>
          <a:off x="581025" y="5334000"/>
          <a:ext cx="6379602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33</xdr:row>
      <xdr:rowOff>47625</xdr:rowOff>
    </xdr:from>
    <xdr:to>
      <xdr:col>6</xdr:col>
      <xdr:colOff>635500</xdr:colOff>
      <xdr:row>41</xdr:row>
      <xdr:rowOff>152196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71F6D45-CB5B-C1CD-F05D-9802DA47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6324600"/>
          <a:ext cx="6161905" cy="16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20</xdr:row>
      <xdr:rowOff>114301</xdr:rowOff>
    </xdr:from>
    <xdr:to>
      <xdr:col>5</xdr:col>
      <xdr:colOff>361950</xdr:colOff>
      <xdr:row>30</xdr:row>
      <xdr:rowOff>77375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AD161-0C93-467F-9E4E-096E0B98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152901"/>
          <a:ext cx="3771900" cy="1868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43B7B-FEAD-4E76-A7B9-00B8653E8700}">
  <dimension ref="A1:AK91"/>
  <sheetViews>
    <sheetView zoomScale="85" zoomScaleNormal="85" workbookViewId="0">
      <pane ySplit="4" topLeftCell="A5" activePane="bottomLeft" state="frozen"/>
      <selection activeCell="B4" sqref="B4"/>
      <selection pane="bottomLeft" activeCell="V7" sqref="V7"/>
    </sheetView>
  </sheetViews>
  <sheetFormatPr defaultColWidth="11.44140625" defaultRowHeight="13.8" x14ac:dyDescent="0.3"/>
  <cols>
    <col min="1" max="1" width="7.33203125" style="3" customWidth="1"/>
    <col min="2" max="2" width="67.44140625" style="1" customWidth="1"/>
    <col min="3" max="3" width="5.33203125" style="3" customWidth="1"/>
    <col min="4" max="4" width="10" style="46" bestFit="1" customWidth="1"/>
    <col min="5" max="5" width="17.33203125" style="150" hidden="1" customWidth="1"/>
    <col min="6" max="7" width="16" style="46" hidden="1" customWidth="1"/>
    <col min="8" max="8" width="22.5546875" style="47" bestFit="1" customWidth="1"/>
    <col min="9" max="9" width="23.5546875" style="47" bestFit="1" customWidth="1"/>
    <col min="10" max="10" width="16" style="150" hidden="1" customWidth="1"/>
    <col min="11" max="12" width="17.33203125" style="47" hidden="1" customWidth="1"/>
    <col min="13" max="13" width="17.88671875" style="47" customWidth="1"/>
    <col min="14" max="14" width="12.109375" style="47" hidden="1" customWidth="1"/>
    <col min="15" max="15" width="10.109375" style="47" hidden="1" customWidth="1"/>
    <col min="16" max="16" width="16" style="47" hidden="1" customWidth="1"/>
    <col min="17" max="17" width="19.88671875" style="47" customWidth="1"/>
    <col min="18" max="18" width="20.44140625" style="47" customWidth="1"/>
    <col min="19" max="19" width="26.6640625" style="2" bestFit="1" customWidth="1"/>
    <col min="20" max="20" width="10" style="2" bestFit="1" customWidth="1"/>
    <col min="21" max="21" width="14.5546875" style="2" bestFit="1" customWidth="1"/>
    <col min="22" max="22" width="18.5546875" style="3" bestFit="1" customWidth="1"/>
    <col min="23" max="23" width="15.44140625" style="3" bestFit="1" customWidth="1"/>
    <col min="24" max="24" width="18.44140625" style="245" bestFit="1" customWidth="1"/>
    <col min="25" max="25" width="13.6640625" style="3" bestFit="1" customWidth="1"/>
    <col min="26" max="26" width="18.44140625" style="245" bestFit="1" customWidth="1"/>
    <col min="27" max="27" width="13.88671875" style="252" customWidth="1"/>
    <col min="28" max="28" width="18.44140625" style="253" bestFit="1" customWidth="1"/>
    <col min="29" max="29" width="14.44140625" style="258" customWidth="1"/>
    <col min="30" max="30" width="18.44140625" style="259" bestFit="1" customWidth="1"/>
    <col min="31" max="31" width="13.6640625" style="3" bestFit="1" customWidth="1"/>
    <col min="32" max="32" width="18.44140625" style="245" bestFit="1" customWidth="1"/>
    <col min="33" max="33" width="13.6640625" style="252" bestFit="1" customWidth="1"/>
    <col min="34" max="34" width="18.44140625" style="253" bestFit="1" customWidth="1"/>
    <col min="35" max="36" width="11.44140625" style="3"/>
    <col min="37" max="37" width="21.44140625" style="3" bestFit="1" customWidth="1"/>
    <col min="38" max="267" width="11.44140625" style="3"/>
    <col min="268" max="268" width="7.33203125" style="3" customWidth="1"/>
    <col min="269" max="269" width="65.44140625" style="3" customWidth="1"/>
    <col min="270" max="270" width="5.33203125" style="3" customWidth="1"/>
    <col min="271" max="271" width="10" style="3" bestFit="1" customWidth="1"/>
    <col min="272" max="272" width="22.33203125" style="3" bestFit="1" customWidth="1"/>
    <col min="273" max="273" width="19.88671875" style="3" bestFit="1" customWidth="1"/>
    <col min="274" max="274" width="19.88671875" style="3" customWidth="1"/>
    <col min="275" max="275" width="16" style="3" bestFit="1" customWidth="1"/>
    <col min="276" max="276" width="12" style="3" customWidth="1"/>
    <col min="277" max="277" width="15.109375" style="3" customWidth="1"/>
    <col min="278" max="278" width="18.5546875" style="3" bestFit="1" customWidth="1"/>
    <col min="279" max="279" width="14.6640625" style="3" bestFit="1" customWidth="1"/>
    <col min="280" max="283" width="11.5546875" style="3" bestFit="1" customWidth="1"/>
    <col min="284" max="284" width="11.44140625" style="3"/>
    <col min="285" max="285" width="14.44140625" style="3" customWidth="1"/>
    <col min="286" max="523" width="11.44140625" style="3"/>
    <col min="524" max="524" width="7.33203125" style="3" customWidth="1"/>
    <col min="525" max="525" width="65.44140625" style="3" customWidth="1"/>
    <col min="526" max="526" width="5.33203125" style="3" customWidth="1"/>
    <col min="527" max="527" width="10" style="3" bestFit="1" customWidth="1"/>
    <col min="528" max="528" width="22.33203125" style="3" bestFit="1" customWidth="1"/>
    <col min="529" max="529" width="19.88671875" style="3" bestFit="1" customWidth="1"/>
    <col min="530" max="530" width="19.88671875" style="3" customWidth="1"/>
    <col min="531" max="531" width="16" style="3" bestFit="1" customWidth="1"/>
    <col min="532" max="532" width="12" style="3" customWidth="1"/>
    <col min="533" max="533" width="15.109375" style="3" customWidth="1"/>
    <col min="534" max="534" width="18.5546875" style="3" bestFit="1" customWidth="1"/>
    <col min="535" max="535" width="14.6640625" style="3" bestFit="1" customWidth="1"/>
    <col min="536" max="539" width="11.5546875" style="3" bestFit="1" customWidth="1"/>
    <col min="540" max="540" width="11.44140625" style="3"/>
    <col min="541" max="541" width="14.44140625" style="3" customWidth="1"/>
    <col min="542" max="779" width="11.44140625" style="3"/>
    <col min="780" max="780" width="7.33203125" style="3" customWidth="1"/>
    <col min="781" max="781" width="65.44140625" style="3" customWidth="1"/>
    <col min="782" max="782" width="5.33203125" style="3" customWidth="1"/>
    <col min="783" max="783" width="10" style="3" bestFit="1" customWidth="1"/>
    <col min="784" max="784" width="22.33203125" style="3" bestFit="1" customWidth="1"/>
    <col min="785" max="785" width="19.88671875" style="3" bestFit="1" customWidth="1"/>
    <col min="786" max="786" width="19.88671875" style="3" customWidth="1"/>
    <col min="787" max="787" width="16" style="3" bestFit="1" customWidth="1"/>
    <col min="788" max="788" width="12" style="3" customWidth="1"/>
    <col min="789" max="789" width="15.109375" style="3" customWidth="1"/>
    <col min="790" max="790" width="18.5546875" style="3" bestFit="1" customWidth="1"/>
    <col min="791" max="791" width="14.6640625" style="3" bestFit="1" customWidth="1"/>
    <col min="792" max="795" width="11.5546875" style="3" bestFit="1" customWidth="1"/>
    <col min="796" max="796" width="11.44140625" style="3"/>
    <col min="797" max="797" width="14.44140625" style="3" customWidth="1"/>
    <col min="798" max="1035" width="11.44140625" style="3"/>
    <col min="1036" max="1036" width="7.33203125" style="3" customWidth="1"/>
    <col min="1037" max="1037" width="65.44140625" style="3" customWidth="1"/>
    <col min="1038" max="1038" width="5.33203125" style="3" customWidth="1"/>
    <col min="1039" max="1039" width="10" style="3" bestFit="1" customWidth="1"/>
    <col min="1040" max="1040" width="22.33203125" style="3" bestFit="1" customWidth="1"/>
    <col min="1041" max="1041" width="19.88671875" style="3" bestFit="1" customWidth="1"/>
    <col min="1042" max="1042" width="19.88671875" style="3" customWidth="1"/>
    <col min="1043" max="1043" width="16" style="3" bestFit="1" customWidth="1"/>
    <col min="1044" max="1044" width="12" style="3" customWidth="1"/>
    <col min="1045" max="1045" width="15.109375" style="3" customWidth="1"/>
    <col min="1046" max="1046" width="18.5546875" style="3" bestFit="1" customWidth="1"/>
    <col min="1047" max="1047" width="14.6640625" style="3" bestFit="1" customWidth="1"/>
    <col min="1048" max="1051" width="11.5546875" style="3" bestFit="1" customWidth="1"/>
    <col min="1052" max="1052" width="11.44140625" style="3"/>
    <col min="1053" max="1053" width="14.44140625" style="3" customWidth="1"/>
    <col min="1054" max="1291" width="11.44140625" style="3"/>
    <col min="1292" max="1292" width="7.33203125" style="3" customWidth="1"/>
    <col min="1293" max="1293" width="65.44140625" style="3" customWidth="1"/>
    <col min="1294" max="1294" width="5.33203125" style="3" customWidth="1"/>
    <col min="1295" max="1295" width="10" style="3" bestFit="1" customWidth="1"/>
    <col min="1296" max="1296" width="22.33203125" style="3" bestFit="1" customWidth="1"/>
    <col min="1297" max="1297" width="19.88671875" style="3" bestFit="1" customWidth="1"/>
    <col min="1298" max="1298" width="19.88671875" style="3" customWidth="1"/>
    <col min="1299" max="1299" width="16" style="3" bestFit="1" customWidth="1"/>
    <col min="1300" max="1300" width="12" style="3" customWidth="1"/>
    <col min="1301" max="1301" width="15.109375" style="3" customWidth="1"/>
    <col min="1302" max="1302" width="18.5546875" style="3" bestFit="1" customWidth="1"/>
    <col min="1303" max="1303" width="14.6640625" style="3" bestFit="1" customWidth="1"/>
    <col min="1304" max="1307" width="11.5546875" style="3" bestFit="1" customWidth="1"/>
    <col min="1308" max="1308" width="11.44140625" style="3"/>
    <col min="1309" max="1309" width="14.44140625" style="3" customWidth="1"/>
    <col min="1310" max="1547" width="11.44140625" style="3"/>
    <col min="1548" max="1548" width="7.33203125" style="3" customWidth="1"/>
    <col min="1549" max="1549" width="65.44140625" style="3" customWidth="1"/>
    <col min="1550" max="1550" width="5.33203125" style="3" customWidth="1"/>
    <col min="1551" max="1551" width="10" style="3" bestFit="1" customWidth="1"/>
    <col min="1552" max="1552" width="22.33203125" style="3" bestFit="1" customWidth="1"/>
    <col min="1553" max="1553" width="19.88671875" style="3" bestFit="1" customWidth="1"/>
    <col min="1554" max="1554" width="19.88671875" style="3" customWidth="1"/>
    <col min="1555" max="1555" width="16" style="3" bestFit="1" customWidth="1"/>
    <col min="1556" max="1556" width="12" style="3" customWidth="1"/>
    <col min="1557" max="1557" width="15.109375" style="3" customWidth="1"/>
    <col min="1558" max="1558" width="18.5546875" style="3" bestFit="1" customWidth="1"/>
    <col min="1559" max="1559" width="14.6640625" style="3" bestFit="1" customWidth="1"/>
    <col min="1560" max="1563" width="11.5546875" style="3" bestFit="1" customWidth="1"/>
    <col min="1564" max="1564" width="11.44140625" style="3"/>
    <col min="1565" max="1565" width="14.44140625" style="3" customWidth="1"/>
    <col min="1566" max="1803" width="11.44140625" style="3"/>
    <col min="1804" max="1804" width="7.33203125" style="3" customWidth="1"/>
    <col min="1805" max="1805" width="65.44140625" style="3" customWidth="1"/>
    <col min="1806" max="1806" width="5.33203125" style="3" customWidth="1"/>
    <col min="1807" max="1807" width="10" style="3" bestFit="1" customWidth="1"/>
    <col min="1808" max="1808" width="22.33203125" style="3" bestFit="1" customWidth="1"/>
    <col min="1809" max="1809" width="19.88671875" style="3" bestFit="1" customWidth="1"/>
    <col min="1810" max="1810" width="19.88671875" style="3" customWidth="1"/>
    <col min="1811" max="1811" width="16" style="3" bestFit="1" customWidth="1"/>
    <col min="1812" max="1812" width="12" style="3" customWidth="1"/>
    <col min="1813" max="1813" width="15.109375" style="3" customWidth="1"/>
    <col min="1814" max="1814" width="18.5546875" style="3" bestFit="1" customWidth="1"/>
    <col min="1815" max="1815" width="14.6640625" style="3" bestFit="1" customWidth="1"/>
    <col min="1816" max="1819" width="11.5546875" style="3" bestFit="1" customWidth="1"/>
    <col min="1820" max="1820" width="11.44140625" style="3"/>
    <col min="1821" max="1821" width="14.44140625" style="3" customWidth="1"/>
    <col min="1822" max="2059" width="11.44140625" style="3"/>
    <col min="2060" max="2060" width="7.33203125" style="3" customWidth="1"/>
    <col min="2061" max="2061" width="65.44140625" style="3" customWidth="1"/>
    <col min="2062" max="2062" width="5.33203125" style="3" customWidth="1"/>
    <col min="2063" max="2063" width="10" style="3" bestFit="1" customWidth="1"/>
    <col min="2064" max="2064" width="22.33203125" style="3" bestFit="1" customWidth="1"/>
    <col min="2065" max="2065" width="19.88671875" style="3" bestFit="1" customWidth="1"/>
    <col min="2066" max="2066" width="19.88671875" style="3" customWidth="1"/>
    <col min="2067" max="2067" width="16" style="3" bestFit="1" customWidth="1"/>
    <col min="2068" max="2068" width="12" style="3" customWidth="1"/>
    <col min="2069" max="2069" width="15.109375" style="3" customWidth="1"/>
    <col min="2070" max="2070" width="18.5546875" style="3" bestFit="1" customWidth="1"/>
    <col min="2071" max="2071" width="14.6640625" style="3" bestFit="1" customWidth="1"/>
    <col min="2072" max="2075" width="11.5546875" style="3" bestFit="1" customWidth="1"/>
    <col min="2076" max="2076" width="11.44140625" style="3"/>
    <col min="2077" max="2077" width="14.44140625" style="3" customWidth="1"/>
    <col min="2078" max="2315" width="11.44140625" style="3"/>
    <col min="2316" max="2316" width="7.33203125" style="3" customWidth="1"/>
    <col min="2317" max="2317" width="65.44140625" style="3" customWidth="1"/>
    <col min="2318" max="2318" width="5.33203125" style="3" customWidth="1"/>
    <col min="2319" max="2319" width="10" style="3" bestFit="1" customWidth="1"/>
    <col min="2320" max="2320" width="22.33203125" style="3" bestFit="1" customWidth="1"/>
    <col min="2321" max="2321" width="19.88671875" style="3" bestFit="1" customWidth="1"/>
    <col min="2322" max="2322" width="19.88671875" style="3" customWidth="1"/>
    <col min="2323" max="2323" width="16" style="3" bestFit="1" customWidth="1"/>
    <col min="2324" max="2324" width="12" style="3" customWidth="1"/>
    <col min="2325" max="2325" width="15.109375" style="3" customWidth="1"/>
    <col min="2326" max="2326" width="18.5546875" style="3" bestFit="1" customWidth="1"/>
    <col min="2327" max="2327" width="14.6640625" style="3" bestFit="1" customWidth="1"/>
    <col min="2328" max="2331" width="11.5546875" style="3" bestFit="1" customWidth="1"/>
    <col min="2332" max="2332" width="11.44140625" style="3"/>
    <col min="2333" max="2333" width="14.44140625" style="3" customWidth="1"/>
    <col min="2334" max="2571" width="11.44140625" style="3"/>
    <col min="2572" max="2572" width="7.33203125" style="3" customWidth="1"/>
    <col min="2573" max="2573" width="65.44140625" style="3" customWidth="1"/>
    <col min="2574" max="2574" width="5.33203125" style="3" customWidth="1"/>
    <col min="2575" max="2575" width="10" style="3" bestFit="1" customWidth="1"/>
    <col min="2576" max="2576" width="22.33203125" style="3" bestFit="1" customWidth="1"/>
    <col min="2577" max="2577" width="19.88671875" style="3" bestFit="1" customWidth="1"/>
    <col min="2578" max="2578" width="19.88671875" style="3" customWidth="1"/>
    <col min="2579" max="2579" width="16" style="3" bestFit="1" customWidth="1"/>
    <col min="2580" max="2580" width="12" style="3" customWidth="1"/>
    <col min="2581" max="2581" width="15.109375" style="3" customWidth="1"/>
    <col min="2582" max="2582" width="18.5546875" style="3" bestFit="1" customWidth="1"/>
    <col min="2583" max="2583" width="14.6640625" style="3" bestFit="1" customWidth="1"/>
    <col min="2584" max="2587" width="11.5546875" style="3" bestFit="1" customWidth="1"/>
    <col min="2588" max="2588" width="11.44140625" style="3"/>
    <col min="2589" max="2589" width="14.44140625" style="3" customWidth="1"/>
    <col min="2590" max="2827" width="11.44140625" style="3"/>
    <col min="2828" max="2828" width="7.33203125" style="3" customWidth="1"/>
    <col min="2829" max="2829" width="65.44140625" style="3" customWidth="1"/>
    <col min="2830" max="2830" width="5.33203125" style="3" customWidth="1"/>
    <col min="2831" max="2831" width="10" style="3" bestFit="1" customWidth="1"/>
    <col min="2832" max="2832" width="22.33203125" style="3" bestFit="1" customWidth="1"/>
    <col min="2833" max="2833" width="19.88671875" style="3" bestFit="1" customWidth="1"/>
    <col min="2834" max="2834" width="19.88671875" style="3" customWidth="1"/>
    <col min="2835" max="2835" width="16" style="3" bestFit="1" customWidth="1"/>
    <col min="2836" max="2836" width="12" style="3" customWidth="1"/>
    <col min="2837" max="2837" width="15.109375" style="3" customWidth="1"/>
    <col min="2838" max="2838" width="18.5546875" style="3" bestFit="1" customWidth="1"/>
    <col min="2839" max="2839" width="14.6640625" style="3" bestFit="1" customWidth="1"/>
    <col min="2840" max="2843" width="11.5546875" style="3" bestFit="1" customWidth="1"/>
    <col min="2844" max="2844" width="11.44140625" style="3"/>
    <col min="2845" max="2845" width="14.44140625" style="3" customWidth="1"/>
    <col min="2846" max="3083" width="11.44140625" style="3"/>
    <col min="3084" max="3084" width="7.33203125" style="3" customWidth="1"/>
    <col min="3085" max="3085" width="65.44140625" style="3" customWidth="1"/>
    <col min="3086" max="3086" width="5.33203125" style="3" customWidth="1"/>
    <col min="3087" max="3087" width="10" style="3" bestFit="1" customWidth="1"/>
    <col min="3088" max="3088" width="22.33203125" style="3" bestFit="1" customWidth="1"/>
    <col min="3089" max="3089" width="19.88671875" style="3" bestFit="1" customWidth="1"/>
    <col min="3090" max="3090" width="19.88671875" style="3" customWidth="1"/>
    <col min="3091" max="3091" width="16" style="3" bestFit="1" customWidth="1"/>
    <col min="3092" max="3092" width="12" style="3" customWidth="1"/>
    <col min="3093" max="3093" width="15.109375" style="3" customWidth="1"/>
    <col min="3094" max="3094" width="18.5546875" style="3" bestFit="1" customWidth="1"/>
    <col min="3095" max="3095" width="14.6640625" style="3" bestFit="1" customWidth="1"/>
    <col min="3096" max="3099" width="11.5546875" style="3" bestFit="1" customWidth="1"/>
    <col min="3100" max="3100" width="11.44140625" style="3"/>
    <col min="3101" max="3101" width="14.44140625" style="3" customWidth="1"/>
    <col min="3102" max="3339" width="11.44140625" style="3"/>
    <col min="3340" max="3340" width="7.33203125" style="3" customWidth="1"/>
    <col min="3341" max="3341" width="65.44140625" style="3" customWidth="1"/>
    <col min="3342" max="3342" width="5.33203125" style="3" customWidth="1"/>
    <col min="3343" max="3343" width="10" style="3" bestFit="1" customWidth="1"/>
    <col min="3344" max="3344" width="22.33203125" style="3" bestFit="1" customWidth="1"/>
    <col min="3345" max="3345" width="19.88671875" style="3" bestFit="1" customWidth="1"/>
    <col min="3346" max="3346" width="19.88671875" style="3" customWidth="1"/>
    <col min="3347" max="3347" width="16" style="3" bestFit="1" customWidth="1"/>
    <col min="3348" max="3348" width="12" style="3" customWidth="1"/>
    <col min="3349" max="3349" width="15.109375" style="3" customWidth="1"/>
    <col min="3350" max="3350" width="18.5546875" style="3" bestFit="1" customWidth="1"/>
    <col min="3351" max="3351" width="14.6640625" style="3" bestFit="1" customWidth="1"/>
    <col min="3352" max="3355" width="11.5546875" style="3" bestFit="1" customWidth="1"/>
    <col min="3356" max="3356" width="11.44140625" style="3"/>
    <col min="3357" max="3357" width="14.44140625" style="3" customWidth="1"/>
    <col min="3358" max="3595" width="11.44140625" style="3"/>
    <col min="3596" max="3596" width="7.33203125" style="3" customWidth="1"/>
    <col min="3597" max="3597" width="65.44140625" style="3" customWidth="1"/>
    <col min="3598" max="3598" width="5.33203125" style="3" customWidth="1"/>
    <col min="3599" max="3599" width="10" style="3" bestFit="1" customWidth="1"/>
    <col min="3600" max="3600" width="22.33203125" style="3" bestFit="1" customWidth="1"/>
    <col min="3601" max="3601" width="19.88671875" style="3" bestFit="1" customWidth="1"/>
    <col min="3602" max="3602" width="19.88671875" style="3" customWidth="1"/>
    <col min="3603" max="3603" width="16" style="3" bestFit="1" customWidth="1"/>
    <col min="3604" max="3604" width="12" style="3" customWidth="1"/>
    <col min="3605" max="3605" width="15.109375" style="3" customWidth="1"/>
    <col min="3606" max="3606" width="18.5546875" style="3" bestFit="1" customWidth="1"/>
    <col min="3607" max="3607" width="14.6640625" style="3" bestFit="1" customWidth="1"/>
    <col min="3608" max="3611" width="11.5546875" style="3" bestFit="1" customWidth="1"/>
    <col min="3612" max="3612" width="11.44140625" style="3"/>
    <col min="3613" max="3613" width="14.44140625" style="3" customWidth="1"/>
    <col min="3614" max="3851" width="11.44140625" style="3"/>
    <col min="3852" max="3852" width="7.33203125" style="3" customWidth="1"/>
    <col min="3853" max="3853" width="65.44140625" style="3" customWidth="1"/>
    <col min="3854" max="3854" width="5.33203125" style="3" customWidth="1"/>
    <col min="3855" max="3855" width="10" style="3" bestFit="1" customWidth="1"/>
    <col min="3856" max="3856" width="22.33203125" style="3" bestFit="1" customWidth="1"/>
    <col min="3857" max="3857" width="19.88671875" style="3" bestFit="1" customWidth="1"/>
    <col min="3858" max="3858" width="19.88671875" style="3" customWidth="1"/>
    <col min="3859" max="3859" width="16" style="3" bestFit="1" customWidth="1"/>
    <col min="3860" max="3860" width="12" style="3" customWidth="1"/>
    <col min="3861" max="3861" width="15.109375" style="3" customWidth="1"/>
    <col min="3862" max="3862" width="18.5546875" style="3" bestFit="1" customWidth="1"/>
    <col min="3863" max="3863" width="14.6640625" style="3" bestFit="1" customWidth="1"/>
    <col min="3864" max="3867" width="11.5546875" style="3" bestFit="1" customWidth="1"/>
    <col min="3868" max="3868" width="11.44140625" style="3"/>
    <col min="3869" max="3869" width="14.44140625" style="3" customWidth="1"/>
    <col min="3870" max="4107" width="11.44140625" style="3"/>
    <col min="4108" max="4108" width="7.33203125" style="3" customWidth="1"/>
    <col min="4109" max="4109" width="65.44140625" style="3" customWidth="1"/>
    <col min="4110" max="4110" width="5.33203125" style="3" customWidth="1"/>
    <col min="4111" max="4111" width="10" style="3" bestFit="1" customWidth="1"/>
    <col min="4112" max="4112" width="22.33203125" style="3" bestFit="1" customWidth="1"/>
    <col min="4113" max="4113" width="19.88671875" style="3" bestFit="1" customWidth="1"/>
    <col min="4114" max="4114" width="19.88671875" style="3" customWidth="1"/>
    <col min="4115" max="4115" width="16" style="3" bestFit="1" customWidth="1"/>
    <col min="4116" max="4116" width="12" style="3" customWidth="1"/>
    <col min="4117" max="4117" width="15.109375" style="3" customWidth="1"/>
    <col min="4118" max="4118" width="18.5546875" style="3" bestFit="1" customWidth="1"/>
    <col min="4119" max="4119" width="14.6640625" style="3" bestFit="1" customWidth="1"/>
    <col min="4120" max="4123" width="11.5546875" style="3" bestFit="1" customWidth="1"/>
    <col min="4124" max="4124" width="11.44140625" style="3"/>
    <col min="4125" max="4125" width="14.44140625" style="3" customWidth="1"/>
    <col min="4126" max="4363" width="11.44140625" style="3"/>
    <col min="4364" max="4364" width="7.33203125" style="3" customWidth="1"/>
    <col min="4365" max="4365" width="65.44140625" style="3" customWidth="1"/>
    <col min="4366" max="4366" width="5.33203125" style="3" customWidth="1"/>
    <col min="4367" max="4367" width="10" style="3" bestFit="1" customWidth="1"/>
    <col min="4368" max="4368" width="22.33203125" style="3" bestFit="1" customWidth="1"/>
    <col min="4369" max="4369" width="19.88671875" style="3" bestFit="1" customWidth="1"/>
    <col min="4370" max="4370" width="19.88671875" style="3" customWidth="1"/>
    <col min="4371" max="4371" width="16" style="3" bestFit="1" customWidth="1"/>
    <col min="4372" max="4372" width="12" style="3" customWidth="1"/>
    <col min="4373" max="4373" width="15.109375" style="3" customWidth="1"/>
    <col min="4374" max="4374" width="18.5546875" style="3" bestFit="1" customWidth="1"/>
    <col min="4375" max="4375" width="14.6640625" style="3" bestFit="1" customWidth="1"/>
    <col min="4376" max="4379" width="11.5546875" style="3" bestFit="1" customWidth="1"/>
    <col min="4380" max="4380" width="11.44140625" style="3"/>
    <col min="4381" max="4381" width="14.44140625" style="3" customWidth="1"/>
    <col min="4382" max="4619" width="11.44140625" style="3"/>
    <col min="4620" max="4620" width="7.33203125" style="3" customWidth="1"/>
    <col min="4621" max="4621" width="65.44140625" style="3" customWidth="1"/>
    <col min="4622" max="4622" width="5.33203125" style="3" customWidth="1"/>
    <col min="4623" max="4623" width="10" style="3" bestFit="1" customWidth="1"/>
    <col min="4624" max="4624" width="22.33203125" style="3" bestFit="1" customWidth="1"/>
    <col min="4625" max="4625" width="19.88671875" style="3" bestFit="1" customWidth="1"/>
    <col min="4626" max="4626" width="19.88671875" style="3" customWidth="1"/>
    <col min="4627" max="4627" width="16" style="3" bestFit="1" customWidth="1"/>
    <col min="4628" max="4628" width="12" style="3" customWidth="1"/>
    <col min="4629" max="4629" width="15.109375" style="3" customWidth="1"/>
    <col min="4630" max="4630" width="18.5546875" style="3" bestFit="1" customWidth="1"/>
    <col min="4631" max="4631" width="14.6640625" style="3" bestFit="1" customWidth="1"/>
    <col min="4632" max="4635" width="11.5546875" style="3" bestFit="1" customWidth="1"/>
    <col min="4636" max="4636" width="11.44140625" style="3"/>
    <col min="4637" max="4637" width="14.44140625" style="3" customWidth="1"/>
    <col min="4638" max="4875" width="11.44140625" style="3"/>
    <col min="4876" max="4876" width="7.33203125" style="3" customWidth="1"/>
    <col min="4877" max="4877" width="65.44140625" style="3" customWidth="1"/>
    <col min="4878" max="4878" width="5.33203125" style="3" customWidth="1"/>
    <col min="4879" max="4879" width="10" style="3" bestFit="1" customWidth="1"/>
    <col min="4880" max="4880" width="22.33203125" style="3" bestFit="1" customWidth="1"/>
    <col min="4881" max="4881" width="19.88671875" style="3" bestFit="1" customWidth="1"/>
    <col min="4882" max="4882" width="19.88671875" style="3" customWidth="1"/>
    <col min="4883" max="4883" width="16" style="3" bestFit="1" customWidth="1"/>
    <col min="4884" max="4884" width="12" style="3" customWidth="1"/>
    <col min="4885" max="4885" width="15.109375" style="3" customWidth="1"/>
    <col min="4886" max="4886" width="18.5546875" style="3" bestFit="1" customWidth="1"/>
    <col min="4887" max="4887" width="14.6640625" style="3" bestFit="1" customWidth="1"/>
    <col min="4888" max="4891" width="11.5546875" style="3" bestFit="1" customWidth="1"/>
    <col min="4892" max="4892" width="11.44140625" style="3"/>
    <col min="4893" max="4893" width="14.44140625" style="3" customWidth="1"/>
    <col min="4894" max="5131" width="11.44140625" style="3"/>
    <col min="5132" max="5132" width="7.33203125" style="3" customWidth="1"/>
    <col min="5133" max="5133" width="65.44140625" style="3" customWidth="1"/>
    <col min="5134" max="5134" width="5.33203125" style="3" customWidth="1"/>
    <col min="5135" max="5135" width="10" style="3" bestFit="1" customWidth="1"/>
    <col min="5136" max="5136" width="22.33203125" style="3" bestFit="1" customWidth="1"/>
    <col min="5137" max="5137" width="19.88671875" style="3" bestFit="1" customWidth="1"/>
    <col min="5138" max="5138" width="19.88671875" style="3" customWidth="1"/>
    <col min="5139" max="5139" width="16" style="3" bestFit="1" customWidth="1"/>
    <col min="5140" max="5140" width="12" style="3" customWidth="1"/>
    <col min="5141" max="5141" width="15.109375" style="3" customWidth="1"/>
    <col min="5142" max="5142" width="18.5546875" style="3" bestFit="1" customWidth="1"/>
    <col min="5143" max="5143" width="14.6640625" style="3" bestFit="1" customWidth="1"/>
    <col min="5144" max="5147" width="11.5546875" style="3" bestFit="1" customWidth="1"/>
    <col min="5148" max="5148" width="11.44140625" style="3"/>
    <col min="5149" max="5149" width="14.44140625" style="3" customWidth="1"/>
    <col min="5150" max="5387" width="11.44140625" style="3"/>
    <col min="5388" max="5388" width="7.33203125" style="3" customWidth="1"/>
    <col min="5389" max="5389" width="65.44140625" style="3" customWidth="1"/>
    <col min="5390" max="5390" width="5.33203125" style="3" customWidth="1"/>
    <col min="5391" max="5391" width="10" style="3" bestFit="1" customWidth="1"/>
    <col min="5392" max="5392" width="22.33203125" style="3" bestFit="1" customWidth="1"/>
    <col min="5393" max="5393" width="19.88671875" style="3" bestFit="1" customWidth="1"/>
    <col min="5394" max="5394" width="19.88671875" style="3" customWidth="1"/>
    <col min="5395" max="5395" width="16" style="3" bestFit="1" customWidth="1"/>
    <col min="5396" max="5396" width="12" style="3" customWidth="1"/>
    <col min="5397" max="5397" width="15.109375" style="3" customWidth="1"/>
    <col min="5398" max="5398" width="18.5546875" style="3" bestFit="1" customWidth="1"/>
    <col min="5399" max="5399" width="14.6640625" style="3" bestFit="1" customWidth="1"/>
    <col min="5400" max="5403" width="11.5546875" style="3" bestFit="1" customWidth="1"/>
    <col min="5404" max="5404" width="11.44140625" style="3"/>
    <col min="5405" max="5405" width="14.44140625" style="3" customWidth="1"/>
    <col min="5406" max="5643" width="11.44140625" style="3"/>
    <col min="5644" max="5644" width="7.33203125" style="3" customWidth="1"/>
    <col min="5645" max="5645" width="65.44140625" style="3" customWidth="1"/>
    <col min="5646" max="5646" width="5.33203125" style="3" customWidth="1"/>
    <col min="5647" max="5647" width="10" style="3" bestFit="1" customWidth="1"/>
    <col min="5648" max="5648" width="22.33203125" style="3" bestFit="1" customWidth="1"/>
    <col min="5649" max="5649" width="19.88671875" style="3" bestFit="1" customWidth="1"/>
    <col min="5650" max="5650" width="19.88671875" style="3" customWidth="1"/>
    <col min="5651" max="5651" width="16" style="3" bestFit="1" customWidth="1"/>
    <col min="5652" max="5652" width="12" style="3" customWidth="1"/>
    <col min="5653" max="5653" width="15.109375" style="3" customWidth="1"/>
    <col min="5654" max="5654" width="18.5546875" style="3" bestFit="1" customWidth="1"/>
    <col min="5655" max="5655" width="14.6640625" style="3" bestFit="1" customWidth="1"/>
    <col min="5656" max="5659" width="11.5546875" style="3" bestFit="1" customWidth="1"/>
    <col min="5660" max="5660" width="11.44140625" style="3"/>
    <col min="5661" max="5661" width="14.44140625" style="3" customWidth="1"/>
    <col min="5662" max="5899" width="11.44140625" style="3"/>
    <col min="5900" max="5900" width="7.33203125" style="3" customWidth="1"/>
    <col min="5901" max="5901" width="65.44140625" style="3" customWidth="1"/>
    <col min="5902" max="5902" width="5.33203125" style="3" customWidth="1"/>
    <col min="5903" max="5903" width="10" style="3" bestFit="1" customWidth="1"/>
    <col min="5904" max="5904" width="22.33203125" style="3" bestFit="1" customWidth="1"/>
    <col min="5905" max="5905" width="19.88671875" style="3" bestFit="1" customWidth="1"/>
    <col min="5906" max="5906" width="19.88671875" style="3" customWidth="1"/>
    <col min="5907" max="5907" width="16" style="3" bestFit="1" customWidth="1"/>
    <col min="5908" max="5908" width="12" style="3" customWidth="1"/>
    <col min="5909" max="5909" width="15.109375" style="3" customWidth="1"/>
    <col min="5910" max="5910" width="18.5546875" style="3" bestFit="1" customWidth="1"/>
    <col min="5911" max="5911" width="14.6640625" style="3" bestFit="1" customWidth="1"/>
    <col min="5912" max="5915" width="11.5546875" style="3" bestFit="1" customWidth="1"/>
    <col min="5916" max="5916" width="11.44140625" style="3"/>
    <col min="5917" max="5917" width="14.44140625" style="3" customWidth="1"/>
    <col min="5918" max="6155" width="11.44140625" style="3"/>
    <col min="6156" max="6156" width="7.33203125" style="3" customWidth="1"/>
    <col min="6157" max="6157" width="65.44140625" style="3" customWidth="1"/>
    <col min="6158" max="6158" width="5.33203125" style="3" customWidth="1"/>
    <col min="6159" max="6159" width="10" style="3" bestFit="1" customWidth="1"/>
    <col min="6160" max="6160" width="22.33203125" style="3" bestFit="1" customWidth="1"/>
    <col min="6161" max="6161" width="19.88671875" style="3" bestFit="1" customWidth="1"/>
    <col min="6162" max="6162" width="19.88671875" style="3" customWidth="1"/>
    <col min="6163" max="6163" width="16" style="3" bestFit="1" customWidth="1"/>
    <col min="6164" max="6164" width="12" style="3" customWidth="1"/>
    <col min="6165" max="6165" width="15.109375" style="3" customWidth="1"/>
    <col min="6166" max="6166" width="18.5546875" style="3" bestFit="1" customWidth="1"/>
    <col min="6167" max="6167" width="14.6640625" style="3" bestFit="1" customWidth="1"/>
    <col min="6168" max="6171" width="11.5546875" style="3" bestFit="1" customWidth="1"/>
    <col min="6172" max="6172" width="11.44140625" style="3"/>
    <col min="6173" max="6173" width="14.44140625" style="3" customWidth="1"/>
    <col min="6174" max="6411" width="11.44140625" style="3"/>
    <col min="6412" max="6412" width="7.33203125" style="3" customWidth="1"/>
    <col min="6413" max="6413" width="65.44140625" style="3" customWidth="1"/>
    <col min="6414" max="6414" width="5.33203125" style="3" customWidth="1"/>
    <col min="6415" max="6415" width="10" style="3" bestFit="1" customWidth="1"/>
    <col min="6416" max="6416" width="22.33203125" style="3" bestFit="1" customWidth="1"/>
    <col min="6417" max="6417" width="19.88671875" style="3" bestFit="1" customWidth="1"/>
    <col min="6418" max="6418" width="19.88671875" style="3" customWidth="1"/>
    <col min="6419" max="6419" width="16" style="3" bestFit="1" customWidth="1"/>
    <col min="6420" max="6420" width="12" style="3" customWidth="1"/>
    <col min="6421" max="6421" width="15.109375" style="3" customWidth="1"/>
    <col min="6422" max="6422" width="18.5546875" style="3" bestFit="1" customWidth="1"/>
    <col min="6423" max="6423" width="14.6640625" style="3" bestFit="1" customWidth="1"/>
    <col min="6424" max="6427" width="11.5546875" style="3" bestFit="1" customWidth="1"/>
    <col min="6428" max="6428" width="11.44140625" style="3"/>
    <col min="6429" max="6429" width="14.44140625" style="3" customWidth="1"/>
    <col min="6430" max="6667" width="11.44140625" style="3"/>
    <col min="6668" max="6668" width="7.33203125" style="3" customWidth="1"/>
    <col min="6669" max="6669" width="65.44140625" style="3" customWidth="1"/>
    <col min="6670" max="6670" width="5.33203125" style="3" customWidth="1"/>
    <col min="6671" max="6671" width="10" style="3" bestFit="1" customWidth="1"/>
    <col min="6672" max="6672" width="22.33203125" style="3" bestFit="1" customWidth="1"/>
    <col min="6673" max="6673" width="19.88671875" style="3" bestFit="1" customWidth="1"/>
    <col min="6674" max="6674" width="19.88671875" style="3" customWidth="1"/>
    <col min="6675" max="6675" width="16" style="3" bestFit="1" customWidth="1"/>
    <col min="6676" max="6676" width="12" style="3" customWidth="1"/>
    <col min="6677" max="6677" width="15.109375" style="3" customWidth="1"/>
    <col min="6678" max="6678" width="18.5546875" style="3" bestFit="1" customWidth="1"/>
    <col min="6679" max="6679" width="14.6640625" style="3" bestFit="1" customWidth="1"/>
    <col min="6680" max="6683" width="11.5546875" style="3" bestFit="1" customWidth="1"/>
    <col min="6684" max="6684" width="11.44140625" style="3"/>
    <col min="6685" max="6685" width="14.44140625" style="3" customWidth="1"/>
    <col min="6686" max="6923" width="11.44140625" style="3"/>
    <col min="6924" max="6924" width="7.33203125" style="3" customWidth="1"/>
    <col min="6925" max="6925" width="65.44140625" style="3" customWidth="1"/>
    <col min="6926" max="6926" width="5.33203125" style="3" customWidth="1"/>
    <col min="6927" max="6927" width="10" style="3" bestFit="1" customWidth="1"/>
    <col min="6928" max="6928" width="22.33203125" style="3" bestFit="1" customWidth="1"/>
    <col min="6929" max="6929" width="19.88671875" style="3" bestFit="1" customWidth="1"/>
    <col min="6930" max="6930" width="19.88671875" style="3" customWidth="1"/>
    <col min="6931" max="6931" width="16" style="3" bestFit="1" customWidth="1"/>
    <col min="6932" max="6932" width="12" style="3" customWidth="1"/>
    <col min="6933" max="6933" width="15.109375" style="3" customWidth="1"/>
    <col min="6934" max="6934" width="18.5546875" style="3" bestFit="1" customWidth="1"/>
    <col min="6935" max="6935" width="14.6640625" style="3" bestFit="1" customWidth="1"/>
    <col min="6936" max="6939" width="11.5546875" style="3" bestFit="1" customWidth="1"/>
    <col min="6940" max="6940" width="11.44140625" style="3"/>
    <col min="6941" max="6941" width="14.44140625" style="3" customWidth="1"/>
    <col min="6942" max="7179" width="11.44140625" style="3"/>
    <col min="7180" max="7180" width="7.33203125" style="3" customWidth="1"/>
    <col min="7181" max="7181" width="65.44140625" style="3" customWidth="1"/>
    <col min="7182" max="7182" width="5.33203125" style="3" customWidth="1"/>
    <col min="7183" max="7183" width="10" style="3" bestFit="1" customWidth="1"/>
    <col min="7184" max="7184" width="22.33203125" style="3" bestFit="1" customWidth="1"/>
    <col min="7185" max="7185" width="19.88671875" style="3" bestFit="1" customWidth="1"/>
    <col min="7186" max="7186" width="19.88671875" style="3" customWidth="1"/>
    <col min="7187" max="7187" width="16" style="3" bestFit="1" customWidth="1"/>
    <col min="7188" max="7188" width="12" style="3" customWidth="1"/>
    <col min="7189" max="7189" width="15.109375" style="3" customWidth="1"/>
    <col min="7190" max="7190" width="18.5546875" style="3" bestFit="1" customWidth="1"/>
    <col min="7191" max="7191" width="14.6640625" style="3" bestFit="1" customWidth="1"/>
    <col min="7192" max="7195" width="11.5546875" style="3" bestFit="1" customWidth="1"/>
    <col min="7196" max="7196" width="11.44140625" style="3"/>
    <col min="7197" max="7197" width="14.44140625" style="3" customWidth="1"/>
    <col min="7198" max="7435" width="11.44140625" style="3"/>
    <col min="7436" max="7436" width="7.33203125" style="3" customWidth="1"/>
    <col min="7437" max="7437" width="65.44140625" style="3" customWidth="1"/>
    <col min="7438" max="7438" width="5.33203125" style="3" customWidth="1"/>
    <col min="7439" max="7439" width="10" style="3" bestFit="1" customWidth="1"/>
    <col min="7440" max="7440" width="22.33203125" style="3" bestFit="1" customWidth="1"/>
    <col min="7441" max="7441" width="19.88671875" style="3" bestFit="1" customWidth="1"/>
    <col min="7442" max="7442" width="19.88671875" style="3" customWidth="1"/>
    <col min="7443" max="7443" width="16" style="3" bestFit="1" customWidth="1"/>
    <col min="7444" max="7444" width="12" style="3" customWidth="1"/>
    <col min="7445" max="7445" width="15.109375" style="3" customWidth="1"/>
    <col min="7446" max="7446" width="18.5546875" style="3" bestFit="1" customWidth="1"/>
    <col min="7447" max="7447" width="14.6640625" style="3" bestFit="1" customWidth="1"/>
    <col min="7448" max="7451" width="11.5546875" style="3" bestFit="1" customWidth="1"/>
    <col min="7452" max="7452" width="11.44140625" style="3"/>
    <col min="7453" max="7453" width="14.44140625" style="3" customWidth="1"/>
    <col min="7454" max="7691" width="11.44140625" style="3"/>
    <col min="7692" max="7692" width="7.33203125" style="3" customWidth="1"/>
    <col min="7693" max="7693" width="65.44140625" style="3" customWidth="1"/>
    <col min="7694" max="7694" width="5.33203125" style="3" customWidth="1"/>
    <col min="7695" max="7695" width="10" style="3" bestFit="1" customWidth="1"/>
    <col min="7696" max="7696" width="22.33203125" style="3" bestFit="1" customWidth="1"/>
    <col min="7697" max="7697" width="19.88671875" style="3" bestFit="1" customWidth="1"/>
    <col min="7698" max="7698" width="19.88671875" style="3" customWidth="1"/>
    <col min="7699" max="7699" width="16" style="3" bestFit="1" customWidth="1"/>
    <col min="7700" max="7700" width="12" style="3" customWidth="1"/>
    <col min="7701" max="7701" width="15.109375" style="3" customWidth="1"/>
    <col min="7702" max="7702" width="18.5546875" style="3" bestFit="1" customWidth="1"/>
    <col min="7703" max="7703" width="14.6640625" style="3" bestFit="1" customWidth="1"/>
    <col min="7704" max="7707" width="11.5546875" style="3" bestFit="1" customWidth="1"/>
    <col min="7708" max="7708" width="11.44140625" style="3"/>
    <col min="7709" max="7709" width="14.44140625" style="3" customWidth="1"/>
    <col min="7710" max="7947" width="11.44140625" style="3"/>
    <col min="7948" max="7948" width="7.33203125" style="3" customWidth="1"/>
    <col min="7949" max="7949" width="65.44140625" style="3" customWidth="1"/>
    <col min="7950" max="7950" width="5.33203125" style="3" customWidth="1"/>
    <col min="7951" max="7951" width="10" style="3" bestFit="1" customWidth="1"/>
    <col min="7952" max="7952" width="22.33203125" style="3" bestFit="1" customWidth="1"/>
    <col min="7953" max="7953" width="19.88671875" style="3" bestFit="1" customWidth="1"/>
    <col min="7954" max="7954" width="19.88671875" style="3" customWidth="1"/>
    <col min="7955" max="7955" width="16" style="3" bestFit="1" customWidth="1"/>
    <col min="7956" max="7956" width="12" style="3" customWidth="1"/>
    <col min="7957" max="7957" width="15.109375" style="3" customWidth="1"/>
    <col min="7958" max="7958" width="18.5546875" style="3" bestFit="1" customWidth="1"/>
    <col min="7959" max="7959" width="14.6640625" style="3" bestFit="1" customWidth="1"/>
    <col min="7960" max="7963" width="11.5546875" style="3" bestFit="1" customWidth="1"/>
    <col min="7964" max="7964" width="11.44140625" style="3"/>
    <col min="7965" max="7965" width="14.44140625" style="3" customWidth="1"/>
    <col min="7966" max="8203" width="11.44140625" style="3"/>
    <col min="8204" max="8204" width="7.33203125" style="3" customWidth="1"/>
    <col min="8205" max="8205" width="65.44140625" style="3" customWidth="1"/>
    <col min="8206" max="8206" width="5.33203125" style="3" customWidth="1"/>
    <col min="8207" max="8207" width="10" style="3" bestFit="1" customWidth="1"/>
    <col min="8208" max="8208" width="22.33203125" style="3" bestFit="1" customWidth="1"/>
    <col min="8209" max="8209" width="19.88671875" style="3" bestFit="1" customWidth="1"/>
    <col min="8210" max="8210" width="19.88671875" style="3" customWidth="1"/>
    <col min="8211" max="8211" width="16" style="3" bestFit="1" customWidth="1"/>
    <col min="8212" max="8212" width="12" style="3" customWidth="1"/>
    <col min="8213" max="8213" width="15.109375" style="3" customWidth="1"/>
    <col min="8214" max="8214" width="18.5546875" style="3" bestFit="1" customWidth="1"/>
    <col min="8215" max="8215" width="14.6640625" style="3" bestFit="1" customWidth="1"/>
    <col min="8216" max="8219" width="11.5546875" style="3" bestFit="1" customWidth="1"/>
    <col min="8220" max="8220" width="11.44140625" style="3"/>
    <col min="8221" max="8221" width="14.44140625" style="3" customWidth="1"/>
    <col min="8222" max="8459" width="11.44140625" style="3"/>
    <col min="8460" max="8460" width="7.33203125" style="3" customWidth="1"/>
    <col min="8461" max="8461" width="65.44140625" style="3" customWidth="1"/>
    <col min="8462" max="8462" width="5.33203125" style="3" customWidth="1"/>
    <col min="8463" max="8463" width="10" style="3" bestFit="1" customWidth="1"/>
    <col min="8464" max="8464" width="22.33203125" style="3" bestFit="1" customWidth="1"/>
    <col min="8465" max="8465" width="19.88671875" style="3" bestFit="1" customWidth="1"/>
    <col min="8466" max="8466" width="19.88671875" style="3" customWidth="1"/>
    <col min="8467" max="8467" width="16" style="3" bestFit="1" customWidth="1"/>
    <col min="8468" max="8468" width="12" style="3" customWidth="1"/>
    <col min="8469" max="8469" width="15.109375" style="3" customWidth="1"/>
    <col min="8470" max="8470" width="18.5546875" style="3" bestFit="1" customWidth="1"/>
    <col min="8471" max="8471" width="14.6640625" style="3" bestFit="1" customWidth="1"/>
    <col min="8472" max="8475" width="11.5546875" style="3" bestFit="1" customWidth="1"/>
    <col min="8476" max="8476" width="11.44140625" style="3"/>
    <col min="8477" max="8477" width="14.44140625" style="3" customWidth="1"/>
    <col min="8478" max="8715" width="11.44140625" style="3"/>
    <col min="8716" max="8716" width="7.33203125" style="3" customWidth="1"/>
    <col min="8717" max="8717" width="65.44140625" style="3" customWidth="1"/>
    <col min="8718" max="8718" width="5.33203125" style="3" customWidth="1"/>
    <col min="8719" max="8719" width="10" style="3" bestFit="1" customWidth="1"/>
    <col min="8720" max="8720" width="22.33203125" style="3" bestFit="1" customWidth="1"/>
    <col min="8721" max="8721" width="19.88671875" style="3" bestFit="1" customWidth="1"/>
    <col min="8722" max="8722" width="19.88671875" style="3" customWidth="1"/>
    <col min="8723" max="8723" width="16" style="3" bestFit="1" customWidth="1"/>
    <col min="8724" max="8724" width="12" style="3" customWidth="1"/>
    <col min="8725" max="8725" width="15.109375" style="3" customWidth="1"/>
    <col min="8726" max="8726" width="18.5546875" style="3" bestFit="1" customWidth="1"/>
    <col min="8727" max="8727" width="14.6640625" style="3" bestFit="1" customWidth="1"/>
    <col min="8728" max="8731" width="11.5546875" style="3" bestFit="1" customWidth="1"/>
    <col min="8732" max="8732" width="11.44140625" style="3"/>
    <col min="8733" max="8733" width="14.44140625" style="3" customWidth="1"/>
    <col min="8734" max="8971" width="11.44140625" style="3"/>
    <col min="8972" max="8972" width="7.33203125" style="3" customWidth="1"/>
    <col min="8973" max="8973" width="65.44140625" style="3" customWidth="1"/>
    <col min="8974" max="8974" width="5.33203125" style="3" customWidth="1"/>
    <col min="8975" max="8975" width="10" style="3" bestFit="1" customWidth="1"/>
    <col min="8976" max="8976" width="22.33203125" style="3" bestFit="1" customWidth="1"/>
    <col min="8977" max="8977" width="19.88671875" style="3" bestFit="1" customWidth="1"/>
    <col min="8978" max="8978" width="19.88671875" style="3" customWidth="1"/>
    <col min="8979" max="8979" width="16" style="3" bestFit="1" customWidth="1"/>
    <col min="8980" max="8980" width="12" style="3" customWidth="1"/>
    <col min="8981" max="8981" width="15.109375" style="3" customWidth="1"/>
    <col min="8982" max="8982" width="18.5546875" style="3" bestFit="1" customWidth="1"/>
    <col min="8983" max="8983" width="14.6640625" style="3" bestFit="1" customWidth="1"/>
    <col min="8984" max="8987" width="11.5546875" style="3" bestFit="1" customWidth="1"/>
    <col min="8988" max="8988" width="11.44140625" style="3"/>
    <col min="8989" max="8989" width="14.44140625" style="3" customWidth="1"/>
    <col min="8990" max="9227" width="11.44140625" style="3"/>
    <col min="9228" max="9228" width="7.33203125" style="3" customWidth="1"/>
    <col min="9229" max="9229" width="65.44140625" style="3" customWidth="1"/>
    <col min="9230" max="9230" width="5.33203125" style="3" customWidth="1"/>
    <col min="9231" max="9231" width="10" style="3" bestFit="1" customWidth="1"/>
    <col min="9232" max="9232" width="22.33203125" style="3" bestFit="1" customWidth="1"/>
    <col min="9233" max="9233" width="19.88671875" style="3" bestFit="1" customWidth="1"/>
    <col min="9234" max="9234" width="19.88671875" style="3" customWidth="1"/>
    <col min="9235" max="9235" width="16" style="3" bestFit="1" customWidth="1"/>
    <col min="9236" max="9236" width="12" style="3" customWidth="1"/>
    <col min="9237" max="9237" width="15.109375" style="3" customWidth="1"/>
    <col min="9238" max="9238" width="18.5546875" style="3" bestFit="1" customWidth="1"/>
    <col min="9239" max="9239" width="14.6640625" style="3" bestFit="1" customWidth="1"/>
    <col min="9240" max="9243" width="11.5546875" style="3" bestFit="1" customWidth="1"/>
    <col min="9244" max="9244" width="11.44140625" style="3"/>
    <col min="9245" max="9245" width="14.44140625" style="3" customWidth="1"/>
    <col min="9246" max="9483" width="11.44140625" style="3"/>
    <col min="9484" max="9484" width="7.33203125" style="3" customWidth="1"/>
    <col min="9485" max="9485" width="65.44140625" style="3" customWidth="1"/>
    <col min="9486" max="9486" width="5.33203125" style="3" customWidth="1"/>
    <col min="9487" max="9487" width="10" style="3" bestFit="1" customWidth="1"/>
    <col min="9488" max="9488" width="22.33203125" style="3" bestFit="1" customWidth="1"/>
    <col min="9489" max="9489" width="19.88671875" style="3" bestFit="1" customWidth="1"/>
    <col min="9490" max="9490" width="19.88671875" style="3" customWidth="1"/>
    <col min="9491" max="9491" width="16" style="3" bestFit="1" customWidth="1"/>
    <col min="9492" max="9492" width="12" style="3" customWidth="1"/>
    <col min="9493" max="9493" width="15.109375" style="3" customWidth="1"/>
    <col min="9494" max="9494" width="18.5546875" style="3" bestFit="1" customWidth="1"/>
    <col min="9495" max="9495" width="14.6640625" style="3" bestFit="1" customWidth="1"/>
    <col min="9496" max="9499" width="11.5546875" style="3" bestFit="1" customWidth="1"/>
    <col min="9500" max="9500" width="11.44140625" style="3"/>
    <col min="9501" max="9501" width="14.44140625" style="3" customWidth="1"/>
    <col min="9502" max="9739" width="11.44140625" style="3"/>
    <col min="9740" max="9740" width="7.33203125" style="3" customWidth="1"/>
    <col min="9741" max="9741" width="65.44140625" style="3" customWidth="1"/>
    <col min="9742" max="9742" width="5.33203125" style="3" customWidth="1"/>
    <col min="9743" max="9743" width="10" style="3" bestFit="1" customWidth="1"/>
    <col min="9744" max="9744" width="22.33203125" style="3" bestFit="1" customWidth="1"/>
    <col min="9745" max="9745" width="19.88671875" style="3" bestFit="1" customWidth="1"/>
    <col min="9746" max="9746" width="19.88671875" style="3" customWidth="1"/>
    <col min="9747" max="9747" width="16" style="3" bestFit="1" customWidth="1"/>
    <col min="9748" max="9748" width="12" style="3" customWidth="1"/>
    <col min="9749" max="9749" width="15.109375" style="3" customWidth="1"/>
    <col min="9750" max="9750" width="18.5546875" style="3" bestFit="1" customWidth="1"/>
    <col min="9751" max="9751" width="14.6640625" style="3" bestFit="1" customWidth="1"/>
    <col min="9752" max="9755" width="11.5546875" style="3" bestFit="1" customWidth="1"/>
    <col min="9756" max="9756" width="11.44140625" style="3"/>
    <col min="9757" max="9757" width="14.44140625" style="3" customWidth="1"/>
    <col min="9758" max="9995" width="11.44140625" style="3"/>
    <col min="9996" max="9996" width="7.33203125" style="3" customWidth="1"/>
    <col min="9997" max="9997" width="65.44140625" style="3" customWidth="1"/>
    <col min="9998" max="9998" width="5.33203125" style="3" customWidth="1"/>
    <col min="9999" max="9999" width="10" style="3" bestFit="1" customWidth="1"/>
    <col min="10000" max="10000" width="22.33203125" style="3" bestFit="1" customWidth="1"/>
    <col min="10001" max="10001" width="19.88671875" style="3" bestFit="1" customWidth="1"/>
    <col min="10002" max="10002" width="19.88671875" style="3" customWidth="1"/>
    <col min="10003" max="10003" width="16" style="3" bestFit="1" customWidth="1"/>
    <col min="10004" max="10004" width="12" style="3" customWidth="1"/>
    <col min="10005" max="10005" width="15.109375" style="3" customWidth="1"/>
    <col min="10006" max="10006" width="18.5546875" style="3" bestFit="1" customWidth="1"/>
    <col min="10007" max="10007" width="14.6640625" style="3" bestFit="1" customWidth="1"/>
    <col min="10008" max="10011" width="11.5546875" style="3" bestFit="1" customWidth="1"/>
    <col min="10012" max="10012" width="11.44140625" style="3"/>
    <col min="10013" max="10013" width="14.44140625" style="3" customWidth="1"/>
    <col min="10014" max="10251" width="11.44140625" style="3"/>
    <col min="10252" max="10252" width="7.33203125" style="3" customWidth="1"/>
    <col min="10253" max="10253" width="65.44140625" style="3" customWidth="1"/>
    <col min="10254" max="10254" width="5.33203125" style="3" customWidth="1"/>
    <col min="10255" max="10255" width="10" style="3" bestFit="1" customWidth="1"/>
    <col min="10256" max="10256" width="22.33203125" style="3" bestFit="1" customWidth="1"/>
    <col min="10257" max="10257" width="19.88671875" style="3" bestFit="1" customWidth="1"/>
    <col min="10258" max="10258" width="19.88671875" style="3" customWidth="1"/>
    <col min="10259" max="10259" width="16" style="3" bestFit="1" customWidth="1"/>
    <col min="10260" max="10260" width="12" style="3" customWidth="1"/>
    <col min="10261" max="10261" width="15.109375" style="3" customWidth="1"/>
    <col min="10262" max="10262" width="18.5546875" style="3" bestFit="1" customWidth="1"/>
    <col min="10263" max="10263" width="14.6640625" style="3" bestFit="1" customWidth="1"/>
    <col min="10264" max="10267" width="11.5546875" style="3" bestFit="1" customWidth="1"/>
    <col min="10268" max="10268" width="11.44140625" style="3"/>
    <col min="10269" max="10269" width="14.44140625" style="3" customWidth="1"/>
    <col min="10270" max="10507" width="11.44140625" style="3"/>
    <col min="10508" max="10508" width="7.33203125" style="3" customWidth="1"/>
    <col min="10509" max="10509" width="65.44140625" style="3" customWidth="1"/>
    <col min="10510" max="10510" width="5.33203125" style="3" customWidth="1"/>
    <col min="10511" max="10511" width="10" style="3" bestFit="1" customWidth="1"/>
    <col min="10512" max="10512" width="22.33203125" style="3" bestFit="1" customWidth="1"/>
    <col min="10513" max="10513" width="19.88671875" style="3" bestFit="1" customWidth="1"/>
    <col min="10514" max="10514" width="19.88671875" style="3" customWidth="1"/>
    <col min="10515" max="10515" width="16" style="3" bestFit="1" customWidth="1"/>
    <col min="10516" max="10516" width="12" style="3" customWidth="1"/>
    <col min="10517" max="10517" width="15.109375" style="3" customWidth="1"/>
    <col min="10518" max="10518" width="18.5546875" style="3" bestFit="1" customWidth="1"/>
    <col min="10519" max="10519" width="14.6640625" style="3" bestFit="1" customWidth="1"/>
    <col min="10520" max="10523" width="11.5546875" style="3" bestFit="1" customWidth="1"/>
    <col min="10524" max="10524" width="11.44140625" style="3"/>
    <col min="10525" max="10525" width="14.44140625" style="3" customWidth="1"/>
    <col min="10526" max="10763" width="11.44140625" style="3"/>
    <col min="10764" max="10764" width="7.33203125" style="3" customWidth="1"/>
    <col min="10765" max="10765" width="65.44140625" style="3" customWidth="1"/>
    <col min="10766" max="10766" width="5.33203125" style="3" customWidth="1"/>
    <col min="10767" max="10767" width="10" style="3" bestFit="1" customWidth="1"/>
    <col min="10768" max="10768" width="22.33203125" style="3" bestFit="1" customWidth="1"/>
    <col min="10769" max="10769" width="19.88671875" style="3" bestFit="1" customWidth="1"/>
    <col min="10770" max="10770" width="19.88671875" style="3" customWidth="1"/>
    <col min="10771" max="10771" width="16" style="3" bestFit="1" customWidth="1"/>
    <col min="10772" max="10772" width="12" style="3" customWidth="1"/>
    <col min="10773" max="10773" width="15.109375" style="3" customWidth="1"/>
    <col min="10774" max="10774" width="18.5546875" style="3" bestFit="1" customWidth="1"/>
    <col min="10775" max="10775" width="14.6640625" style="3" bestFit="1" customWidth="1"/>
    <col min="10776" max="10779" width="11.5546875" style="3" bestFit="1" customWidth="1"/>
    <col min="10780" max="10780" width="11.44140625" style="3"/>
    <col min="10781" max="10781" width="14.44140625" style="3" customWidth="1"/>
    <col min="10782" max="11019" width="11.44140625" style="3"/>
    <col min="11020" max="11020" width="7.33203125" style="3" customWidth="1"/>
    <col min="11021" max="11021" width="65.44140625" style="3" customWidth="1"/>
    <col min="11022" max="11022" width="5.33203125" style="3" customWidth="1"/>
    <col min="11023" max="11023" width="10" style="3" bestFit="1" customWidth="1"/>
    <col min="11024" max="11024" width="22.33203125" style="3" bestFit="1" customWidth="1"/>
    <col min="11025" max="11025" width="19.88671875" style="3" bestFit="1" customWidth="1"/>
    <col min="11026" max="11026" width="19.88671875" style="3" customWidth="1"/>
    <col min="11027" max="11027" width="16" style="3" bestFit="1" customWidth="1"/>
    <col min="11028" max="11028" width="12" style="3" customWidth="1"/>
    <col min="11029" max="11029" width="15.109375" style="3" customWidth="1"/>
    <col min="11030" max="11030" width="18.5546875" style="3" bestFit="1" customWidth="1"/>
    <col min="11031" max="11031" width="14.6640625" style="3" bestFit="1" customWidth="1"/>
    <col min="11032" max="11035" width="11.5546875" style="3" bestFit="1" customWidth="1"/>
    <col min="11036" max="11036" width="11.44140625" style="3"/>
    <col min="11037" max="11037" width="14.44140625" style="3" customWidth="1"/>
    <col min="11038" max="11275" width="11.44140625" style="3"/>
    <col min="11276" max="11276" width="7.33203125" style="3" customWidth="1"/>
    <col min="11277" max="11277" width="65.44140625" style="3" customWidth="1"/>
    <col min="11278" max="11278" width="5.33203125" style="3" customWidth="1"/>
    <col min="11279" max="11279" width="10" style="3" bestFit="1" customWidth="1"/>
    <col min="11280" max="11280" width="22.33203125" style="3" bestFit="1" customWidth="1"/>
    <col min="11281" max="11281" width="19.88671875" style="3" bestFit="1" customWidth="1"/>
    <col min="11282" max="11282" width="19.88671875" style="3" customWidth="1"/>
    <col min="11283" max="11283" width="16" style="3" bestFit="1" customWidth="1"/>
    <col min="11284" max="11284" width="12" style="3" customWidth="1"/>
    <col min="11285" max="11285" width="15.109375" style="3" customWidth="1"/>
    <col min="11286" max="11286" width="18.5546875" style="3" bestFit="1" customWidth="1"/>
    <col min="11287" max="11287" width="14.6640625" style="3" bestFit="1" customWidth="1"/>
    <col min="11288" max="11291" width="11.5546875" style="3" bestFit="1" customWidth="1"/>
    <col min="11292" max="11292" width="11.44140625" style="3"/>
    <col min="11293" max="11293" width="14.44140625" style="3" customWidth="1"/>
    <col min="11294" max="11531" width="11.44140625" style="3"/>
    <col min="11532" max="11532" width="7.33203125" style="3" customWidth="1"/>
    <col min="11533" max="11533" width="65.44140625" style="3" customWidth="1"/>
    <col min="11534" max="11534" width="5.33203125" style="3" customWidth="1"/>
    <col min="11535" max="11535" width="10" style="3" bestFit="1" customWidth="1"/>
    <col min="11536" max="11536" width="22.33203125" style="3" bestFit="1" customWidth="1"/>
    <col min="11537" max="11537" width="19.88671875" style="3" bestFit="1" customWidth="1"/>
    <col min="11538" max="11538" width="19.88671875" style="3" customWidth="1"/>
    <col min="11539" max="11539" width="16" style="3" bestFit="1" customWidth="1"/>
    <col min="11540" max="11540" width="12" style="3" customWidth="1"/>
    <col min="11541" max="11541" width="15.109375" style="3" customWidth="1"/>
    <col min="11542" max="11542" width="18.5546875" style="3" bestFit="1" customWidth="1"/>
    <col min="11543" max="11543" width="14.6640625" style="3" bestFit="1" customWidth="1"/>
    <col min="11544" max="11547" width="11.5546875" style="3" bestFit="1" customWidth="1"/>
    <col min="11548" max="11548" width="11.44140625" style="3"/>
    <col min="11549" max="11549" width="14.44140625" style="3" customWidth="1"/>
    <col min="11550" max="11787" width="11.44140625" style="3"/>
    <col min="11788" max="11788" width="7.33203125" style="3" customWidth="1"/>
    <col min="11789" max="11789" width="65.44140625" style="3" customWidth="1"/>
    <col min="11790" max="11790" width="5.33203125" style="3" customWidth="1"/>
    <col min="11791" max="11791" width="10" style="3" bestFit="1" customWidth="1"/>
    <col min="11792" max="11792" width="22.33203125" style="3" bestFit="1" customWidth="1"/>
    <col min="11793" max="11793" width="19.88671875" style="3" bestFit="1" customWidth="1"/>
    <col min="11794" max="11794" width="19.88671875" style="3" customWidth="1"/>
    <col min="11795" max="11795" width="16" style="3" bestFit="1" customWidth="1"/>
    <col min="11796" max="11796" width="12" style="3" customWidth="1"/>
    <col min="11797" max="11797" width="15.109375" style="3" customWidth="1"/>
    <col min="11798" max="11798" width="18.5546875" style="3" bestFit="1" customWidth="1"/>
    <col min="11799" max="11799" width="14.6640625" style="3" bestFit="1" customWidth="1"/>
    <col min="11800" max="11803" width="11.5546875" style="3" bestFit="1" customWidth="1"/>
    <col min="11804" max="11804" width="11.44140625" style="3"/>
    <col min="11805" max="11805" width="14.44140625" style="3" customWidth="1"/>
    <col min="11806" max="12043" width="11.44140625" style="3"/>
    <col min="12044" max="12044" width="7.33203125" style="3" customWidth="1"/>
    <col min="12045" max="12045" width="65.44140625" style="3" customWidth="1"/>
    <col min="12046" max="12046" width="5.33203125" style="3" customWidth="1"/>
    <col min="12047" max="12047" width="10" style="3" bestFit="1" customWidth="1"/>
    <col min="12048" max="12048" width="22.33203125" style="3" bestFit="1" customWidth="1"/>
    <col min="12049" max="12049" width="19.88671875" style="3" bestFit="1" customWidth="1"/>
    <col min="12050" max="12050" width="19.88671875" style="3" customWidth="1"/>
    <col min="12051" max="12051" width="16" style="3" bestFit="1" customWidth="1"/>
    <col min="12052" max="12052" width="12" style="3" customWidth="1"/>
    <col min="12053" max="12053" width="15.109375" style="3" customWidth="1"/>
    <col min="12054" max="12054" width="18.5546875" style="3" bestFit="1" customWidth="1"/>
    <col min="12055" max="12055" width="14.6640625" style="3" bestFit="1" customWidth="1"/>
    <col min="12056" max="12059" width="11.5546875" style="3" bestFit="1" customWidth="1"/>
    <col min="12060" max="12060" width="11.44140625" style="3"/>
    <col min="12061" max="12061" width="14.44140625" style="3" customWidth="1"/>
    <col min="12062" max="12299" width="11.44140625" style="3"/>
    <col min="12300" max="12300" width="7.33203125" style="3" customWidth="1"/>
    <col min="12301" max="12301" width="65.44140625" style="3" customWidth="1"/>
    <col min="12302" max="12302" width="5.33203125" style="3" customWidth="1"/>
    <col min="12303" max="12303" width="10" style="3" bestFit="1" customWidth="1"/>
    <col min="12304" max="12304" width="22.33203125" style="3" bestFit="1" customWidth="1"/>
    <col min="12305" max="12305" width="19.88671875" style="3" bestFit="1" customWidth="1"/>
    <col min="12306" max="12306" width="19.88671875" style="3" customWidth="1"/>
    <col min="12307" max="12307" width="16" style="3" bestFit="1" customWidth="1"/>
    <col min="12308" max="12308" width="12" style="3" customWidth="1"/>
    <col min="12309" max="12309" width="15.109375" style="3" customWidth="1"/>
    <col min="12310" max="12310" width="18.5546875" style="3" bestFit="1" customWidth="1"/>
    <col min="12311" max="12311" width="14.6640625" style="3" bestFit="1" customWidth="1"/>
    <col min="12312" max="12315" width="11.5546875" style="3" bestFit="1" customWidth="1"/>
    <col min="12316" max="12316" width="11.44140625" style="3"/>
    <col min="12317" max="12317" width="14.44140625" style="3" customWidth="1"/>
    <col min="12318" max="12555" width="11.44140625" style="3"/>
    <col min="12556" max="12556" width="7.33203125" style="3" customWidth="1"/>
    <col min="12557" max="12557" width="65.44140625" style="3" customWidth="1"/>
    <col min="12558" max="12558" width="5.33203125" style="3" customWidth="1"/>
    <col min="12559" max="12559" width="10" style="3" bestFit="1" customWidth="1"/>
    <col min="12560" max="12560" width="22.33203125" style="3" bestFit="1" customWidth="1"/>
    <col min="12561" max="12561" width="19.88671875" style="3" bestFit="1" customWidth="1"/>
    <col min="12562" max="12562" width="19.88671875" style="3" customWidth="1"/>
    <col min="12563" max="12563" width="16" style="3" bestFit="1" customWidth="1"/>
    <col min="12564" max="12564" width="12" style="3" customWidth="1"/>
    <col min="12565" max="12565" width="15.109375" style="3" customWidth="1"/>
    <col min="12566" max="12566" width="18.5546875" style="3" bestFit="1" customWidth="1"/>
    <col min="12567" max="12567" width="14.6640625" style="3" bestFit="1" customWidth="1"/>
    <col min="12568" max="12571" width="11.5546875" style="3" bestFit="1" customWidth="1"/>
    <col min="12572" max="12572" width="11.44140625" style="3"/>
    <col min="12573" max="12573" width="14.44140625" style="3" customWidth="1"/>
    <col min="12574" max="12811" width="11.44140625" style="3"/>
    <col min="12812" max="12812" width="7.33203125" style="3" customWidth="1"/>
    <col min="12813" max="12813" width="65.44140625" style="3" customWidth="1"/>
    <col min="12814" max="12814" width="5.33203125" style="3" customWidth="1"/>
    <col min="12815" max="12815" width="10" style="3" bestFit="1" customWidth="1"/>
    <col min="12816" max="12816" width="22.33203125" style="3" bestFit="1" customWidth="1"/>
    <col min="12817" max="12817" width="19.88671875" style="3" bestFit="1" customWidth="1"/>
    <col min="12818" max="12818" width="19.88671875" style="3" customWidth="1"/>
    <col min="12819" max="12819" width="16" style="3" bestFit="1" customWidth="1"/>
    <col min="12820" max="12820" width="12" style="3" customWidth="1"/>
    <col min="12821" max="12821" width="15.109375" style="3" customWidth="1"/>
    <col min="12822" max="12822" width="18.5546875" style="3" bestFit="1" customWidth="1"/>
    <col min="12823" max="12823" width="14.6640625" style="3" bestFit="1" customWidth="1"/>
    <col min="12824" max="12827" width="11.5546875" style="3" bestFit="1" customWidth="1"/>
    <col min="12828" max="12828" width="11.44140625" style="3"/>
    <col min="12829" max="12829" width="14.44140625" style="3" customWidth="1"/>
    <col min="12830" max="13067" width="11.44140625" style="3"/>
    <col min="13068" max="13068" width="7.33203125" style="3" customWidth="1"/>
    <col min="13069" max="13069" width="65.44140625" style="3" customWidth="1"/>
    <col min="13070" max="13070" width="5.33203125" style="3" customWidth="1"/>
    <col min="13071" max="13071" width="10" style="3" bestFit="1" customWidth="1"/>
    <col min="13072" max="13072" width="22.33203125" style="3" bestFit="1" customWidth="1"/>
    <col min="13073" max="13073" width="19.88671875" style="3" bestFit="1" customWidth="1"/>
    <col min="13074" max="13074" width="19.88671875" style="3" customWidth="1"/>
    <col min="13075" max="13075" width="16" style="3" bestFit="1" customWidth="1"/>
    <col min="13076" max="13076" width="12" style="3" customWidth="1"/>
    <col min="13077" max="13077" width="15.109375" style="3" customWidth="1"/>
    <col min="13078" max="13078" width="18.5546875" style="3" bestFit="1" customWidth="1"/>
    <col min="13079" max="13079" width="14.6640625" style="3" bestFit="1" customWidth="1"/>
    <col min="13080" max="13083" width="11.5546875" style="3" bestFit="1" customWidth="1"/>
    <col min="13084" max="13084" width="11.44140625" style="3"/>
    <col min="13085" max="13085" width="14.44140625" style="3" customWidth="1"/>
    <col min="13086" max="13323" width="11.44140625" style="3"/>
    <col min="13324" max="13324" width="7.33203125" style="3" customWidth="1"/>
    <col min="13325" max="13325" width="65.44140625" style="3" customWidth="1"/>
    <col min="13326" max="13326" width="5.33203125" style="3" customWidth="1"/>
    <col min="13327" max="13327" width="10" style="3" bestFit="1" customWidth="1"/>
    <col min="13328" max="13328" width="22.33203125" style="3" bestFit="1" customWidth="1"/>
    <col min="13329" max="13329" width="19.88671875" style="3" bestFit="1" customWidth="1"/>
    <col min="13330" max="13330" width="19.88671875" style="3" customWidth="1"/>
    <col min="13331" max="13331" width="16" style="3" bestFit="1" customWidth="1"/>
    <col min="13332" max="13332" width="12" style="3" customWidth="1"/>
    <col min="13333" max="13333" width="15.109375" style="3" customWidth="1"/>
    <col min="13334" max="13334" width="18.5546875" style="3" bestFit="1" customWidth="1"/>
    <col min="13335" max="13335" width="14.6640625" style="3" bestFit="1" customWidth="1"/>
    <col min="13336" max="13339" width="11.5546875" style="3" bestFit="1" customWidth="1"/>
    <col min="13340" max="13340" width="11.44140625" style="3"/>
    <col min="13341" max="13341" width="14.44140625" style="3" customWidth="1"/>
    <col min="13342" max="13579" width="11.44140625" style="3"/>
    <col min="13580" max="13580" width="7.33203125" style="3" customWidth="1"/>
    <col min="13581" max="13581" width="65.44140625" style="3" customWidth="1"/>
    <col min="13582" max="13582" width="5.33203125" style="3" customWidth="1"/>
    <col min="13583" max="13583" width="10" style="3" bestFit="1" customWidth="1"/>
    <col min="13584" max="13584" width="22.33203125" style="3" bestFit="1" customWidth="1"/>
    <col min="13585" max="13585" width="19.88671875" style="3" bestFit="1" customWidth="1"/>
    <col min="13586" max="13586" width="19.88671875" style="3" customWidth="1"/>
    <col min="13587" max="13587" width="16" style="3" bestFit="1" customWidth="1"/>
    <col min="13588" max="13588" width="12" style="3" customWidth="1"/>
    <col min="13589" max="13589" width="15.109375" style="3" customWidth="1"/>
    <col min="13590" max="13590" width="18.5546875" style="3" bestFit="1" customWidth="1"/>
    <col min="13591" max="13591" width="14.6640625" style="3" bestFit="1" customWidth="1"/>
    <col min="13592" max="13595" width="11.5546875" style="3" bestFit="1" customWidth="1"/>
    <col min="13596" max="13596" width="11.44140625" style="3"/>
    <col min="13597" max="13597" width="14.44140625" style="3" customWidth="1"/>
    <col min="13598" max="13835" width="11.44140625" style="3"/>
    <col min="13836" max="13836" width="7.33203125" style="3" customWidth="1"/>
    <col min="13837" max="13837" width="65.44140625" style="3" customWidth="1"/>
    <col min="13838" max="13838" width="5.33203125" style="3" customWidth="1"/>
    <col min="13839" max="13839" width="10" style="3" bestFit="1" customWidth="1"/>
    <col min="13840" max="13840" width="22.33203125" style="3" bestFit="1" customWidth="1"/>
    <col min="13841" max="13841" width="19.88671875" style="3" bestFit="1" customWidth="1"/>
    <col min="13842" max="13842" width="19.88671875" style="3" customWidth="1"/>
    <col min="13843" max="13843" width="16" style="3" bestFit="1" customWidth="1"/>
    <col min="13844" max="13844" width="12" style="3" customWidth="1"/>
    <col min="13845" max="13845" width="15.109375" style="3" customWidth="1"/>
    <col min="13846" max="13846" width="18.5546875" style="3" bestFit="1" customWidth="1"/>
    <col min="13847" max="13847" width="14.6640625" style="3" bestFit="1" customWidth="1"/>
    <col min="13848" max="13851" width="11.5546875" style="3" bestFit="1" customWidth="1"/>
    <col min="13852" max="13852" width="11.44140625" style="3"/>
    <col min="13853" max="13853" width="14.44140625" style="3" customWidth="1"/>
    <col min="13854" max="14091" width="11.44140625" style="3"/>
    <col min="14092" max="14092" width="7.33203125" style="3" customWidth="1"/>
    <col min="14093" max="14093" width="65.44140625" style="3" customWidth="1"/>
    <col min="14094" max="14094" width="5.33203125" style="3" customWidth="1"/>
    <col min="14095" max="14095" width="10" style="3" bestFit="1" customWidth="1"/>
    <col min="14096" max="14096" width="22.33203125" style="3" bestFit="1" customWidth="1"/>
    <col min="14097" max="14097" width="19.88671875" style="3" bestFit="1" customWidth="1"/>
    <col min="14098" max="14098" width="19.88671875" style="3" customWidth="1"/>
    <col min="14099" max="14099" width="16" style="3" bestFit="1" customWidth="1"/>
    <col min="14100" max="14100" width="12" style="3" customWidth="1"/>
    <col min="14101" max="14101" width="15.109375" style="3" customWidth="1"/>
    <col min="14102" max="14102" width="18.5546875" style="3" bestFit="1" customWidth="1"/>
    <col min="14103" max="14103" width="14.6640625" style="3" bestFit="1" customWidth="1"/>
    <col min="14104" max="14107" width="11.5546875" style="3" bestFit="1" customWidth="1"/>
    <col min="14108" max="14108" width="11.44140625" style="3"/>
    <col min="14109" max="14109" width="14.44140625" style="3" customWidth="1"/>
    <col min="14110" max="14347" width="11.44140625" style="3"/>
    <col min="14348" max="14348" width="7.33203125" style="3" customWidth="1"/>
    <col min="14349" max="14349" width="65.44140625" style="3" customWidth="1"/>
    <col min="14350" max="14350" width="5.33203125" style="3" customWidth="1"/>
    <col min="14351" max="14351" width="10" style="3" bestFit="1" customWidth="1"/>
    <col min="14352" max="14352" width="22.33203125" style="3" bestFit="1" customWidth="1"/>
    <col min="14353" max="14353" width="19.88671875" style="3" bestFit="1" customWidth="1"/>
    <col min="14354" max="14354" width="19.88671875" style="3" customWidth="1"/>
    <col min="14355" max="14355" width="16" style="3" bestFit="1" customWidth="1"/>
    <col min="14356" max="14356" width="12" style="3" customWidth="1"/>
    <col min="14357" max="14357" width="15.109375" style="3" customWidth="1"/>
    <col min="14358" max="14358" width="18.5546875" style="3" bestFit="1" customWidth="1"/>
    <col min="14359" max="14359" width="14.6640625" style="3" bestFit="1" customWidth="1"/>
    <col min="14360" max="14363" width="11.5546875" style="3" bestFit="1" customWidth="1"/>
    <col min="14364" max="14364" width="11.44140625" style="3"/>
    <col min="14365" max="14365" width="14.44140625" style="3" customWidth="1"/>
    <col min="14366" max="14603" width="11.44140625" style="3"/>
    <col min="14604" max="14604" width="7.33203125" style="3" customWidth="1"/>
    <col min="14605" max="14605" width="65.44140625" style="3" customWidth="1"/>
    <col min="14606" max="14606" width="5.33203125" style="3" customWidth="1"/>
    <col min="14607" max="14607" width="10" style="3" bestFit="1" customWidth="1"/>
    <col min="14608" max="14608" width="22.33203125" style="3" bestFit="1" customWidth="1"/>
    <col min="14609" max="14609" width="19.88671875" style="3" bestFit="1" customWidth="1"/>
    <col min="14610" max="14610" width="19.88671875" style="3" customWidth="1"/>
    <col min="14611" max="14611" width="16" style="3" bestFit="1" customWidth="1"/>
    <col min="14612" max="14612" width="12" style="3" customWidth="1"/>
    <col min="14613" max="14613" width="15.109375" style="3" customWidth="1"/>
    <col min="14614" max="14614" width="18.5546875" style="3" bestFit="1" customWidth="1"/>
    <col min="14615" max="14615" width="14.6640625" style="3" bestFit="1" customWidth="1"/>
    <col min="14616" max="14619" width="11.5546875" style="3" bestFit="1" customWidth="1"/>
    <col min="14620" max="14620" width="11.44140625" style="3"/>
    <col min="14621" max="14621" width="14.44140625" style="3" customWidth="1"/>
    <col min="14622" max="14859" width="11.44140625" style="3"/>
    <col min="14860" max="14860" width="7.33203125" style="3" customWidth="1"/>
    <col min="14861" max="14861" width="65.44140625" style="3" customWidth="1"/>
    <col min="14862" max="14862" width="5.33203125" style="3" customWidth="1"/>
    <col min="14863" max="14863" width="10" style="3" bestFit="1" customWidth="1"/>
    <col min="14864" max="14864" width="22.33203125" style="3" bestFit="1" customWidth="1"/>
    <col min="14865" max="14865" width="19.88671875" style="3" bestFit="1" customWidth="1"/>
    <col min="14866" max="14866" width="19.88671875" style="3" customWidth="1"/>
    <col min="14867" max="14867" width="16" style="3" bestFit="1" customWidth="1"/>
    <col min="14868" max="14868" width="12" style="3" customWidth="1"/>
    <col min="14869" max="14869" width="15.109375" style="3" customWidth="1"/>
    <col min="14870" max="14870" width="18.5546875" style="3" bestFit="1" customWidth="1"/>
    <col min="14871" max="14871" width="14.6640625" style="3" bestFit="1" customWidth="1"/>
    <col min="14872" max="14875" width="11.5546875" style="3" bestFit="1" customWidth="1"/>
    <col min="14876" max="14876" width="11.44140625" style="3"/>
    <col min="14877" max="14877" width="14.44140625" style="3" customWidth="1"/>
    <col min="14878" max="15115" width="11.44140625" style="3"/>
    <col min="15116" max="15116" width="7.33203125" style="3" customWidth="1"/>
    <col min="15117" max="15117" width="65.44140625" style="3" customWidth="1"/>
    <col min="15118" max="15118" width="5.33203125" style="3" customWidth="1"/>
    <col min="15119" max="15119" width="10" style="3" bestFit="1" customWidth="1"/>
    <col min="15120" max="15120" width="22.33203125" style="3" bestFit="1" customWidth="1"/>
    <col min="15121" max="15121" width="19.88671875" style="3" bestFit="1" customWidth="1"/>
    <col min="15122" max="15122" width="19.88671875" style="3" customWidth="1"/>
    <col min="15123" max="15123" width="16" style="3" bestFit="1" customWidth="1"/>
    <col min="15124" max="15124" width="12" style="3" customWidth="1"/>
    <col min="15125" max="15125" width="15.109375" style="3" customWidth="1"/>
    <col min="15126" max="15126" width="18.5546875" style="3" bestFit="1" customWidth="1"/>
    <col min="15127" max="15127" width="14.6640625" style="3" bestFit="1" customWidth="1"/>
    <col min="15128" max="15131" width="11.5546875" style="3" bestFit="1" customWidth="1"/>
    <col min="15132" max="15132" width="11.44140625" style="3"/>
    <col min="15133" max="15133" width="14.44140625" style="3" customWidth="1"/>
    <col min="15134" max="15371" width="11.44140625" style="3"/>
    <col min="15372" max="15372" width="7.33203125" style="3" customWidth="1"/>
    <col min="15373" max="15373" width="65.44140625" style="3" customWidth="1"/>
    <col min="15374" max="15374" width="5.33203125" style="3" customWidth="1"/>
    <col min="15375" max="15375" width="10" style="3" bestFit="1" customWidth="1"/>
    <col min="15376" max="15376" width="22.33203125" style="3" bestFit="1" customWidth="1"/>
    <col min="15377" max="15377" width="19.88671875" style="3" bestFit="1" customWidth="1"/>
    <col min="15378" max="15378" width="19.88671875" style="3" customWidth="1"/>
    <col min="15379" max="15379" width="16" style="3" bestFit="1" customWidth="1"/>
    <col min="15380" max="15380" width="12" style="3" customWidth="1"/>
    <col min="15381" max="15381" width="15.109375" style="3" customWidth="1"/>
    <col min="15382" max="15382" width="18.5546875" style="3" bestFit="1" customWidth="1"/>
    <col min="15383" max="15383" width="14.6640625" style="3" bestFit="1" customWidth="1"/>
    <col min="15384" max="15387" width="11.5546875" style="3" bestFit="1" customWidth="1"/>
    <col min="15388" max="15388" width="11.44140625" style="3"/>
    <col min="15389" max="15389" width="14.44140625" style="3" customWidth="1"/>
    <col min="15390" max="15627" width="11.44140625" style="3"/>
    <col min="15628" max="15628" width="7.33203125" style="3" customWidth="1"/>
    <col min="15629" max="15629" width="65.44140625" style="3" customWidth="1"/>
    <col min="15630" max="15630" width="5.33203125" style="3" customWidth="1"/>
    <col min="15631" max="15631" width="10" style="3" bestFit="1" customWidth="1"/>
    <col min="15632" max="15632" width="22.33203125" style="3" bestFit="1" customWidth="1"/>
    <col min="15633" max="15633" width="19.88671875" style="3" bestFit="1" customWidth="1"/>
    <col min="15634" max="15634" width="19.88671875" style="3" customWidth="1"/>
    <col min="15635" max="15635" width="16" style="3" bestFit="1" customWidth="1"/>
    <col min="15636" max="15636" width="12" style="3" customWidth="1"/>
    <col min="15637" max="15637" width="15.109375" style="3" customWidth="1"/>
    <col min="15638" max="15638" width="18.5546875" style="3" bestFit="1" customWidth="1"/>
    <col min="15639" max="15639" width="14.6640625" style="3" bestFit="1" customWidth="1"/>
    <col min="15640" max="15643" width="11.5546875" style="3" bestFit="1" customWidth="1"/>
    <col min="15644" max="15644" width="11.44140625" style="3"/>
    <col min="15645" max="15645" width="14.44140625" style="3" customWidth="1"/>
    <col min="15646" max="15883" width="11.44140625" style="3"/>
    <col min="15884" max="15884" width="7.33203125" style="3" customWidth="1"/>
    <col min="15885" max="15885" width="65.44140625" style="3" customWidth="1"/>
    <col min="15886" max="15886" width="5.33203125" style="3" customWidth="1"/>
    <col min="15887" max="15887" width="10" style="3" bestFit="1" customWidth="1"/>
    <col min="15888" max="15888" width="22.33203125" style="3" bestFit="1" customWidth="1"/>
    <col min="15889" max="15889" width="19.88671875" style="3" bestFit="1" customWidth="1"/>
    <col min="15890" max="15890" width="19.88671875" style="3" customWidth="1"/>
    <col min="15891" max="15891" width="16" style="3" bestFit="1" customWidth="1"/>
    <col min="15892" max="15892" width="12" style="3" customWidth="1"/>
    <col min="15893" max="15893" width="15.109375" style="3" customWidth="1"/>
    <col min="15894" max="15894" width="18.5546875" style="3" bestFit="1" customWidth="1"/>
    <col min="15895" max="15895" width="14.6640625" style="3" bestFit="1" customWidth="1"/>
    <col min="15896" max="15899" width="11.5546875" style="3" bestFit="1" customWidth="1"/>
    <col min="15900" max="15900" width="11.44140625" style="3"/>
    <col min="15901" max="15901" width="14.44140625" style="3" customWidth="1"/>
    <col min="15902" max="16139" width="11.44140625" style="3"/>
    <col min="16140" max="16140" width="7.33203125" style="3" customWidth="1"/>
    <col min="16141" max="16141" width="65.44140625" style="3" customWidth="1"/>
    <col min="16142" max="16142" width="5.33203125" style="3" customWidth="1"/>
    <col min="16143" max="16143" width="10" style="3" bestFit="1" customWidth="1"/>
    <col min="16144" max="16144" width="22.33203125" style="3" bestFit="1" customWidth="1"/>
    <col min="16145" max="16145" width="19.88671875" style="3" bestFit="1" customWidth="1"/>
    <col min="16146" max="16146" width="19.88671875" style="3" customWidth="1"/>
    <col min="16147" max="16147" width="16" style="3" bestFit="1" customWidth="1"/>
    <col min="16148" max="16148" width="12" style="3" customWidth="1"/>
    <col min="16149" max="16149" width="15.109375" style="3" customWidth="1"/>
    <col min="16150" max="16150" width="18.5546875" style="3" bestFit="1" customWidth="1"/>
    <col min="16151" max="16151" width="14.6640625" style="3" bestFit="1" customWidth="1"/>
    <col min="16152" max="16155" width="11.5546875" style="3" bestFit="1" customWidth="1"/>
    <col min="16156" max="16156" width="11.44140625" style="3"/>
    <col min="16157" max="16157" width="14.44140625" style="3" customWidth="1"/>
    <col min="16158" max="16384" width="11.44140625" style="3"/>
  </cols>
  <sheetData>
    <row r="1" spans="1:34" s="105" customFormat="1" ht="16.2" x14ac:dyDescent="0.3">
      <c r="A1" s="106" t="s">
        <v>0</v>
      </c>
      <c r="B1" s="107"/>
      <c r="C1" s="108"/>
      <c r="D1" s="109"/>
      <c r="E1" s="135"/>
      <c r="F1" s="109"/>
      <c r="G1" s="109"/>
      <c r="H1" s="110"/>
      <c r="I1" s="110"/>
      <c r="J1" s="135"/>
      <c r="K1" s="110"/>
      <c r="L1" s="110"/>
      <c r="M1" s="110"/>
      <c r="N1" s="110"/>
      <c r="O1" s="110"/>
      <c r="P1" s="110"/>
      <c r="Q1" s="104"/>
      <c r="R1" s="104"/>
      <c r="S1" s="103"/>
      <c r="X1" s="242"/>
      <c r="Z1" s="242"/>
      <c r="AA1" s="248"/>
      <c r="AB1" s="249"/>
      <c r="AC1" s="254"/>
      <c r="AD1" s="255"/>
      <c r="AF1" s="242"/>
      <c r="AG1" s="248"/>
      <c r="AH1" s="249"/>
    </row>
    <row r="2" spans="1:34" s="105" customFormat="1" ht="16.2" x14ac:dyDescent="0.3">
      <c r="A2" s="106" t="s">
        <v>1</v>
      </c>
      <c r="B2" s="107"/>
      <c r="C2" s="108"/>
      <c r="D2" s="109"/>
      <c r="E2" s="135"/>
      <c r="F2" s="109"/>
      <c r="G2" s="109"/>
      <c r="H2" s="110"/>
      <c r="I2" s="110"/>
      <c r="J2" s="135"/>
      <c r="K2" s="110"/>
      <c r="L2" s="110"/>
      <c r="M2" s="110"/>
      <c r="N2" s="110"/>
      <c r="O2" s="110"/>
      <c r="P2" s="110"/>
      <c r="Q2" s="104"/>
      <c r="R2" s="104"/>
      <c r="S2" s="103"/>
      <c r="X2" s="242"/>
      <c r="Z2" s="242"/>
      <c r="AA2" s="248"/>
      <c r="AB2" s="249"/>
      <c r="AC2" s="254"/>
      <c r="AD2" s="255"/>
      <c r="AF2" s="242"/>
      <c r="AG2" s="248"/>
      <c r="AH2" s="249"/>
    </row>
    <row r="3" spans="1:34" s="105" customFormat="1" ht="16.8" thickBot="1" x14ac:dyDescent="0.35">
      <c r="A3" s="106" t="s">
        <v>2</v>
      </c>
      <c r="B3" s="107"/>
      <c r="C3" s="108"/>
      <c r="D3" s="109"/>
      <c r="E3" s="271"/>
      <c r="F3" s="271"/>
      <c r="G3" s="271"/>
      <c r="H3" s="110"/>
      <c r="I3" s="110"/>
      <c r="J3" s="270"/>
      <c r="K3" s="270"/>
      <c r="L3" s="270"/>
      <c r="M3" s="110"/>
      <c r="N3" s="270"/>
      <c r="O3" s="270"/>
      <c r="P3" s="270"/>
      <c r="Q3" s="104"/>
      <c r="R3" s="104"/>
      <c r="S3" s="103"/>
      <c r="X3" s="242"/>
      <c r="Z3" s="242"/>
      <c r="AA3" s="248"/>
      <c r="AB3" s="249"/>
      <c r="AC3" s="254"/>
      <c r="AD3" s="255"/>
      <c r="AF3" s="242"/>
      <c r="AG3" s="248"/>
      <c r="AH3" s="249"/>
    </row>
    <row r="4" spans="1:34" ht="37.5" customHeight="1" x14ac:dyDescent="0.3">
      <c r="A4" s="4" t="s">
        <v>3</v>
      </c>
      <c r="B4" s="5" t="s">
        <v>4</v>
      </c>
      <c r="C4" s="4" t="s">
        <v>5</v>
      </c>
      <c r="D4" s="6" t="s">
        <v>6</v>
      </c>
      <c r="E4" s="136" t="s">
        <v>163</v>
      </c>
      <c r="F4" s="6" t="s">
        <v>164</v>
      </c>
      <c r="G4" s="6" t="s">
        <v>165</v>
      </c>
      <c r="H4" s="7" t="s">
        <v>184</v>
      </c>
      <c r="I4" s="7" t="s">
        <v>187</v>
      </c>
      <c r="J4" s="136" t="s">
        <v>163</v>
      </c>
      <c r="K4" s="6" t="s">
        <v>164</v>
      </c>
      <c r="L4" s="6" t="s">
        <v>165</v>
      </c>
      <c r="M4" s="7" t="s">
        <v>185</v>
      </c>
      <c r="N4" s="136" t="s">
        <v>163</v>
      </c>
      <c r="O4" s="6" t="s">
        <v>164</v>
      </c>
      <c r="P4" s="6" t="s">
        <v>165</v>
      </c>
      <c r="Q4" s="7" t="s">
        <v>186</v>
      </c>
      <c r="R4" s="7" t="s">
        <v>183</v>
      </c>
      <c r="S4" s="8" t="s">
        <v>7</v>
      </c>
      <c r="T4" s="8" t="s">
        <v>8</v>
      </c>
      <c r="U4" s="8" t="s">
        <v>9</v>
      </c>
      <c r="W4" s="264" t="s">
        <v>189</v>
      </c>
      <c r="X4" s="265"/>
      <c r="Y4" s="266" t="s">
        <v>190</v>
      </c>
      <c r="Z4" s="267"/>
      <c r="AA4" s="262" t="s">
        <v>191</v>
      </c>
      <c r="AB4" s="263"/>
      <c r="AC4" s="268" t="s">
        <v>195</v>
      </c>
      <c r="AD4" s="269"/>
      <c r="AE4" s="266" t="s">
        <v>196</v>
      </c>
      <c r="AF4" s="267"/>
      <c r="AG4" s="262" t="s">
        <v>197</v>
      </c>
      <c r="AH4" s="263"/>
    </row>
    <row r="5" spans="1:34" s="12" customFormat="1" x14ac:dyDescent="0.3">
      <c r="A5" s="87" t="s">
        <v>10</v>
      </c>
      <c r="B5" s="88" t="s">
        <v>11</v>
      </c>
      <c r="C5" s="87"/>
      <c r="D5" s="89"/>
      <c r="E5" s="137"/>
      <c r="F5" s="89"/>
      <c r="G5" s="89"/>
      <c r="H5" s="89"/>
      <c r="I5" s="89"/>
      <c r="J5" s="137"/>
      <c r="K5" s="89"/>
      <c r="L5" s="89"/>
      <c r="M5" s="89"/>
      <c r="N5" s="89"/>
      <c r="O5" s="89"/>
      <c r="P5" s="89"/>
      <c r="Q5" s="89"/>
      <c r="R5" s="9"/>
      <c r="S5" s="10"/>
      <c r="T5" s="10"/>
      <c r="U5" s="11"/>
      <c r="W5" s="181" t="s">
        <v>192</v>
      </c>
      <c r="X5" s="243" t="s">
        <v>193</v>
      </c>
      <c r="Y5" s="260" t="s">
        <v>192</v>
      </c>
      <c r="Z5" s="261" t="s">
        <v>193</v>
      </c>
      <c r="AA5" s="192" t="s">
        <v>192</v>
      </c>
      <c r="AB5" s="246" t="s">
        <v>193</v>
      </c>
      <c r="AC5" s="197" t="s">
        <v>192</v>
      </c>
      <c r="AD5" s="247" t="s">
        <v>193</v>
      </c>
      <c r="AE5" s="260" t="s">
        <v>192</v>
      </c>
      <c r="AF5" s="261" t="s">
        <v>193</v>
      </c>
      <c r="AG5" s="192" t="s">
        <v>192</v>
      </c>
      <c r="AH5" s="246" t="s">
        <v>193</v>
      </c>
    </row>
    <row r="6" spans="1:34" s="12" customFormat="1" x14ac:dyDescent="0.3">
      <c r="A6" s="41" t="s">
        <v>12</v>
      </c>
      <c r="B6" s="13" t="s">
        <v>172</v>
      </c>
      <c r="C6" s="14"/>
      <c r="D6" s="15"/>
      <c r="E6" s="138"/>
      <c r="F6" s="15"/>
      <c r="G6" s="15"/>
      <c r="H6" s="116">
        <f>SUM(H7:H21)</f>
        <v>213.60666666666665</v>
      </c>
      <c r="I6" s="116">
        <f>SUM(I7:L21)</f>
        <v>8852.2978691111111</v>
      </c>
      <c r="J6" s="138"/>
      <c r="K6" s="116"/>
      <c r="L6" s="116"/>
      <c r="M6" s="116">
        <f>SUM(M7:M21)</f>
        <v>197.98</v>
      </c>
      <c r="N6" s="116"/>
      <c r="O6" s="116"/>
      <c r="P6" s="116"/>
      <c r="Q6" s="116">
        <f>SUM(Q7:Q21)</f>
        <v>31.2</v>
      </c>
      <c r="R6" s="16">
        <f>SUM(R7:R21)</f>
        <v>14666.794224222223</v>
      </c>
      <c r="S6" s="17"/>
      <c r="T6" s="17"/>
      <c r="U6" s="187">
        <f t="shared" ref="U6:U50" si="0">R6/$R$83</f>
        <v>1.7540092914565035E-2</v>
      </c>
      <c r="V6" s="18"/>
      <c r="W6" s="188" t="s">
        <v>194</v>
      </c>
      <c r="X6" s="189" t="s">
        <v>194</v>
      </c>
      <c r="Y6" s="185" t="s">
        <v>194</v>
      </c>
      <c r="Z6" s="183" t="s">
        <v>194</v>
      </c>
      <c r="AA6" s="193" t="s">
        <v>194</v>
      </c>
      <c r="AB6" s="194" t="s">
        <v>194</v>
      </c>
      <c r="AC6" s="198" t="s">
        <v>194</v>
      </c>
      <c r="AD6" s="199" t="s">
        <v>194</v>
      </c>
      <c r="AE6" s="185" t="s">
        <v>194</v>
      </c>
      <c r="AF6" s="183" t="s">
        <v>194</v>
      </c>
      <c r="AG6" s="193" t="s">
        <v>194</v>
      </c>
      <c r="AH6" s="194" t="s">
        <v>194</v>
      </c>
    </row>
    <row r="7" spans="1:34" ht="25.5" customHeight="1" x14ac:dyDescent="0.3">
      <c r="A7" s="19" t="s">
        <v>13</v>
      </c>
      <c r="B7" s="20" t="s">
        <v>14</v>
      </c>
      <c r="C7" s="21" t="s">
        <v>15</v>
      </c>
      <c r="D7" s="22">
        <f>(1.43+3.24+3.24)*2.7</f>
        <v>21.357000000000003</v>
      </c>
      <c r="E7" s="139"/>
      <c r="F7" s="100"/>
      <c r="G7" s="100"/>
      <c r="H7" s="98">
        <v>6.5</v>
      </c>
      <c r="I7" s="98">
        <f t="shared" ref="I7:I21" si="1">(H7*D7)</f>
        <v>138.82050000000001</v>
      </c>
      <c r="J7" s="151"/>
      <c r="K7" s="101"/>
      <c r="L7" s="101"/>
      <c r="M7" s="99">
        <v>2.98</v>
      </c>
      <c r="N7" s="99"/>
      <c r="O7" s="99"/>
      <c r="P7" s="99"/>
      <c r="Q7" s="23">
        <v>0</v>
      </c>
      <c r="R7" s="23">
        <f t="shared" ref="R7:R21" si="2">D7*(H7+M7+Q7)</f>
        <v>202.46436000000003</v>
      </c>
      <c r="S7" s="24" t="s">
        <v>166</v>
      </c>
      <c r="T7" s="21">
        <v>97638</v>
      </c>
      <c r="U7" s="187">
        <f t="shared" si="0"/>
        <v>2.4212814552365252E-4</v>
      </c>
      <c r="V7" s="156"/>
      <c r="W7" s="190">
        <f>U7/2</f>
        <v>1.2106407276182626E-4</v>
      </c>
      <c r="X7" s="191">
        <f>R7/2</f>
        <v>101.23218000000001</v>
      </c>
      <c r="Y7" s="182">
        <f>U7/2</f>
        <v>1.2106407276182626E-4</v>
      </c>
      <c r="Z7" s="186">
        <f>R7/2</f>
        <v>101.23218000000001</v>
      </c>
      <c r="AA7" s="195"/>
      <c r="AB7" s="196"/>
      <c r="AC7" s="200"/>
      <c r="AD7" s="201"/>
      <c r="AE7" s="182"/>
      <c r="AF7" s="186"/>
      <c r="AG7" s="195"/>
      <c r="AH7" s="196"/>
    </row>
    <row r="8" spans="1:34" ht="27.6" x14ac:dyDescent="0.3">
      <c r="A8" s="19" t="s">
        <v>16</v>
      </c>
      <c r="B8" s="20" t="s">
        <v>17</v>
      </c>
      <c r="C8" s="21" t="s">
        <v>15</v>
      </c>
      <c r="D8" s="22">
        <f>9.63*2.7</f>
        <v>26.001000000000005</v>
      </c>
      <c r="E8" s="139"/>
      <c r="F8" s="100"/>
      <c r="G8" s="100"/>
      <c r="H8" s="98">
        <v>11.71</v>
      </c>
      <c r="I8" s="98">
        <f t="shared" si="1"/>
        <v>304.47171000000009</v>
      </c>
      <c r="J8" s="151"/>
      <c r="K8" s="101"/>
      <c r="L8" s="101"/>
      <c r="M8" s="99">
        <v>5.72</v>
      </c>
      <c r="N8" s="99"/>
      <c r="O8" s="99"/>
      <c r="P8" s="99"/>
      <c r="Q8" s="23">
        <v>0</v>
      </c>
      <c r="R8" s="23">
        <f t="shared" si="2"/>
        <v>453.19743000000005</v>
      </c>
      <c r="S8" s="24" t="s">
        <v>166</v>
      </c>
      <c r="T8" s="21">
        <v>102192</v>
      </c>
      <c r="U8" s="187">
        <f t="shared" si="0"/>
        <v>5.4198108389044534E-4</v>
      </c>
      <c r="V8" s="157"/>
      <c r="W8" s="190">
        <f t="shared" ref="W8:W21" si="3">U8/2</f>
        <v>2.7099054194522267E-4</v>
      </c>
      <c r="X8" s="191">
        <f t="shared" ref="X8:X21" si="4">R8/2</f>
        <v>226.59871500000003</v>
      </c>
      <c r="Y8" s="182">
        <f t="shared" ref="Y8:Y21" si="5">U8/2</f>
        <v>2.7099054194522267E-4</v>
      </c>
      <c r="Z8" s="186">
        <f t="shared" ref="Z8:Z21" si="6">R8/2</f>
        <v>226.59871500000003</v>
      </c>
      <c r="AA8" s="195"/>
      <c r="AB8" s="196"/>
      <c r="AC8" s="200"/>
      <c r="AD8" s="201"/>
      <c r="AE8" s="182"/>
      <c r="AF8" s="186"/>
      <c r="AG8" s="195"/>
      <c r="AH8" s="196"/>
    </row>
    <row r="9" spans="1:34" ht="41.4" x14ac:dyDescent="0.3">
      <c r="A9" s="19" t="s">
        <v>18</v>
      </c>
      <c r="B9" s="20" t="s">
        <v>19</v>
      </c>
      <c r="C9" s="21" t="s">
        <v>20</v>
      </c>
      <c r="D9" s="22">
        <f>(0.2*0.08*2.8)*19</f>
        <v>0.85119999999999996</v>
      </c>
      <c r="E9" s="139"/>
      <c r="F9" s="100"/>
      <c r="G9" s="100"/>
      <c r="H9" s="98">
        <v>7.29</v>
      </c>
      <c r="I9" s="98">
        <f t="shared" si="1"/>
        <v>6.2052480000000001</v>
      </c>
      <c r="J9" s="151"/>
      <c r="K9" s="101"/>
      <c r="L9" s="101"/>
      <c r="M9" s="99">
        <v>13.52</v>
      </c>
      <c r="N9" s="99"/>
      <c r="O9" s="99"/>
      <c r="P9" s="99"/>
      <c r="Q9" s="23">
        <v>31.2</v>
      </c>
      <c r="R9" s="23">
        <f t="shared" si="2"/>
        <v>44.270911999999996</v>
      </c>
      <c r="S9" s="24" t="s">
        <v>166</v>
      </c>
      <c r="T9" s="21">
        <v>97625</v>
      </c>
      <c r="U9" s="187">
        <f t="shared" si="0"/>
        <v>5.2943806125684601E-5</v>
      </c>
      <c r="V9" s="18"/>
      <c r="W9" s="190">
        <f t="shared" si="3"/>
        <v>2.6471903062842301E-5</v>
      </c>
      <c r="X9" s="191">
        <f t="shared" si="4"/>
        <v>22.135455999999998</v>
      </c>
      <c r="Y9" s="182">
        <f t="shared" si="5"/>
        <v>2.6471903062842301E-5</v>
      </c>
      <c r="Z9" s="186">
        <f t="shared" si="6"/>
        <v>22.135455999999998</v>
      </c>
      <c r="AA9" s="195"/>
      <c r="AB9" s="196"/>
      <c r="AC9" s="200"/>
      <c r="AD9" s="201"/>
      <c r="AE9" s="182"/>
      <c r="AF9" s="186"/>
      <c r="AG9" s="195"/>
      <c r="AH9" s="196"/>
    </row>
    <row r="10" spans="1:34" ht="25.5" customHeight="1" x14ac:dyDescent="0.3">
      <c r="A10" s="19" t="s">
        <v>21</v>
      </c>
      <c r="B10" s="20" t="s">
        <v>22</v>
      </c>
      <c r="C10" s="21" t="s">
        <v>23</v>
      </c>
      <c r="D10" s="22">
        <v>19</v>
      </c>
      <c r="E10" s="139"/>
      <c r="F10" s="100"/>
      <c r="G10" s="100"/>
      <c r="H10" s="98">
        <v>1.61</v>
      </c>
      <c r="I10" s="98">
        <f t="shared" si="1"/>
        <v>30.590000000000003</v>
      </c>
      <c r="J10" s="151"/>
      <c r="K10" s="101"/>
      <c r="L10" s="101"/>
      <c r="M10" s="99">
        <v>0.61</v>
      </c>
      <c r="N10" s="99"/>
      <c r="O10" s="99"/>
      <c r="P10" s="99"/>
      <c r="Q10" s="23">
        <v>0</v>
      </c>
      <c r="R10" s="23">
        <f t="shared" si="2"/>
        <v>42.180000000000007</v>
      </c>
      <c r="S10" s="24" t="s">
        <v>166</v>
      </c>
      <c r="T10" s="21">
        <v>97665</v>
      </c>
      <c r="U10" s="187">
        <f t="shared" si="0"/>
        <v>5.0443273957884066E-5</v>
      </c>
      <c r="V10" s="18"/>
      <c r="W10" s="190">
        <f t="shared" si="3"/>
        <v>2.5221636978942033E-5</v>
      </c>
      <c r="X10" s="191">
        <f t="shared" si="4"/>
        <v>21.090000000000003</v>
      </c>
      <c r="Y10" s="182">
        <f t="shared" si="5"/>
        <v>2.5221636978942033E-5</v>
      </c>
      <c r="Z10" s="186">
        <f t="shared" si="6"/>
        <v>21.090000000000003</v>
      </c>
      <c r="AA10" s="195"/>
      <c r="AB10" s="196"/>
      <c r="AC10" s="200"/>
      <c r="AD10" s="201"/>
      <c r="AE10" s="182"/>
      <c r="AF10" s="186"/>
      <c r="AG10" s="195"/>
      <c r="AH10" s="196"/>
    </row>
    <row r="11" spans="1:34" ht="25.5" customHeight="1" x14ac:dyDescent="0.3">
      <c r="A11" s="19" t="s">
        <v>24</v>
      </c>
      <c r="B11" s="20" t="s">
        <v>25</v>
      </c>
      <c r="C11" s="21" t="s">
        <v>23</v>
      </c>
      <c r="D11" s="25">
        <f>(511/0.36)</f>
        <v>1419.4444444444446</v>
      </c>
      <c r="E11" s="139"/>
      <c r="F11" s="100"/>
      <c r="G11" s="100"/>
      <c r="H11" s="98">
        <v>1.36</v>
      </c>
      <c r="I11" s="98">
        <f t="shared" si="1"/>
        <v>1930.4444444444448</v>
      </c>
      <c r="J11" s="151"/>
      <c r="K11" s="101"/>
      <c r="L11" s="101"/>
      <c r="M11" s="99">
        <v>0.52</v>
      </c>
      <c r="N11" s="99"/>
      <c r="O11" s="99"/>
      <c r="P11" s="99"/>
      <c r="Q11" s="23">
        <v>0</v>
      </c>
      <c r="R11" s="23">
        <f t="shared" si="2"/>
        <v>2668.5555555555561</v>
      </c>
      <c r="S11" s="24" t="s">
        <v>166</v>
      </c>
      <c r="T11" s="21">
        <v>97664</v>
      </c>
      <c r="U11" s="187">
        <f t="shared" si="0"/>
        <v>3.1913389985946516E-3</v>
      </c>
      <c r="V11" s="18"/>
      <c r="W11" s="190">
        <f t="shared" si="3"/>
        <v>1.5956694992973258E-3</v>
      </c>
      <c r="X11" s="191">
        <f t="shared" si="4"/>
        <v>1334.2777777777781</v>
      </c>
      <c r="Y11" s="182">
        <f t="shared" si="5"/>
        <v>1.5956694992973258E-3</v>
      </c>
      <c r="Z11" s="186">
        <f t="shared" si="6"/>
        <v>1334.2777777777781</v>
      </c>
      <c r="AA11" s="195"/>
      <c r="AB11" s="196"/>
      <c r="AC11" s="200"/>
      <c r="AD11" s="201"/>
      <c r="AE11" s="182"/>
      <c r="AF11" s="186"/>
      <c r="AG11" s="195"/>
      <c r="AH11" s="196"/>
    </row>
    <row r="12" spans="1:34" ht="27.6" x14ac:dyDescent="0.3">
      <c r="A12" s="19" t="s">
        <v>26</v>
      </c>
      <c r="B12" s="20" t="s">
        <v>27</v>
      </c>
      <c r="C12" s="26" t="s">
        <v>23</v>
      </c>
      <c r="D12" s="27">
        <v>4</v>
      </c>
      <c r="E12" s="139"/>
      <c r="F12" s="100"/>
      <c r="G12" s="100"/>
      <c r="H12" s="98">
        <v>1.36</v>
      </c>
      <c r="I12" s="98">
        <f t="shared" si="1"/>
        <v>5.44</v>
      </c>
      <c r="J12" s="151"/>
      <c r="K12" s="101"/>
      <c r="L12" s="101"/>
      <c r="M12" s="99">
        <v>0.52</v>
      </c>
      <c r="N12" s="99"/>
      <c r="O12" s="99"/>
      <c r="P12" s="99"/>
      <c r="Q12" s="23">
        <v>0</v>
      </c>
      <c r="R12" s="23">
        <f t="shared" si="2"/>
        <v>7.5200000000000005</v>
      </c>
      <c r="S12" s="24" t="s">
        <v>166</v>
      </c>
      <c r="T12" s="21">
        <v>97664</v>
      </c>
      <c r="U12" s="187">
        <f t="shared" si="0"/>
        <v>8.9932057886033212E-6</v>
      </c>
      <c r="W12" s="190">
        <f t="shared" si="3"/>
        <v>4.4966028943016606E-6</v>
      </c>
      <c r="X12" s="191">
        <f t="shared" si="4"/>
        <v>3.7600000000000002</v>
      </c>
      <c r="Y12" s="182">
        <f t="shared" si="5"/>
        <v>4.4966028943016606E-6</v>
      </c>
      <c r="Z12" s="186">
        <f t="shared" si="6"/>
        <v>3.7600000000000002</v>
      </c>
      <c r="AA12" s="195"/>
      <c r="AB12" s="196"/>
      <c r="AC12" s="200"/>
      <c r="AD12" s="201"/>
      <c r="AE12" s="182"/>
      <c r="AF12" s="186"/>
      <c r="AG12" s="195"/>
      <c r="AH12" s="196"/>
    </row>
    <row r="13" spans="1:34" ht="27.6" x14ac:dyDescent="0.3">
      <c r="A13" s="19" t="s">
        <v>28</v>
      </c>
      <c r="B13" s="20" t="s">
        <v>29</v>
      </c>
      <c r="C13" s="26" t="s">
        <v>23</v>
      </c>
      <c r="D13" s="22">
        <v>1</v>
      </c>
      <c r="E13" s="139"/>
      <c r="F13" s="100"/>
      <c r="G13" s="100"/>
      <c r="H13" s="98">
        <v>1.36</v>
      </c>
      <c r="I13" s="98">
        <f t="shared" si="1"/>
        <v>1.36</v>
      </c>
      <c r="J13" s="151"/>
      <c r="K13" s="101"/>
      <c r="L13" s="101"/>
      <c r="M13" s="99">
        <v>0.52</v>
      </c>
      <c r="N13" s="99"/>
      <c r="O13" s="99"/>
      <c r="P13" s="99"/>
      <c r="Q13" s="23">
        <v>0</v>
      </c>
      <c r="R13" s="23">
        <f t="shared" si="2"/>
        <v>1.8800000000000001</v>
      </c>
      <c r="S13" s="24" t="s">
        <v>166</v>
      </c>
      <c r="T13" s="21">
        <v>97664</v>
      </c>
      <c r="U13" s="187">
        <f t="shared" si="0"/>
        <v>2.2483014471508303E-6</v>
      </c>
      <c r="V13" s="18"/>
      <c r="W13" s="190">
        <f t="shared" si="3"/>
        <v>1.1241507235754152E-6</v>
      </c>
      <c r="X13" s="191">
        <f t="shared" si="4"/>
        <v>0.94000000000000006</v>
      </c>
      <c r="Y13" s="182">
        <f t="shared" si="5"/>
        <v>1.1241507235754152E-6</v>
      </c>
      <c r="Z13" s="186">
        <f t="shared" si="6"/>
        <v>0.94000000000000006</v>
      </c>
      <c r="AA13" s="195"/>
      <c r="AB13" s="196"/>
      <c r="AC13" s="200"/>
      <c r="AD13" s="201"/>
      <c r="AE13" s="182"/>
      <c r="AF13" s="186"/>
      <c r="AG13" s="195"/>
      <c r="AH13" s="196"/>
    </row>
    <row r="14" spans="1:34" ht="41.4" x14ac:dyDescent="0.3">
      <c r="A14" s="19" t="s">
        <v>30</v>
      </c>
      <c r="B14" s="20" t="s">
        <v>31</v>
      </c>
      <c r="C14" s="26" t="s">
        <v>23</v>
      </c>
      <c r="D14" s="22">
        <v>20</v>
      </c>
      <c r="E14" s="139"/>
      <c r="F14" s="100"/>
      <c r="G14" s="100"/>
      <c r="H14" s="98">
        <v>1.36</v>
      </c>
      <c r="I14" s="98">
        <f t="shared" si="1"/>
        <v>27.200000000000003</v>
      </c>
      <c r="J14" s="151"/>
      <c r="K14" s="101"/>
      <c r="L14" s="101"/>
      <c r="M14" s="99">
        <v>0.52</v>
      </c>
      <c r="N14" s="99"/>
      <c r="O14" s="99"/>
      <c r="P14" s="99"/>
      <c r="Q14" s="23">
        <v>0</v>
      </c>
      <c r="R14" s="23">
        <f t="shared" si="2"/>
        <v>37.6</v>
      </c>
      <c r="S14" s="24" t="s">
        <v>166</v>
      </c>
      <c r="T14" s="21">
        <v>97664</v>
      </c>
      <c r="U14" s="187">
        <f t="shared" si="0"/>
        <v>4.4966028943016606E-5</v>
      </c>
      <c r="V14" s="18"/>
      <c r="W14" s="190">
        <f t="shared" si="3"/>
        <v>2.2483014471508303E-5</v>
      </c>
      <c r="X14" s="191">
        <f t="shared" si="4"/>
        <v>18.8</v>
      </c>
      <c r="Y14" s="182">
        <f t="shared" si="5"/>
        <v>2.2483014471508303E-5</v>
      </c>
      <c r="Z14" s="186">
        <f t="shared" si="6"/>
        <v>18.8</v>
      </c>
      <c r="AA14" s="195"/>
      <c r="AB14" s="196"/>
      <c r="AC14" s="200"/>
      <c r="AD14" s="201"/>
      <c r="AE14" s="182"/>
      <c r="AF14" s="186"/>
      <c r="AG14" s="195"/>
      <c r="AH14" s="196"/>
    </row>
    <row r="15" spans="1:34" ht="27.6" x14ac:dyDescent="0.3">
      <c r="A15" s="19" t="s">
        <v>32</v>
      </c>
      <c r="B15" s="20" t="s">
        <v>33</v>
      </c>
      <c r="C15" s="26" t="s">
        <v>23</v>
      </c>
      <c r="D15" s="22">
        <v>10</v>
      </c>
      <c r="E15" s="139"/>
      <c r="F15" s="100"/>
      <c r="G15" s="100"/>
      <c r="H15" s="98">
        <v>1.36</v>
      </c>
      <c r="I15" s="98">
        <f t="shared" si="1"/>
        <v>13.600000000000001</v>
      </c>
      <c r="J15" s="151"/>
      <c r="K15" s="101"/>
      <c r="L15" s="101"/>
      <c r="M15" s="99">
        <v>0.52</v>
      </c>
      <c r="N15" s="99"/>
      <c r="O15" s="99"/>
      <c r="P15" s="99"/>
      <c r="Q15" s="23">
        <v>0</v>
      </c>
      <c r="R15" s="23">
        <f t="shared" si="2"/>
        <v>18.8</v>
      </c>
      <c r="S15" s="24" t="s">
        <v>166</v>
      </c>
      <c r="T15" s="21">
        <v>97664</v>
      </c>
      <c r="U15" s="187">
        <f t="shared" si="0"/>
        <v>2.2483014471508303E-5</v>
      </c>
      <c r="V15" s="18"/>
      <c r="W15" s="190">
        <f t="shared" si="3"/>
        <v>1.1241507235754152E-5</v>
      </c>
      <c r="X15" s="191">
        <f t="shared" si="4"/>
        <v>9.4</v>
      </c>
      <c r="Y15" s="182">
        <f t="shared" si="5"/>
        <v>1.1241507235754152E-5</v>
      </c>
      <c r="Z15" s="186">
        <f t="shared" si="6"/>
        <v>9.4</v>
      </c>
      <c r="AA15" s="195"/>
      <c r="AB15" s="196"/>
      <c r="AC15" s="200"/>
      <c r="AD15" s="201"/>
      <c r="AE15" s="182"/>
      <c r="AF15" s="186"/>
      <c r="AG15" s="195"/>
      <c r="AH15" s="196"/>
    </row>
    <row r="16" spans="1:34" ht="27.6" x14ac:dyDescent="0.3">
      <c r="A16" s="19" t="s">
        <v>34</v>
      </c>
      <c r="B16" s="20" t="s">
        <v>35</v>
      </c>
      <c r="C16" s="26" t="s">
        <v>23</v>
      </c>
      <c r="D16" s="22">
        <v>1</v>
      </c>
      <c r="E16" s="139"/>
      <c r="F16" s="100"/>
      <c r="G16" s="100"/>
      <c r="H16" s="98">
        <v>10.59</v>
      </c>
      <c r="I16" s="98">
        <f t="shared" si="1"/>
        <v>10.59</v>
      </c>
      <c r="J16" s="151"/>
      <c r="K16" s="101"/>
      <c r="L16" s="101"/>
      <c r="M16" s="99">
        <v>4.4800000000000004</v>
      </c>
      <c r="N16" s="99"/>
      <c r="O16" s="99"/>
      <c r="P16" s="99"/>
      <c r="Q16" s="23">
        <v>0</v>
      </c>
      <c r="R16" s="23">
        <f t="shared" si="2"/>
        <v>15.07</v>
      </c>
      <c r="S16" s="24" t="s">
        <v>166</v>
      </c>
      <c r="T16" s="21">
        <v>97663</v>
      </c>
      <c r="U16" s="187">
        <f t="shared" si="0"/>
        <v>1.802228872795905E-5</v>
      </c>
      <c r="V16" s="18"/>
      <c r="W16" s="190">
        <f t="shared" si="3"/>
        <v>9.0111443639795251E-6</v>
      </c>
      <c r="X16" s="191">
        <f t="shared" si="4"/>
        <v>7.5350000000000001</v>
      </c>
      <c r="Y16" s="182">
        <f t="shared" si="5"/>
        <v>9.0111443639795251E-6</v>
      </c>
      <c r="Z16" s="186">
        <f t="shared" si="6"/>
        <v>7.5350000000000001</v>
      </c>
      <c r="AA16" s="195"/>
      <c r="AB16" s="196"/>
      <c r="AC16" s="200"/>
      <c r="AD16" s="201"/>
      <c r="AE16" s="182"/>
      <c r="AF16" s="186"/>
      <c r="AG16" s="195"/>
      <c r="AH16" s="196"/>
    </row>
    <row r="17" spans="1:34" ht="41.4" x14ac:dyDescent="0.3">
      <c r="A17" s="19" t="s">
        <v>36</v>
      </c>
      <c r="B17" s="20" t="s">
        <v>37</v>
      </c>
      <c r="C17" s="21" t="s">
        <v>38</v>
      </c>
      <c r="D17" s="22">
        <v>2600</v>
      </c>
      <c r="E17" s="139"/>
      <c r="F17" s="100"/>
      <c r="G17" s="100"/>
      <c r="H17" s="98">
        <v>0.5</v>
      </c>
      <c r="I17" s="98">
        <f t="shared" si="1"/>
        <v>1300</v>
      </c>
      <c r="J17" s="151"/>
      <c r="K17" s="101"/>
      <c r="L17" s="101"/>
      <c r="M17" s="99">
        <v>0.16</v>
      </c>
      <c r="N17" s="99"/>
      <c r="O17" s="99"/>
      <c r="P17" s="99"/>
      <c r="Q17" s="23">
        <v>0</v>
      </c>
      <c r="R17" s="23">
        <f t="shared" si="2"/>
        <v>1716</v>
      </c>
      <c r="S17" s="24" t="s">
        <v>166</v>
      </c>
      <c r="T17" s="21">
        <v>104793</v>
      </c>
      <c r="U17" s="187">
        <f t="shared" si="0"/>
        <v>2.0521730230376729E-3</v>
      </c>
      <c r="V17" s="18"/>
      <c r="W17" s="190">
        <f t="shared" si="3"/>
        <v>1.0260865115188365E-3</v>
      </c>
      <c r="X17" s="191">
        <f t="shared" si="4"/>
        <v>858</v>
      </c>
      <c r="Y17" s="182">
        <f t="shared" si="5"/>
        <v>1.0260865115188365E-3</v>
      </c>
      <c r="Z17" s="186">
        <f t="shared" si="6"/>
        <v>858</v>
      </c>
      <c r="AA17" s="195"/>
      <c r="AB17" s="196"/>
      <c r="AC17" s="200"/>
      <c r="AD17" s="201"/>
      <c r="AE17" s="182"/>
      <c r="AF17" s="186"/>
      <c r="AG17" s="195"/>
      <c r="AH17" s="196"/>
    </row>
    <row r="18" spans="1:34" ht="27.6" x14ac:dyDescent="0.3">
      <c r="A18" s="19" t="s">
        <v>42</v>
      </c>
      <c r="B18" s="20" t="s">
        <v>40</v>
      </c>
      <c r="C18" s="21" t="s">
        <v>41</v>
      </c>
      <c r="D18" s="22">
        <v>8</v>
      </c>
      <c r="E18" s="139"/>
      <c r="F18" s="100"/>
      <c r="G18" s="100"/>
      <c r="H18" s="98">
        <v>20.64</v>
      </c>
      <c r="I18" s="98">
        <f t="shared" si="1"/>
        <v>165.12</v>
      </c>
      <c r="J18" s="151"/>
      <c r="K18" s="101"/>
      <c r="L18" s="101"/>
      <c r="M18" s="99">
        <v>8.31</v>
      </c>
      <c r="N18" s="99"/>
      <c r="O18" s="99"/>
      <c r="P18" s="99"/>
      <c r="Q18" s="23">
        <v>0</v>
      </c>
      <c r="R18" s="23">
        <f t="shared" si="2"/>
        <v>231.60000000000002</v>
      </c>
      <c r="S18" s="24" t="s">
        <v>166</v>
      </c>
      <c r="T18" s="21">
        <v>88273</v>
      </c>
      <c r="U18" s="187">
        <f t="shared" si="0"/>
        <v>2.7697160380858103E-4</v>
      </c>
      <c r="V18" s="18"/>
      <c r="W18" s="190">
        <f t="shared" si="3"/>
        <v>1.3848580190429052E-4</v>
      </c>
      <c r="X18" s="191">
        <f t="shared" si="4"/>
        <v>115.80000000000001</v>
      </c>
      <c r="Y18" s="182">
        <f t="shared" si="5"/>
        <v>1.3848580190429052E-4</v>
      </c>
      <c r="Z18" s="186">
        <f t="shared" si="6"/>
        <v>115.80000000000001</v>
      </c>
      <c r="AA18" s="195"/>
      <c r="AB18" s="196"/>
      <c r="AC18" s="200"/>
      <c r="AD18" s="201"/>
      <c r="AE18" s="182"/>
      <c r="AF18" s="186"/>
      <c r="AG18" s="195"/>
      <c r="AH18" s="196"/>
    </row>
    <row r="19" spans="1:34" ht="55.2" x14ac:dyDescent="0.3">
      <c r="A19" s="19" t="s">
        <v>39</v>
      </c>
      <c r="B19" s="20" t="s">
        <v>43</v>
      </c>
      <c r="C19" s="21" t="s">
        <v>20</v>
      </c>
      <c r="D19" s="22">
        <v>30</v>
      </c>
      <c r="E19" s="139">
        <v>150</v>
      </c>
      <c r="F19" s="100">
        <v>12.6</v>
      </c>
      <c r="G19" s="100">
        <v>119.2</v>
      </c>
      <c r="H19" s="98">
        <f>(E19+F19+G19)/3</f>
        <v>93.933333333333337</v>
      </c>
      <c r="I19" s="98">
        <f t="shared" si="1"/>
        <v>2818</v>
      </c>
      <c r="J19" s="139">
        <v>300</v>
      </c>
      <c r="K19" s="175">
        <v>0</v>
      </c>
      <c r="L19" s="179">
        <v>178.8</v>
      </c>
      <c r="M19" s="100">
        <f>(J19+K19+L19)/3</f>
        <v>159.6</v>
      </c>
      <c r="N19" s="100">
        <v>0</v>
      </c>
      <c r="O19" s="100">
        <v>0</v>
      </c>
      <c r="P19" s="100">
        <v>0</v>
      </c>
      <c r="Q19" s="100">
        <f>(N19+O19+P19)/3</f>
        <v>0</v>
      </c>
      <c r="R19" s="23">
        <f t="shared" si="2"/>
        <v>7606</v>
      </c>
      <c r="S19" s="24" t="s">
        <v>67</v>
      </c>
      <c r="T19" s="180" t="str">
        <f>A19</f>
        <v>1.1.13</v>
      </c>
      <c r="U19" s="187">
        <f t="shared" si="0"/>
        <v>9.0960536207602208E-3</v>
      </c>
      <c r="V19" s="18"/>
      <c r="W19" s="190">
        <f t="shared" si="3"/>
        <v>4.5480268103801104E-3</v>
      </c>
      <c r="X19" s="191">
        <f t="shared" si="4"/>
        <v>3803</v>
      </c>
      <c r="Y19" s="182">
        <f t="shared" si="5"/>
        <v>4.5480268103801104E-3</v>
      </c>
      <c r="Z19" s="186">
        <f t="shared" si="6"/>
        <v>3803</v>
      </c>
      <c r="AA19" s="195"/>
      <c r="AB19" s="196"/>
      <c r="AC19" s="200"/>
      <c r="AD19" s="201"/>
      <c r="AE19" s="182"/>
      <c r="AF19" s="186"/>
      <c r="AG19" s="195"/>
      <c r="AH19" s="196"/>
    </row>
    <row r="20" spans="1:34" ht="27.6" x14ac:dyDescent="0.3">
      <c r="A20" s="19" t="s">
        <v>174</v>
      </c>
      <c r="B20" s="20" t="s">
        <v>176</v>
      </c>
      <c r="C20" s="21" t="s">
        <v>15</v>
      </c>
      <c r="D20" s="22">
        <v>31</v>
      </c>
      <c r="E20" s="139">
        <v>40</v>
      </c>
      <c r="F20" s="100">
        <v>15.23</v>
      </c>
      <c r="G20" s="100">
        <v>23.9</v>
      </c>
      <c r="H20" s="98">
        <f t="shared" ref="H20:H21" si="7">(E20+F20+G20)/3</f>
        <v>26.376666666666665</v>
      </c>
      <c r="I20" s="98">
        <f t="shared" si="1"/>
        <v>817.67666666666662</v>
      </c>
      <c r="J20" s="139">
        <v>0</v>
      </c>
      <c r="K20" s="175">
        <v>0</v>
      </c>
      <c r="L20" s="175">
        <v>0</v>
      </c>
      <c r="M20" s="100">
        <f t="shared" ref="M20:M21" si="8">(J20+K20+L20)/3</f>
        <v>0</v>
      </c>
      <c r="N20" s="100">
        <v>0</v>
      </c>
      <c r="O20" s="100">
        <v>0</v>
      </c>
      <c r="P20" s="100">
        <v>0</v>
      </c>
      <c r="Q20" s="100">
        <f t="shared" ref="Q20:Q21" si="9">(N20+O20+P20)/3</f>
        <v>0</v>
      </c>
      <c r="R20" s="23">
        <f t="shared" si="2"/>
        <v>817.67666666666662</v>
      </c>
      <c r="S20" s="24" t="s">
        <v>67</v>
      </c>
      <c r="T20" s="180" t="str">
        <f>A20</f>
        <v>1.1.14</v>
      </c>
      <c r="U20" s="187">
        <f t="shared" si="0"/>
        <v>9.778636345575179E-4</v>
      </c>
      <c r="V20" s="18"/>
      <c r="W20" s="190">
        <f t="shared" si="3"/>
        <v>4.8893181727875895E-4</v>
      </c>
      <c r="X20" s="191">
        <f t="shared" si="4"/>
        <v>408.83833333333331</v>
      </c>
      <c r="Y20" s="182">
        <f t="shared" si="5"/>
        <v>4.8893181727875895E-4</v>
      </c>
      <c r="Z20" s="186">
        <f t="shared" si="6"/>
        <v>408.83833333333331</v>
      </c>
      <c r="AA20" s="195"/>
      <c r="AB20" s="196"/>
      <c r="AC20" s="200"/>
      <c r="AD20" s="201"/>
      <c r="AE20" s="182"/>
      <c r="AF20" s="186"/>
      <c r="AG20" s="195"/>
      <c r="AH20" s="196"/>
    </row>
    <row r="21" spans="1:34" ht="27.6" x14ac:dyDescent="0.3">
      <c r="A21" s="19" t="s">
        <v>175</v>
      </c>
      <c r="B21" s="20" t="s">
        <v>177</v>
      </c>
      <c r="C21" s="21" t="s">
        <v>38</v>
      </c>
      <c r="D21" s="22">
        <v>29.07</v>
      </c>
      <c r="E21" s="139">
        <v>40</v>
      </c>
      <c r="F21" s="100">
        <v>11.17</v>
      </c>
      <c r="G21" s="100">
        <v>31.8</v>
      </c>
      <c r="H21" s="98">
        <f t="shared" si="7"/>
        <v>27.656666666666666</v>
      </c>
      <c r="I21" s="98">
        <f t="shared" si="1"/>
        <v>803.97929999999997</v>
      </c>
      <c r="J21" s="139">
        <v>0</v>
      </c>
      <c r="K21" s="175">
        <v>0</v>
      </c>
      <c r="L21" s="175">
        <v>0</v>
      </c>
      <c r="M21" s="100">
        <f t="shared" si="8"/>
        <v>0</v>
      </c>
      <c r="N21" s="100">
        <v>0</v>
      </c>
      <c r="O21" s="100">
        <v>0</v>
      </c>
      <c r="P21" s="100">
        <v>0</v>
      </c>
      <c r="Q21" s="100">
        <f t="shared" si="9"/>
        <v>0</v>
      </c>
      <c r="R21" s="23">
        <f t="shared" si="2"/>
        <v>803.97929999999997</v>
      </c>
      <c r="S21" s="24" t="s">
        <v>67</v>
      </c>
      <c r="T21" s="180" t="str">
        <f>A21</f>
        <v>1.1.15</v>
      </c>
      <c r="U21" s="187">
        <f t="shared" si="0"/>
        <v>9.6148288493048484E-4</v>
      </c>
      <c r="V21" s="18"/>
      <c r="W21" s="190">
        <f t="shared" si="3"/>
        <v>4.8074144246524242E-4</v>
      </c>
      <c r="X21" s="191">
        <f t="shared" si="4"/>
        <v>401.98964999999998</v>
      </c>
      <c r="Y21" s="182">
        <f t="shared" si="5"/>
        <v>4.8074144246524242E-4</v>
      </c>
      <c r="Z21" s="186">
        <f t="shared" si="6"/>
        <v>401.98964999999998</v>
      </c>
      <c r="AA21" s="195"/>
      <c r="AB21" s="196"/>
      <c r="AC21" s="200"/>
      <c r="AD21" s="201"/>
      <c r="AE21" s="182"/>
      <c r="AF21" s="186"/>
      <c r="AG21" s="195"/>
      <c r="AH21" s="196"/>
    </row>
    <row r="22" spans="1:34" s="12" customFormat="1" x14ac:dyDescent="0.3">
      <c r="A22" s="41" t="s">
        <v>44</v>
      </c>
      <c r="B22" s="28" t="s">
        <v>171</v>
      </c>
      <c r="C22" s="29"/>
      <c r="D22" s="30"/>
      <c r="E22" s="140"/>
      <c r="F22" s="158"/>
      <c r="G22" s="158"/>
      <c r="H22" s="31">
        <f>SUM(H23:H32)</f>
        <v>254.58333333333331</v>
      </c>
      <c r="I22" s="116">
        <f>SUM(I23:L32)</f>
        <v>10999.156756666667</v>
      </c>
      <c r="J22" s="140"/>
      <c r="K22" s="158"/>
      <c r="L22" s="158"/>
      <c r="M22" s="31">
        <f>SUM(M23:M32)</f>
        <v>2154.1833333333334</v>
      </c>
      <c r="N22" s="31"/>
      <c r="O22" s="31"/>
      <c r="P22" s="31"/>
      <c r="Q22" s="31">
        <f>SUM(Q23:Q32)</f>
        <v>413</v>
      </c>
      <c r="R22" s="31">
        <f>SUM(R23:R32)</f>
        <v>13712.125236666667</v>
      </c>
      <c r="S22" s="29"/>
      <c r="T22" s="29"/>
      <c r="U22" s="187">
        <f t="shared" si="0"/>
        <v>1.639839947505909E-2</v>
      </c>
      <c r="V22" s="18"/>
      <c r="W22" s="188" t="s">
        <v>194</v>
      </c>
      <c r="X22" s="189" t="s">
        <v>194</v>
      </c>
      <c r="Y22" s="185" t="s">
        <v>194</v>
      </c>
      <c r="Z22" s="183" t="s">
        <v>194</v>
      </c>
      <c r="AA22" s="193" t="s">
        <v>194</v>
      </c>
      <c r="AB22" s="194" t="s">
        <v>194</v>
      </c>
      <c r="AC22" s="198" t="s">
        <v>194</v>
      </c>
      <c r="AD22" s="199" t="s">
        <v>194</v>
      </c>
      <c r="AE22" s="185" t="s">
        <v>194</v>
      </c>
      <c r="AF22" s="183" t="s">
        <v>194</v>
      </c>
      <c r="AG22" s="193" t="s">
        <v>194</v>
      </c>
      <c r="AH22" s="194" t="s">
        <v>194</v>
      </c>
    </row>
    <row r="23" spans="1:34" ht="41.4" x14ac:dyDescent="0.3">
      <c r="A23" s="19" t="s">
        <v>45</v>
      </c>
      <c r="B23" s="20" t="s">
        <v>46</v>
      </c>
      <c r="C23" s="21" t="s">
        <v>15</v>
      </c>
      <c r="D23" s="22">
        <f>(3.06*2.7)+(9.63*0.5)</f>
        <v>13.077000000000002</v>
      </c>
      <c r="E23" s="139"/>
      <c r="F23" s="100"/>
      <c r="G23" s="100"/>
      <c r="H23" s="99">
        <v>12.25</v>
      </c>
      <c r="I23" s="98">
        <f t="shared" ref="I23:I32" si="10">(H23*D23)</f>
        <v>160.19325000000003</v>
      </c>
      <c r="J23" s="151"/>
      <c r="K23" s="101"/>
      <c r="L23" s="101"/>
      <c r="M23" s="99">
        <v>74.040000000000006</v>
      </c>
      <c r="N23" s="99"/>
      <c r="O23" s="99"/>
      <c r="P23" s="99"/>
      <c r="Q23" s="100">
        <v>0</v>
      </c>
      <c r="R23" s="100">
        <f t="shared" ref="R23:R32" si="11">D23*(H23+M23+Q23)</f>
        <v>1128.4143300000003</v>
      </c>
      <c r="S23" s="24" t="s">
        <v>166</v>
      </c>
      <c r="T23" s="21">
        <v>96358</v>
      </c>
      <c r="U23" s="187">
        <f t="shared" si="0"/>
        <v>1.3494763676195401E-3</v>
      </c>
      <c r="V23" s="18"/>
      <c r="W23" s="190">
        <f t="shared" ref="W23" si="12">U23/2</f>
        <v>6.7473818380977006E-4</v>
      </c>
      <c r="X23" s="191">
        <f t="shared" ref="X23" si="13">R23/2</f>
        <v>564.20716500000015</v>
      </c>
      <c r="Y23" s="182">
        <f t="shared" ref="Y23" si="14">U23/2</f>
        <v>6.7473818380977006E-4</v>
      </c>
      <c r="Z23" s="186">
        <f t="shared" ref="Z23" si="15">R23/2</f>
        <v>564.20716500000015</v>
      </c>
      <c r="AA23" s="195"/>
      <c r="AB23" s="196"/>
      <c r="AC23" s="200"/>
      <c r="AD23" s="201"/>
      <c r="AE23" s="182"/>
      <c r="AF23" s="186"/>
      <c r="AG23" s="195"/>
      <c r="AH23" s="196"/>
    </row>
    <row r="24" spans="1:34" ht="27.6" x14ac:dyDescent="0.3">
      <c r="A24" s="19" t="s">
        <v>47</v>
      </c>
      <c r="B24" s="20" t="s">
        <v>48</v>
      </c>
      <c r="C24" s="21" t="s">
        <v>15</v>
      </c>
      <c r="D24" s="22">
        <f>(D23*2)+(0.15*2.7)</f>
        <v>26.559000000000005</v>
      </c>
      <c r="E24" s="139"/>
      <c r="F24" s="100"/>
      <c r="G24" s="100"/>
      <c r="H24" s="99">
        <v>6.9</v>
      </c>
      <c r="I24" s="98">
        <f t="shared" si="10"/>
        <v>183.25710000000004</v>
      </c>
      <c r="J24" s="151"/>
      <c r="K24" s="101"/>
      <c r="L24" s="101"/>
      <c r="M24" s="99">
        <v>5.84</v>
      </c>
      <c r="N24" s="99"/>
      <c r="O24" s="99"/>
      <c r="P24" s="99"/>
      <c r="Q24" s="100">
        <v>0</v>
      </c>
      <c r="R24" s="100">
        <f t="shared" si="11"/>
        <v>338.36166000000009</v>
      </c>
      <c r="S24" s="24" t="s">
        <v>166</v>
      </c>
      <c r="T24" s="21">
        <v>88495</v>
      </c>
      <c r="U24" s="187">
        <f t="shared" si="0"/>
        <v>4.04648409488488E-4</v>
      </c>
      <c r="V24" s="18"/>
      <c r="W24" s="190">
        <f t="shared" ref="W24:W32" si="16">U24/2</f>
        <v>2.02324204744244E-4</v>
      </c>
      <c r="X24" s="191">
        <f t="shared" ref="X24:X32" si="17">R24/2</f>
        <v>169.18083000000004</v>
      </c>
      <c r="Y24" s="182">
        <f t="shared" ref="Y24:Y32" si="18">U24/2</f>
        <v>2.02324204744244E-4</v>
      </c>
      <c r="Z24" s="186">
        <f t="shared" ref="Z24:Z32" si="19">R24/2</f>
        <v>169.18083000000004</v>
      </c>
      <c r="AA24" s="195"/>
      <c r="AB24" s="196"/>
      <c r="AC24" s="200"/>
      <c r="AD24" s="201"/>
      <c r="AE24" s="182"/>
      <c r="AF24" s="186"/>
      <c r="AG24" s="195"/>
      <c r="AH24" s="196"/>
    </row>
    <row r="25" spans="1:34" ht="27.6" x14ac:dyDescent="0.3">
      <c r="A25" s="19" t="s">
        <v>49</v>
      </c>
      <c r="B25" s="20" t="s">
        <v>50</v>
      </c>
      <c r="C25" s="21" t="s">
        <v>15</v>
      </c>
      <c r="D25" s="22">
        <f>(D23*2)+(0.15*2.7)</f>
        <v>26.559000000000005</v>
      </c>
      <c r="E25" s="139"/>
      <c r="F25" s="100"/>
      <c r="G25" s="100"/>
      <c r="H25" s="99">
        <v>1.86</v>
      </c>
      <c r="I25" s="98">
        <f t="shared" si="10"/>
        <v>49.399740000000008</v>
      </c>
      <c r="J25" s="151"/>
      <c r="K25" s="101"/>
      <c r="L25" s="101"/>
      <c r="M25" s="99">
        <v>2.76</v>
      </c>
      <c r="N25" s="99"/>
      <c r="O25" s="99"/>
      <c r="P25" s="99"/>
      <c r="Q25" s="100">
        <v>0</v>
      </c>
      <c r="R25" s="100">
        <f t="shared" si="11"/>
        <v>122.70258000000003</v>
      </c>
      <c r="S25" s="24" t="s">
        <v>166</v>
      </c>
      <c r="T25" s="21">
        <v>88485</v>
      </c>
      <c r="U25" s="187">
        <f t="shared" si="0"/>
        <v>1.4674063201230883E-4</v>
      </c>
      <c r="V25" s="18"/>
      <c r="W25" s="190">
        <f t="shared" si="16"/>
        <v>7.3370316006154414E-5</v>
      </c>
      <c r="X25" s="191">
        <f t="shared" si="17"/>
        <v>61.351290000000013</v>
      </c>
      <c r="Y25" s="182">
        <f t="shared" si="18"/>
        <v>7.3370316006154414E-5</v>
      </c>
      <c r="Z25" s="186">
        <f t="shared" si="19"/>
        <v>61.351290000000013</v>
      </c>
      <c r="AA25" s="195"/>
      <c r="AB25" s="196"/>
      <c r="AC25" s="200"/>
      <c r="AD25" s="201"/>
      <c r="AE25" s="182"/>
      <c r="AF25" s="186"/>
      <c r="AG25" s="195"/>
      <c r="AH25" s="196"/>
    </row>
    <row r="26" spans="1:34" ht="41.4" x14ac:dyDescent="0.3">
      <c r="A26" s="19" t="s">
        <v>51</v>
      </c>
      <c r="B26" s="20" t="s">
        <v>52</v>
      </c>
      <c r="C26" s="21" t="s">
        <v>15</v>
      </c>
      <c r="D26" s="22">
        <v>450</v>
      </c>
      <c r="E26" s="139"/>
      <c r="F26" s="100"/>
      <c r="G26" s="100"/>
      <c r="H26" s="99">
        <v>4.55</v>
      </c>
      <c r="I26" s="98">
        <f t="shared" si="10"/>
        <v>2047.5</v>
      </c>
      <c r="J26" s="151"/>
      <c r="K26" s="101"/>
      <c r="L26" s="101"/>
      <c r="M26" s="99">
        <v>9.1199999999999992</v>
      </c>
      <c r="N26" s="99"/>
      <c r="O26" s="99"/>
      <c r="P26" s="99"/>
      <c r="Q26" s="100">
        <v>0</v>
      </c>
      <c r="R26" s="100">
        <f t="shared" si="11"/>
        <v>6151.4999999999991</v>
      </c>
      <c r="S26" s="24" t="s">
        <v>166</v>
      </c>
      <c r="T26" s="21">
        <v>88489</v>
      </c>
      <c r="U26" s="187">
        <f t="shared" si="0"/>
        <v>7.3566097617810272E-3</v>
      </c>
      <c r="V26" s="18"/>
      <c r="W26" s="190">
        <f t="shared" si="16"/>
        <v>3.6783048808905136E-3</v>
      </c>
      <c r="X26" s="191">
        <f t="shared" si="17"/>
        <v>3075.7499999999995</v>
      </c>
      <c r="Y26" s="182">
        <f t="shared" si="18"/>
        <v>3.6783048808905136E-3</v>
      </c>
      <c r="Z26" s="186">
        <f t="shared" si="19"/>
        <v>3075.7499999999995</v>
      </c>
      <c r="AA26" s="195"/>
      <c r="AB26" s="196"/>
      <c r="AC26" s="200"/>
      <c r="AD26" s="201"/>
      <c r="AE26" s="182"/>
      <c r="AF26" s="186"/>
      <c r="AG26" s="195"/>
      <c r="AH26" s="196"/>
    </row>
    <row r="27" spans="1:34" ht="41.4" x14ac:dyDescent="0.3">
      <c r="A27" s="19" t="s">
        <v>53</v>
      </c>
      <c r="B27" s="20" t="s">
        <v>54</v>
      </c>
      <c r="C27" s="21" t="s">
        <v>15</v>
      </c>
      <c r="D27" s="22">
        <v>30</v>
      </c>
      <c r="E27" s="139"/>
      <c r="F27" s="100"/>
      <c r="G27" s="100"/>
      <c r="H27" s="99">
        <v>4.55</v>
      </c>
      <c r="I27" s="98">
        <f t="shared" si="10"/>
        <v>136.5</v>
      </c>
      <c r="J27" s="151"/>
      <c r="K27" s="101"/>
      <c r="L27" s="101"/>
      <c r="M27" s="99">
        <v>9.1199999999999992</v>
      </c>
      <c r="N27" s="99"/>
      <c r="O27" s="99"/>
      <c r="P27" s="99"/>
      <c r="Q27" s="100">
        <v>0</v>
      </c>
      <c r="R27" s="100">
        <f t="shared" si="11"/>
        <v>410.09999999999997</v>
      </c>
      <c r="S27" s="24" t="s">
        <v>166</v>
      </c>
      <c r="T27" s="21">
        <v>88489</v>
      </c>
      <c r="U27" s="187">
        <f t="shared" si="0"/>
        <v>4.9044065078540178E-4</v>
      </c>
      <c r="V27" s="18"/>
      <c r="W27" s="190">
        <f t="shared" si="16"/>
        <v>2.4522032539270089E-4</v>
      </c>
      <c r="X27" s="191">
        <f t="shared" si="17"/>
        <v>205.04999999999998</v>
      </c>
      <c r="Y27" s="182">
        <f t="shared" si="18"/>
        <v>2.4522032539270089E-4</v>
      </c>
      <c r="Z27" s="186">
        <f t="shared" si="19"/>
        <v>205.04999999999998</v>
      </c>
      <c r="AA27" s="195"/>
      <c r="AB27" s="196"/>
      <c r="AC27" s="200"/>
      <c r="AD27" s="201"/>
      <c r="AE27" s="182"/>
      <c r="AF27" s="186"/>
      <c r="AG27" s="195"/>
      <c r="AH27" s="196"/>
    </row>
    <row r="28" spans="1:34" ht="41.4" x14ac:dyDescent="0.3">
      <c r="A28" s="19" t="s">
        <v>55</v>
      </c>
      <c r="B28" s="20" t="s">
        <v>56</v>
      </c>
      <c r="C28" s="21" t="s">
        <v>15</v>
      </c>
      <c r="D28" s="22">
        <v>2</v>
      </c>
      <c r="E28" s="139"/>
      <c r="F28" s="100"/>
      <c r="G28" s="100"/>
      <c r="H28" s="99">
        <v>4.55</v>
      </c>
      <c r="I28" s="98">
        <f t="shared" si="10"/>
        <v>9.1</v>
      </c>
      <c r="J28" s="151"/>
      <c r="K28" s="101"/>
      <c r="L28" s="101"/>
      <c r="M28" s="99">
        <v>9.1199999999999992</v>
      </c>
      <c r="N28" s="99"/>
      <c r="O28" s="99"/>
      <c r="P28" s="99"/>
      <c r="Q28" s="100">
        <v>0</v>
      </c>
      <c r="R28" s="100">
        <f t="shared" si="11"/>
        <v>27.339999999999996</v>
      </c>
      <c r="S28" s="24" t="s">
        <v>166</v>
      </c>
      <c r="T28" s="21">
        <v>88489</v>
      </c>
      <c r="U28" s="187">
        <f t="shared" si="0"/>
        <v>3.2696043385693455E-5</v>
      </c>
      <c r="V28" s="18"/>
      <c r="W28" s="190">
        <f t="shared" si="16"/>
        <v>1.6348021692846728E-5</v>
      </c>
      <c r="X28" s="191">
        <f t="shared" si="17"/>
        <v>13.669999999999998</v>
      </c>
      <c r="Y28" s="182">
        <f t="shared" si="18"/>
        <v>1.6348021692846728E-5</v>
      </c>
      <c r="Z28" s="186">
        <f t="shared" si="19"/>
        <v>13.669999999999998</v>
      </c>
      <c r="AA28" s="195"/>
      <c r="AB28" s="196"/>
      <c r="AC28" s="200"/>
      <c r="AD28" s="201"/>
      <c r="AE28" s="182"/>
      <c r="AF28" s="186"/>
      <c r="AG28" s="195"/>
      <c r="AH28" s="196"/>
    </row>
    <row r="29" spans="1:34" ht="41.4" x14ac:dyDescent="0.3">
      <c r="A29" s="19" t="s">
        <v>57</v>
      </c>
      <c r="B29" s="20" t="s">
        <v>58</v>
      </c>
      <c r="C29" s="21" t="s">
        <v>15</v>
      </c>
      <c r="D29" s="22">
        <v>20</v>
      </c>
      <c r="E29" s="139"/>
      <c r="F29" s="100"/>
      <c r="G29" s="100"/>
      <c r="H29" s="99">
        <v>4.55</v>
      </c>
      <c r="I29" s="98">
        <f t="shared" si="10"/>
        <v>91</v>
      </c>
      <c r="J29" s="151"/>
      <c r="K29" s="101"/>
      <c r="L29" s="101"/>
      <c r="M29" s="99">
        <v>9.1199999999999992</v>
      </c>
      <c r="N29" s="99"/>
      <c r="O29" s="99"/>
      <c r="P29" s="99"/>
      <c r="Q29" s="100">
        <v>0</v>
      </c>
      <c r="R29" s="100">
        <f t="shared" si="11"/>
        <v>273.39999999999998</v>
      </c>
      <c r="S29" s="24" t="s">
        <v>166</v>
      </c>
      <c r="T29" s="21">
        <v>88489</v>
      </c>
      <c r="U29" s="187">
        <f t="shared" si="0"/>
        <v>3.2696043385693454E-4</v>
      </c>
      <c r="V29" s="18"/>
      <c r="W29" s="190">
        <f t="shared" si="16"/>
        <v>1.6348021692846727E-4</v>
      </c>
      <c r="X29" s="191">
        <f t="shared" si="17"/>
        <v>136.69999999999999</v>
      </c>
      <c r="Y29" s="182">
        <f t="shared" si="18"/>
        <v>1.6348021692846727E-4</v>
      </c>
      <c r="Z29" s="186">
        <f t="shared" si="19"/>
        <v>136.69999999999999</v>
      </c>
      <c r="AA29" s="195"/>
      <c r="AB29" s="196"/>
      <c r="AC29" s="200"/>
      <c r="AD29" s="201"/>
      <c r="AE29" s="182"/>
      <c r="AF29" s="186"/>
      <c r="AG29" s="195"/>
      <c r="AH29" s="196"/>
    </row>
    <row r="30" spans="1:34" ht="27.6" x14ac:dyDescent="0.3">
      <c r="A30" s="19" t="s">
        <v>59</v>
      </c>
      <c r="B30" s="20" t="s">
        <v>60</v>
      </c>
      <c r="C30" s="21" t="s">
        <v>41</v>
      </c>
      <c r="D30" s="22">
        <f>8*4</f>
        <v>32</v>
      </c>
      <c r="E30" s="139">
        <v>80</v>
      </c>
      <c r="F30" s="100">
        <v>12.97</v>
      </c>
      <c r="G30" s="100">
        <v>41.23</v>
      </c>
      <c r="H30" s="98">
        <f>(E30+F30+G30)/3</f>
        <v>44.733333333333327</v>
      </c>
      <c r="I30" s="98">
        <f t="shared" si="10"/>
        <v>1431.4666666666665</v>
      </c>
      <c r="J30" s="139">
        <v>0</v>
      </c>
      <c r="K30" s="100">
        <v>30.26</v>
      </c>
      <c r="L30" s="100">
        <v>0</v>
      </c>
      <c r="M30" s="100">
        <f>(J30+K30+L30)/3</f>
        <v>10.086666666666668</v>
      </c>
      <c r="N30" s="100">
        <v>0</v>
      </c>
      <c r="O30" s="100">
        <v>0</v>
      </c>
      <c r="P30" s="100">
        <v>0</v>
      </c>
      <c r="Q30" s="100">
        <f>(N30+O30+P30)/3</f>
        <v>0</v>
      </c>
      <c r="R30" s="100">
        <f t="shared" si="11"/>
        <v>1754.2399999999998</v>
      </c>
      <c r="S30" s="24" t="s">
        <v>67</v>
      </c>
      <c r="T30" s="180" t="str">
        <f>A30</f>
        <v>1.2.8</v>
      </c>
      <c r="U30" s="187">
        <f t="shared" si="0"/>
        <v>2.0979044311967405E-3</v>
      </c>
      <c r="V30" s="18"/>
      <c r="W30" s="190">
        <f t="shared" si="16"/>
        <v>1.0489522155983702E-3</v>
      </c>
      <c r="X30" s="191">
        <f t="shared" si="17"/>
        <v>877.11999999999989</v>
      </c>
      <c r="Y30" s="182">
        <f t="shared" si="18"/>
        <v>1.0489522155983702E-3</v>
      </c>
      <c r="Z30" s="186">
        <f t="shared" si="19"/>
        <v>877.11999999999989</v>
      </c>
      <c r="AA30" s="195"/>
      <c r="AB30" s="196"/>
      <c r="AC30" s="200"/>
      <c r="AD30" s="201"/>
      <c r="AE30" s="182"/>
      <c r="AF30" s="186"/>
      <c r="AG30" s="195"/>
      <c r="AH30" s="196"/>
    </row>
    <row r="31" spans="1:34" x14ac:dyDescent="0.3">
      <c r="A31" s="19" t="s">
        <v>61</v>
      </c>
      <c r="B31" s="20" t="s">
        <v>62</v>
      </c>
      <c r="C31" s="21" t="s">
        <v>41</v>
      </c>
      <c r="D31" s="22">
        <v>32</v>
      </c>
      <c r="E31" s="139"/>
      <c r="F31" s="100"/>
      <c r="G31" s="100"/>
      <c r="H31" s="98">
        <v>20.64</v>
      </c>
      <c r="I31" s="98">
        <f t="shared" si="10"/>
        <v>660.48</v>
      </c>
      <c r="J31" s="155"/>
      <c r="K31" s="101"/>
      <c r="L31" s="154"/>
      <c r="M31" s="99">
        <v>8.31</v>
      </c>
      <c r="N31" s="99"/>
      <c r="O31" s="99"/>
      <c r="P31" s="98"/>
      <c r="Q31" s="100">
        <v>0</v>
      </c>
      <c r="R31" s="100">
        <f t="shared" si="11"/>
        <v>926.40000000000009</v>
      </c>
      <c r="S31" s="24" t="s">
        <v>166</v>
      </c>
      <c r="T31" s="21">
        <v>88273</v>
      </c>
      <c r="U31" s="187">
        <f t="shared" si="0"/>
        <v>1.1078864152343241E-3</v>
      </c>
      <c r="V31" s="18"/>
      <c r="W31" s="190">
        <f t="shared" si="16"/>
        <v>5.5394320761716206E-4</v>
      </c>
      <c r="X31" s="191">
        <f t="shared" si="17"/>
        <v>463.20000000000005</v>
      </c>
      <c r="Y31" s="182">
        <f t="shared" si="18"/>
        <v>5.5394320761716206E-4</v>
      </c>
      <c r="Z31" s="186">
        <f t="shared" si="19"/>
        <v>463.20000000000005</v>
      </c>
      <c r="AA31" s="195"/>
      <c r="AB31" s="196"/>
      <c r="AC31" s="200"/>
      <c r="AD31" s="201"/>
      <c r="AE31" s="182"/>
      <c r="AF31" s="186"/>
      <c r="AG31" s="195"/>
      <c r="AH31" s="196"/>
    </row>
    <row r="32" spans="1:34" x14ac:dyDescent="0.3">
      <c r="A32" s="19" t="s">
        <v>178</v>
      </c>
      <c r="B32" s="20" t="s">
        <v>179</v>
      </c>
      <c r="C32" s="21" t="s">
        <v>87</v>
      </c>
      <c r="D32" s="22">
        <v>1</v>
      </c>
      <c r="E32" s="139">
        <v>0</v>
      </c>
      <c r="F32" s="100">
        <v>450</v>
      </c>
      <c r="G32" s="100">
        <v>0</v>
      </c>
      <c r="H32" s="98">
        <f>(E32+F32+G32)/3</f>
        <v>150</v>
      </c>
      <c r="I32" s="98">
        <f t="shared" si="10"/>
        <v>150</v>
      </c>
      <c r="J32" s="155">
        <v>5000</v>
      </c>
      <c r="K32" s="154">
        <v>1050</v>
      </c>
      <c r="L32" s="154">
        <v>0</v>
      </c>
      <c r="M32" s="100">
        <f>(J32+K32+L32)/3</f>
        <v>2016.6666666666667</v>
      </c>
      <c r="N32" s="100">
        <v>0</v>
      </c>
      <c r="O32" s="100">
        <v>0</v>
      </c>
      <c r="P32" s="100">
        <v>1239</v>
      </c>
      <c r="Q32" s="100">
        <f>(N32+O32+P32)/3</f>
        <v>413</v>
      </c>
      <c r="R32" s="100">
        <f t="shared" si="11"/>
        <v>2579.666666666667</v>
      </c>
      <c r="S32" s="24" t="s">
        <v>67</v>
      </c>
      <c r="T32" s="180" t="str">
        <f>A32</f>
        <v>1.2.10</v>
      </c>
      <c r="U32" s="187">
        <f t="shared" si="0"/>
        <v>3.085036329698631E-3</v>
      </c>
      <c r="V32" s="18"/>
      <c r="W32" s="190">
        <f t="shared" si="16"/>
        <v>1.5425181648493155E-3</v>
      </c>
      <c r="X32" s="191">
        <f t="shared" si="17"/>
        <v>1289.8333333333335</v>
      </c>
      <c r="Y32" s="182">
        <f t="shared" si="18"/>
        <v>1.5425181648493155E-3</v>
      </c>
      <c r="Z32" s="186">
        <f t="shared" si="19"/>
        <v>1289.8333333333335</v>
      </c>
      <c r="AA32" s="195"/>
      <c r="AB32" s="196"/>
      <c r="AC32" s="200"/>
      <c r="AD32" s="201"/>
      <c r="AE32" s="182"/>
      <c r="AF32" s="186"/>
      <c r="AG32" s="195"/>
      <c r="AH32" s="196"/>
    </row>
    <row r="33" spans="1:34" s="12" customFormat="1" x14ac:dyDescent="0.3">
      <c r="A33" s="87" t="s">
        <v>63</v>
      </c>
      <c r="B33" s="88" t="s">
        <v>64</v>
      </c>
      <c r="C33" s="32"/>
      <c r="D33" s="33"/>
      <c r="E33" s="141"/>
      <c r="F33" s="159"/>
      <c r="G33" s="159"/>
      <c r="H33" s="34"/>
      <c r="I33" s="34"/>
      <c r="J33" s="141"/>
      <c r="K33" s="159"/>
      <c r="L33" s="159"/>
      <c r="M33" s="34"/>
      <c r="N33" s="34"/>
      <c r="O33" s="34"/>
      <c r="P33" s="34"/>
      <c r="Q33" s="34"/>
      <c r="R33" s="34"/>
      <c r="S33" s="32"/>
      <c r="T33" s="32"/>
      <c r="U33" s="187">
        <f t="shared" si="0"/>
        <v>0</v>
      </c>
      <c r="V33" s="18"/>
      <c r="W33" s="188" t="s">
        <v>194</v>
      </c>
      <c r="X33" s="189" t="s">
        <v>194</v>
      </c>
      <c r="Y33" s="185" t="s">
        <v>194</v>
      </c>
      <c r="Z33" s="183" t="s">
        <v>194</v>
      </c>
      <c r="AA33" s="193" t="s">
        <v>194</v>
      </c>
      <c r="AB33" s="194" t="s">
        <v>194</v>
      </c>
      <c r="AC33" s="198" t="s">
        <v>194</v>
      </c>
      <c r="AD33" s="199" t="s">
        <v>194</v>
      </c>
      <c r="AE33" s="185" t="s">
        <v>194</v>
      </c>
      <c r="AF33" s="183" t="s">
        <v>194</v>
      </c>
      <c r="AG33" s="193" t="s">
        <v>194</v>
      </c>
      <c r="AH33" s="194" t="s">
        <v>194</v>
      </c>
    </row>
    <row r="34" spans="1:34" s="12" customFormat="1" x14ac:dyDescent="0.3">
      <c r="A34" s="41" t="s">
        <v>65</v>
      </c>
      <c r="B34" s="28" t="s">
        <v>171</v>
      </c>
      <c r="C34" s="35"/>
      <c r="D34" s="36"/>
      <c r="E34" s="142"/>
      <c r="F34" s="160"/>
      <c r="G34" s="160"/>
      <c r="H34" s="31">
        <f>SUM(H35:H37)</f>
        <v>242.13666666666668</v>
      </c>
      <c r="I34" s="31">
        <f>SUM(I35:I37)</f>
        <v>23633.191666666666</v>
      </c>
      <c r="J34" s="142"/>
      <c r="K34" s="160"/>
      <c r="L34" s="160"/>
      <c r="M34" s="31">
        <f>SUM(M35:M37)</f>
        <v>657.44</v>
      </c>
      <c r="N34" s="31"/>
      <c r="O34" s="31"/>
      <c r="P34" s="31"/>
      <c r="Q34" s="31">
        <f>SUM(Q35:Q37)</f>
        <v>0</v>
      </c>
      <c r="R34" s="31">
        <f>SUM(R35:R37)</f>
        <v>74275.154056666666</v>
      </c>
      <c r="S34" s="35"/>
      <c r="T34" s="35"/>
      <c r="U34" s="187">
        <f t="shared" si="0"/>
        <v>8.8826029974975809E-2</v>
      </c>
      <c r="V34" s="18"/>
      <c r="W34" s="188" t="s">
        <v>194</v>
      </c>
      <c r="X34" s="189" t="s">
        <v>194</v>
      </c>
      <c r="Y34" s="185" t="s">
        <v>194</v>
      </c>
      <c r="Z34" s="183" t="s">
        <v>194</v>
      </c>
      <c r="AA34" s="193" t="s">
        <v>194</v>
      </c>
      <c r="AB34" s="194" t="s">
        <v>194</v>
      </c>
      <c r="AC34" s="198" t="s">
        <v>194</v>
      </c>
      <c r="AD34" s="199" t="s">
        <v>194</v>
      </c>
      <c r="AE34" s="185" t="s">
        <v>194</v>
      </c>
      <c r="AF34" s="183" t="s">
        <v>194</v>
      </c>
      <c r="AG34" s="193" t="s">
        <v>194</v>
      </c>
      <c r="AH34" s="194" t="s">
        <v>194</v>
      </c>
    </row>
    <row r="35" spans="1:34" ht="27.6" x14ac:dyDescent="0.3">
      <c r="A35" s="19" t="s">
        <v>65</v>
      </c>
      <c r="B35" s="20" t="s">
        <v>66</v>
      </c>
      <c r="C35" s="21" t="s">
        <v>15</v>
      </c>
      <c r="D35" s="22">
        <f>((4.37+3.79+1.08+0.65+4+2.48+2.05+0.9+0.9+0.9+0.9+0.9+0.9+3.5+3.5+3.5+3.5+3.5+3.3+4.8)*2.7)+(7.75*0.5)</f>
        <v>137.30899999999997</v>
      </c>
      <c r="E35" s="139">
        <v>40</v>
      </c>
      <c r="F35" s="100">
        <v>150.15</v>
      </c>
      <c r="G35" s="100">
        <v>195.69</v>
      </c>
      <c r="H35" s="98">
        <f t="shared" ref="H35:H37" si="20">(E35+F35+G35)/3</f>
        <v>128.61333333333334</v>
      </c>
      <c r="I35" s="98">
        <f>(H35*D35)</f>
        <v>17659.768186666664</v>
      </c>
      <c r="J35" s="139">
        <v>150</v>
      </c>
      <c r="K35" s="100">
        <v>350.35</v>
      </c>
      <c r="L35" s="100">
        <v>293.54000000000002</v>
      </c>
      <c r="M35" s="100">
        <f t="shared" ref="M35:M37" si="21">(J35+K35+L35)/3</f>
        <v>264.63000000000005</v>
      </c>
      <c r="N35" s="100">
        <v>0</v>
      </c>
      <c r="O35" s="100">
        <v>0</v>
      </c>
      <c r="P35" s="100">
        <v>0</v>
      </c>
      <c r="Q35" s="100">
        <f t="shared" ref="Q35:Q37" si="22">(N35+O35+P35)/3</f>
        <v>0</v>
      </c>
      <c r="R35" s="100">
        <f>D35*(H35+M35+Q35)</f>
        <v>53995.848856666664</v>
      </c>
      <c r="S35" s="24" t="s">
        <v>67</v>
      </c>
      <c r="T35" s="180" t="str">
        <f>A35</f>
        <v>2.1</v>
      </c>
      <c r="U35" s="187">
        <f t="shared" si="0"/>
        <v>6.4573906981160195E-2</v>
      </c>
      <c r="V35" s="18"/>
      <c r="W35" s="190"/>
      <c r="X35" s="191"/>
      <c r="Y35" s="182"/>
      <c r="Z35" s="186"/>
      <c r="AA35" s="195"/>
      <c r="AB35" s="196"/>
      <c r="AC35" s="200"/>
      <c r="AD35" s="201"/>
      <c r="AE35" s="182">
        <f>U35/2</f>
        <v>3.2286953490580098E-2</v>
      </c>
      <c r="AF35" s="186">
        <f>R35/2</f>
        <v>26997.924428333332</v>
      </c>
      <c r="AG35" s="195">
        <f>U35/2</f>
        <v>3.2286953490580098E-2</v>
      </c>
      <c r="AH35" s="196">
        <f>R35/2</f>
        <v>26997.924428333332</v>
      </c>
    </row>
    <row r="36" spans="1:34" x14ac:dyDescent="0.3">
      <c r="A36" s="19" t="s">
        <v>212</v>
      </c>
      <c r="B36" s="20" t="s">
        <v>68</v>
      </c>
      <c r="C36" s="21" t="s">
        <v>15</v>
      </c>
      <c r="D36" s="22">
        <f>(6.73+2.99+6.3+2.35+2.26+2.25+2.25+2.35+3.07+1.01+1+1)*2.7</f>
        <v>90.612000000000009</v>
      </c>
      <c r="E36" s="139">
        <v>40</v>
      </c>
      <c r="F36" s="100">
        <v>6.45</v>
      </c>
      <c r="G36" s="100">
        <v>115.92</v>
      </c>
      <c r="H36" s="98">
        <f t="shared" si="20"/>
        <v>54.123333333333335</v>
      </c>
      <c r="I36" s="98">
        <f>(H36*D36)</f>
        <v>4904.2234800000006</v>
      </c>
      <c r="J36" s="139">
        <v>110</v>
      </c>
      <c r="K36" s="100">
        <v>15.05</v>
      </c>
      <c r="L36" s="100">
        <v>173.88</v>
      </c>
      <c r="M36" s="100">
        <f t="shared" si="21"/>
        <v>99.643333333333331</v>
      </c>
      <c r="N36" s="100">
        <v>0</v>
      </c>
      <c r="O36" s="100">
        <v>0</v>
      </c>
      <c r="P36" s="100">
        <v>0</v>
      </c>
      <c r="Q36" s="100">
        <f t="shared" si="22"/>
        <v>0</v>
      </c>
      <c r="R36" s="100">
        <f>D36*(H36+M36+Q36)</f>
        <v>13933.1052</v>
      </c>
      <c r="S36" s="24" t="s">
        <v>67</v>
      </c>
      <c r="T36" s="180" t="str">
        <f>A36</f>
        <v>2.2</v>
      </c>
      <c r="U36" s="187">
        <f t="shared" si="0"/>
        <v>1.6662670523651467E-2</v>
      </c>
      <c r="V36" s="18"/>
      <c r="W36" s="190"/>
      <c r="X36" s="191"/>
      <c r="Y36" s="182"/>
      <c r="Z36" s="186"/>
      <c r="AA36" s="195"/>
      <c r="AB36" s="196"/>
      <c r="AC36" s="200"/>
      <c r="AD36" s="201"/>
      <c r="AE36" s="182">
        <f t="shared" ref="AE36:AE37" si="23">U36/2</f>
        <v>8.3313352618257334E-3</v>
      </c>
      <c r="AF36" s="186">
        <f t="shared" ref="AF36:AF37" si="24">R36/2</f>
        <v>6966.5526</v>
      </c>
      <c r="AG36" s="195">
        <f t="shared" ref="AG36:AG37" si="25">U36/2</f>
        <v>8.3313352618257334E-3</v>
      </c>
      <c r="AH36" s="196">
        <f t="shared" ref="AH36:AH37" si="26">R36/2</f>
        <v>6966.5526</v>
      </c>
    </row>
    <row r="37" spans="1:34" ht="27.6" x14ac:dyDescent="0.3">
      <c r="A37" s="19" t="s">
        <v>213</v>
      </c>
      <c r="B37" s="20" t="s">
        <v>69</v>
      </c>
      <c r="C37" s="26" t="s">
        <v>23</v>
      </c>
      <c r="D37" s="22">
        <v>18</v>
      </c>
      <c r="E37" s="139">
        <v>50</v>
      </c>
      <c r="F37" s="100">
        <v>7.68</v>
      </c>
      <c r="G37" s="100">
        <v>120.52</v>
      </c>
      <c r="H37" s="98">
        <f t="shared" si="20"/>
        <v>59.4</v>
      </c>
      <c r="I37" s="98">
        <f>(H37*D37)</f>
        <v>1069.2</v>
      </c>
      <c r="J37" s="139">
        <v>500</v>
      </c>
      <c r="K37" s="100">
        <v>17.920000000000002</v>
      </c>
      <c r="L37" s="100">
        <v>361.58</v>
      </c>
      <c r="M37" s="100">
        <f t="shared" si="21"/>
        <v>293.16666666666669</v>
      </c>
      <c r="N37" s="100">
        <v>0</v>
      </c>
      <c r="O37" s="100">
        <v>0</v>
      </c>
      <c r="P37" s="100">
        <v>0</v>
      </c>
      <c r="Q37" s="100">
        <f t="shared" si="22"/>
        <v>0</v>
      </c>
      <c r="R37" s="100">
        <f>D37*(H37+M37+Q37)</f>
        <v>6346.2</v>
      </c>
      <c r="S37" s="24" t="s">
        <v>67</v>
      </c>
      <c r="T37" s="180" t="str">
        <f>A37</f>
        <v>2.3</v>
      </c>
      <c r="U37" s="187">
        <f t="shared" si="0"/>
        <v>7.5894524701641481E-3</v>
      </c>
      <c r="W37" s="190"/>
      <c r="X37" s="191"/>
      <c r="Y37" s="182"/>
      <c r="Z37" s="186"/>
      <c r="AA37" s="195"/>
      <c r="AB37" s="196"/>
      <c r="AC37" s="200"/>
      <c r="AD37" s="201"/>
      <c r="AE37" s="182">
        <f t="shared" si="23"/>
        <v>3.794726235082074E-3</v>
      </c>
      <c r="AF37" s="186">
        <f t="shared" si="24"/>
        <v>3173.1</v>
      </c>
      <c r="AG37" s="195">
        <f t="shared" si="25"/>
        <v>3.794726235082074E-3</v>
      </c>
      <c r="AH37" s="196">
        <f t="shared" si="26"/>
        <v>3173.1</v>
      </c>
    </row>
    <row r="38" spans="1:34" s="12" customFormat="1" x14ac:dyDescent="0.3">
      <c r="A38" s="87" t="s">
        <v>70</v>
      </c>
      <c r="B38" s="88" t="s">
        <v>71</v>
      </c>
      <c r="C38" s="39"/>
      <c r="D38" s="89"/>
      <c r="E38" s="137"/>
      <c r="F38" s="161"/>
      <c r="G38" s="161"/>
      <c r="H38" s="38"/>
      <c r="I38" s="38"/>
      <c r="J38" s="137"/>
      <c r="K38" s="161"/>
      <c r="L38" s="161"/>
      <c r="M38" s="38"/>
      <c r="N38" s="38"/>
      <c r="O38" s="38"/>
      <c r="P38" s="38"/>
      <c r="Q38" s="38"/>
      <c r="R38" s="38"/>
      <c r="S38" s="39"/>
      <c r="T38" s="39"/>
      <c r="U38" s="187">
        <f t="shared" si="0"/>
        <v>0</v>
      </c>
      <c r="V38" s="18"/>
      <c r="W38" s="188" t="s">
        <v>194</v>
      </c>
      <c r="X38" s="189" t="s">
        <v>194</v>
      </c>
      <c r="Y38" s="185" t="s">
        <v>194</v>
      </c>
      <c r="Z38" s="183" t="s">
        <v>194</v>
      </c>
      <c r="AA38" s="193" t="s">
        <v>194</v>
      </c>
      <c r="AB38" s="194" t="s">
        <v>194</v>
      </c>
      <c r="AC38" s="198" t="s">
        <v>194</v>
      </c>
      <c r="AD38" s="199" t="s">
        <v>194</v>
      </c>
      <c r="AE38" s="185" t="s">
        <v>194</v>
      </c>
      <c r="AF38" s="183" t="s">
        <v>194</v>
      </c>
      <c r="AG38" s="193" t="s">
        <v>194</v>
      </c>
      <c r="AH38" s="194" t="s">
        <v>194</v>
      </c>
    </row>
    <row r="39" spans="1:34" s="12" customFormat="1" x14ac:dyDescent="0.3">
      <c r="A39" s="41" t="s">
        <v>72</v>
      </c>
      <c r="B39" s="28" t="s">
        <v>171</v>
      </c>
      <c r="C39" s="40"/>
      <c r="D39" s="36"/>
      <c r="E39" s="142"/>
      <c r="F39" s="160"/>
      <c r="G39" s="160"/>
      <c r="H39" s="31">
        <f>SUM(H40:H44)</f>
        <v>296.99</v>
      </c>
      <c r="I39" s="31">
        <f>SUM(I40:L44)</f>
        <v>4390.4464666666663</v>
      </c>
      <c r="J39" s="142"/>
      <c r="K39" s="160"/>
      <c r="L39" s="160"/>
      <c r="M39" s="16">
        <f>SUM(M40:M44)</f>
        <v>293.40666666666669</v>
      </c>
      <c r="N39" s="16"/>
      <c r="O39" s="16"/>
      <c r="P39" s="16"/>
      <c r="Q39" s="16">
        <f>SUM(Q40:Q44)</f>
        <v>0</v>
      </c>
      <c r="R39" s="16">
        <f>SUM(R40:R44)</f>
        <v>10550.323200000001</v>
      </c>
      <c r="S39" s="17"/>
      <c r="T39" s="40"/>
      <c r="U39" s="187">
        <f t="shared" si="0"/>
        <v>1.2617184531100521E-2</v>
      </c>
      <c r="V39" s="18"/>
      <c r="W39" s="188" t="s">
        <v>194</v>
      </c>
      <c r="X39" s="189" t="s">
        <v>194</v>
      </c>
      <c r="Y39" s="185" t="s">
        <v>194</v>
      </c>
      <c r="Z39" s="183" t="s">
        <v>194</v>
      </c>
      <c r="AA39" s="193" t="s">
        <v>194</v>
      </c>
      <c r="AB39" s="194" t="s">
        <v>194</v>
      </c>
      <c r="AC39" s="198" t="s">
        <v>194</v>
      </c>
      <c r="AD39" s="199" t="s">
        <v>194</v>
      </c>
      <c r="AE39" s="185" t="s">
        <v>194</v>
      </c>
      <c r="AF39" s="183" t="s">
        <v>194</v>
      </c>
      <c r="AG39" s="193" t="s">
        <v>194</v>
      </c>
      <c r="AH39" s="194" t="s">
        <v>194</v>
      </c>
    </row>
    <row r="40" spans="1:34" s="12" customFormat="1" x14ac:dyDescent="0.3">
      <c r="A40" s="19" t="s">
        <v>73</v>
      </c>
      <c r="B40" s="20" t="s">
        <v>180</v>
      </c>
      <c r="C40" s="21" t="s">
        <v>38</v>
      </c>
      <c r="D40" s="22">
        <v>16.5</v>
      </c>
      <c r="E40" s="139">
        <v>35</v>
      </c>
      <c r="F40" s="100">
        <v>60.99</v>
      </c>
      <c r="G40" s="100">
        <v>51.38</v>
      </c>
      <c r="H40" s="98">
        <f t="shared" ref="H40:H41" si="27">(E40+F40+G40)/3</f>
        <v>49.123333333333335</v>
      </c>
      <c r="I40" s="98">
        <f>(H40*D40)</f>
        <v>810.53500000000008</v>
      </c>
      <c r="J40" s="139">
        <v>90</v>
      </c>
      <c r="K40" s="100">
        <v>142.31</v>
      </c>
      <c r="L40" s="100">
        <v>77.09</v>
      </c>
      <c r="M40" s="100">
        <f t="shared" ref="M40:M41" si="28">(J40+K40+L40)/3</f>
        <v>103.13333333333333</v>
      </c>
      <c r="N40" s="100">
        <v>0</v>
      </c>
      <c r="O40" s="100">
        <v>0</v>
      </c>
      <c r="P40" s="100">
        <v>0</v>
      </c>
      <c r="Q40" s="100">
        <f t="shared" ref="Q40:Q41" si="29">(N40+O40+P40)/3</f>
        <v>0</v>
      </c>
      <c r="R40" s="100">
        <f>D40*(H40+M40+Q40)</f>
        <v>2512.2349999999997</v>
      </c>
      <c r="S40" s="24" t="s">
        <v>67</v>
      </c>
      <c r="T40" s="180" t="str">
        <f>A40</f>
        <v>3.1.1</v>
      </c>
      <c r="U40" s="187">
        <f t="shared" si="0"/>
        <v>3.0043944606824285E-3</v>
      </c>
      <c r="V40" s="18"/>
      <c r="W40" s="190">
        <f t="shared" ref="W40" si="30">U40/2</f>
        <v>1.5021972303412142E-3</v>
      </c>
      <c r="X40" s="191">
        <f t="shared" ref="X40" si="31">R40/2</f>
        <v>1256.1174999999998</v>
      </c>
      <c r="Y40" s="182">
        <f t="shared" ref="Y40" si="32">U40/2</f>
        <v>1.5021972303412142E-3</v>
      </c>
      <c r="Z40" s="186">
        <f t="shared" ref="Z40" si="33">R40/2</f>
        <v>1256.1174999999998</v>
      </c>
      <c r="AA40" s="193"/>
      <c r="AB40" s="194"/>
      <c r="AC40" s="198"/>
      <c r="AD40" s="199"/>
      <c r="AE40" s="185"/>
      <c r="AF40" s="183"/>
      <c r="AG40" s="193"/>
      <c r="AH40" s="194"/>
    </row>
    <row r="41" spans="1:34" s="12" customFormat="1" ht="27.6" x14ac:dyDescent="0.3">
      <c r="A41" s="19" t="s">
        <v>75</v>
      </c>
      <c r="B41" s="20" t="s">
        <v>181</v>
      </c>
      <c r="C41" s="21" t="s">
        <v>15</v>
      </c>
      <c r="D41" s="22">
        <v>31</v>
      </c>
      <c r="E41" s="139">
        <v>45</v>
      </c>
      <c r="F41" s="100">
        <v>63.04</v>
      </c>
      <c r="G41" s="100">
        <v>120.49</v>
      </c>
      <c r="H41" s="98">
        <f t="shared" si="27"/>
        <v>76.176666666666662</v>
      </c>
      <c r="I41" s="98">
        <f>(H41*D41)</f>
        <v>2361.4766666666665</v>
      </c>
      <c r="J41" s="139">
        <v>170</v>
      </c>
      <c r="K41" s="100">
        <v>147.09</v>
      </c>
      <c r="L41" s="100">
        <v>180.74</v>
      </c>
      <c r="M41" s="100">
        <f t="shared" si="28"/>
        <v>165.94333333333336</v>
      </c>
      <c r="N41" s="100">
        <v>0</v>
      </c>
      <c r="O41" s="100">
        <v>0</v>
      </c>
      <c r="P41" s="100">
        <v>0</v>
      </c>
      <c r="Q41" s="100">
        <f t="shared" si="29"/>
        <v>0</v>
      </c>
      <c r="R41" s="100">
        <f>D41*(H41+M41+Q41)</f>
        <v>7505.72</v>
      </c>
      <c r="S41" s="24" t="s">
        <v>67</v>
      </c>
      <c r="T41" s="180" t="str">
        <f>A41</f>
        <v>3.1.2</v>
      </c>
      <c r="U41" s="187">
        <f t="shared" si="0"/>
        <v>8.9761282648451752E-3</v>
      </c>
      <c r="V41" s="18"/>
      <c r="W41" s="190">
        <f t="shared" ref="W41:W44" si="34">U41/2</f>
        <v>4.4880641324225876E-3</v>
      </c>
      <c r="X41" s="191">
        <f t="shared" ref="X41:X44" si="35">R41/2</f>
        <v>3752.86</v>
      </c>
      <c r="Y41" s="182">
        <f t="shared" ref="Y41:Y44" si="36">U41/2</f>
        <v>4.4880641324225876E-3</v>
      </c>
      <c r="Z41" s="186">
        <f t="shared" ref="Z41:Z44" si="37">R41/2</f>
        <v>3752.86</v>
      </c>
      <c r="AA41" s="193"/>
      <c r="AB41" s="194"/>
      <c r="AC41" s="198"/>
      <c r="AD41" s="199"/>
      <c r="AE41" s="185"/>
      <c r="AF41" s="183"/>
      <c r="AG41" s="193"/>
      <c r="AH41" s="194"/>
    </row>
    <row r="42" spans="1:34" ht="41.4" x14ac:dyDescent="0.3">
      <c r="A42" s="19" t="s">
        <v>73</v>
      </c>
      <c r="B42" s="20" t="s">
        <v>74</v>
      </c>
      <c r="C42" s="21" t="s">
        <v>15</v>
      </c>
      <c r="D42" s="22">
        <v>4.9800000000000004</v>
      </c>
      <c r="E42" s="139"/>
      <c r="F42" s="100"/>
      <c r="G42" s="100"/>
      <c r="H42" s="99">
        <v>16.420000000000002</v>
      </c>
      <c r="I42" s="98">
        <f>(H42*D42)</f>
        <v>81.771600000000021</v>
      </c>
      <c r="J42" s="168"/>
      <c r="K42" s="167"/>
      <c r="L42" s="167"/>
      <c r="M42" s="99">
        <v>14.4</v>
      </c>
      <c r="N42" s="99"/>
      <c r="O42" s="99"/>
      <c r="P42" s="99"/>
      <c r="Q42" s="100">
        <v>0</v>
      </c>
      <c r="R42" s="100">
        <f>D42*(H42+M42+Q42)</f>
        <v>153.48360000000002</v>
      </c>
      <c r="S42" s="24" t="s">
        <v>166</v>
      </c>
      <c r="T42" s="21">
        <v>87413</v>
      </c>
      <c r="U42" s="187">
        <f t="shared" si="0"/>
        <v>1.8355180850740385E-4</v>
      </c>
      <c r="V42" s="18"/>
      <c r="W42" s="190">
        <f t="shared" si="34"/>
        <v>9.1775904253701927E-5</v>
      </c>
      <c r="X42" s="191">
        <f t="shared" si="35"/>
        <v>76.741800000000012</v>
      </c>
      <c r="Y42" s="182">
        <f t="shared" si="36"/>
        <v>9.1775904253701927E-5</v>
      </c>
      <c r="Z42" s="186">
        <f t="shared" si="37"/>
        <v>76.741800000000012</v>
      </c>
      <c r="AA42" s="195"/>
      <c r="AB42" s="196"/>
      <c r="AC42" s="200"/>
      <c r="AD42" s="201"/>
      <c r="AE42" s="182"/>
      <c r="AF42" s="186"/>
      <c r="AG42" s="195"/>
      <c r="AH42" s="196"/>
    </row>
    <row r="43" spans="1:34" ht="27.6" x14ac:dyDescent="0.3">
      <c r="A43" s="19" t="s">
        <v>75</v>
      </c>
      <c r="B43" s="20" t="s">
        <v>76</v>
      </c>
      <c r="C43" s="21" t="s">
        <v>15</v>
      </c>
      <c r="D43" s="22">
        <v>4.9800000000000004</v>
      </c>
      <c r="E43" s="139"/>
      <c r="F43" s="100"/>
      <c r="G43" s="100"/>
      <c r="H43" s="99">
        <v>6.34</v>
      </c>
      <c r="I43" s="98">
        <f>(H43*D43)</f>
        <v>31.573200000000003</v>
      </c>
      <c r="J43" s="168"/>
      <c r="K43" s="167"/>
      <c r="L43" s="167"/>
      <c r="M43" s="99">
        <v>9.93</v>
      </c>
      <c r="N43" s="99"/>
      <c r="O43" s="99"/>
      <c r="P43" s="99"/>
      <c r="Q43" s="100">
        <v>0</v>
      </c>
      <c r="R43" s="100">
        <f>D43*(H43+M43+Q43)</f>
        <v>81.024600000000007</v>
      </c>
      <c r="S43" s="24" t="s">
        <v>166</v>
      </c>
      <c r="T43" s="21">
        <v>88488</v>
      </c>
      <c r="U43" s="187">
        <f t="shared" si="0"/>
        <v>9.6897726295115525E-5</v>
      </c>
      <c r="V43" s="18"/>
      <c r="W43" s="190">
        <f t="shared" si="34"/>
        <v>4.8448863147557763E-5</v>
      </c>
      <c r="X43" s="191">
        <f t="shared" si="35"/>
        <v>40.512300000000003</v>
      </c>
      <c r="Y43" s="182">
        <f t="shared" si="36"/>
        <v>4.8448863147557763E-5</v>
      </c>
      <c r="Z43" s="186">
        <f t="shared" si="37"/>
        <v>40.512300000000003</v>
      </c>
      <c r="AA43" s="195"/>
      <c r="AB43" s="196"/>
      <c r="AC43" s="200"/>
      <c r="AD43" s="201"/>
      <c r="AE43" s="182"/>
      <c r="AF43" s="186"/>
      <c r="AG43" s="195"/>
      <c r="AH43" s="196"/>
    </row>
    <row r="44" spans="1:34" ht="25.5" customHeight="1" x14ac:dyDescent="0.3">
      <c r="A44" s="19" t="s">
        <v>77</v>
      </c>
      <c r="B44" s="20" t="s">
        <v>78</v>
      </c>
      <c r="C44" s="21" t="s">
        <v>23</v>
      </c>
      <c r="D44" s="22">
        <v>2</v>
      </c>
      <c r="E44" s="139"/>
      <c r="F44" s="100"/>
      <c r="G44" s="100"/>
      <c r="H44" s="100">
        <v>148.93</v>
      </c>
      <c r="I44" s="98">
        <f>(H44*D44)</f>
        <v>297.86</v>
      </c>
      <c r="J44" s="152"/>
      <c r="K44" s="102"/>
      <c r="L44" s="102"/>
      <c r="M44" s="100">
        <v>0</v>
      </c>
      <c r="N44" s="100"/>
      <c r="O44" s="100"/>
      <c r="P44" s="100"/>
      <c r="Q44" s="100">
        <v>0</v>
      </c>
      <c r="R44" s="100">
        <f>D44*(H44+M44+Q44)</f>
        <v>297.86</v>
      </c>
      <c r="S44" s="24" t="s">
        <v>168</v>
      </c>
      <c r="T44" s="21">
        <v>97593</v>
      </c>
      <c r="U44" s="187">
        <f t="shared" si="0"/>
        <v>3.56212270770397E-4</v>
      </c>
      <c r="V44" s="18"/>
      <c r="W44" s="190">
        <f t="shared" si="34"/>
        <v>1.781061353851985E-4</v>
      </c>
      <c r="X44" s="191">
        <f t="shared" si="35"/>
        <v>148.93</v>
      </c>
      <c r="Y44" s="182">
        <f t="shared" si="36"/>
        <v>1.781061353851985E-4</v>
      </c>
      <c r="Z44" s="186">
        <f t="shared" si="37"/>
        <v>148.93</v>
      </c>
      <c r="AA44" s="195"/>
      <c r="AB44" s="196"/>
      <c r="AC44" s="200"/>
      <c r="AD44" s="201"/>
      <c r="AE44" s="182"/>
      <c r="AF44" s="186"/>
      <c r="AG44" s="195"/>
      <c r="AH44" s="196"/>
    </row>
    <row r="45" spans="1:34" s="12" customFormat="1" x14ac:dyDescent="0.3">
      <c r="A45" s="87" t="s">
        <v>79</v>
      </c>
      <c r="B45" s="88" t="s">
        <v>80</v>
      </c>
      <c r="C45" s="39"/>
      <c r="D45" s="89"/>
      <c r="E45" s="137"/>
      <c r="F45" s="161"/>
      <c r="G45" s="161"/>
      <c r="H45" s="38"/>
      <c r="I45" s="38"/>
      <c r="J45" s="170"/>
      <c r="K45" s="169"/>
      <c r="L45" s="169"/>
      <c r="M45" s="38"/>
      <c r="N45" s="38"/>
      <c r="O45" s="38"/>
      <c r="P45" s="38"/>
      <c r="Q45" s="38"/>
      <c r="R45" s="38"/>
      <c r="S45" s="39"/>
      <c r="T45" s="39"/>
      <c r="U45" s="187">
        <f t="shared" si="0"/>
        <v>0</v>
      </c>
      <c r="V45" s="18"/>
      <c r="W45" s="188" t="s">
        <v>194</v>
      </c>
      <c r="X45" s="189" t="s">
        <v>194</v>
      </c>
      <c r="Y45" s="185" t="s">
        <v>194</v>
      </c>
      <c r="Z45" s="183" t="s">
        <v>194</v>
      </c>
      <c r="AA45" s="193" t="s">
        <v>194</v>
      </c>
      <c r="AB45" s="194" t="s">
        <v>194</v>
      </c>
      <c r="AC45" s="198" t="s">
        <v>194</v>
      </c>
      <c r="AD45" s="199" t="s">
        <v>194</v>
      </c>
      <c r="AE45" s="185" t="s">
        <v>194</v>
      </c>
      <c r="AF45" s="183" t="s">
        <v>194</v>
      </c>
      <c r="AG45" s="193" t="s">
        <v>194</v>
      </c>
      <c r="AH45" s="194" t="s">
        <v>194</v>
      </c>
    </row>
    <row r="46" spans="1:34" s="12" customFormat="1" x14ac:dyDescent="0.3">
      <c r="A46" s="41" t="s">
        <v>81</v>
      </c>
      <c r="B46" s="28" t="s">
        <v>171</v>
      </c>
      <c r="C46" s="40"/>
      <c r="D46" s="36"/>
      <c r="E46" s="142"/>
      <c r="F46" s="160"/>
      <c r="G46" s="160"/>
      <c r="H46" s="37">
        <f>SUM(H47)</f>
        <v>0</v>
      </c>
      <c r="I46" s="37">
        <f>SUM(I47)</f>
        <v>0</v>
      </c>
      <c r="J46" s="172"/>
      <c r="K46" s="171"/>
      <c r="L46" s="171"/>
      <c r="M46" s="37">
        <f>SUM(M47)</f>
        <v>207.02</v>
      </c>
      <c r="N46" s="37"/>
      <c r="O46" s="37"/>
      <c r="P46" s="37"/>
      <c r="Q46" s="37">
        <f>SUM(Q47)</f>
        <v>0</v>
      </c>
      <c r="R46" s="37">
        <f>SUM(R47)</f>
        <v>105787.22</v>
      </c>
      <c r="S46" s="40"/>
      <c r="T46" s="40"/>
      <c r="U46" s="187">
        <f t="shared" si="0"/>
        <v>0.1265114679872677</v>
      </c>
      <c r="V46" s="18"/>
      <c r="W46" s="188" t="s">
        <v>194</v>
      </c>
      <c r="X46" s="189" t="s">
        <v>194</v>
      </c>
      <c r="Y46" s="185" t="s">
        <v>194</v>
      </c>
      <c r="Z46" s="183" t="s">
        <v>194</v>
      </c>
      <c r="AA46" s="193" t="s">
        <v>194</v>
      </c>
      <c r="AB46" s="194" t="s">
        <v>194</v>
      </c>
      <c r="AC46" s="198" t="s">
        <v>194</v>
      </c>
      <c r="AD46" s="199" t="s">
        <v>194</v>
      </c>
      <c r="AE46" s="185" t="s">
        <v>194</v>
      </c>
      <c r="AF46" s="183" t="s">
        <v>194</v>
      </c>
      <c r="AG46" s="193" t="s">
        <v>194</v>
      </c>
      <c r="AH46" s="194" t="s">
        <v>194</v>
      </c>
    </row>
    <row r="47" spans="1:34" ht="27.6" x14ac:dyDescent="0.3">
      <c r="A47" s="19" t="s">
        <v>81</v>
      </c>
      <c r="B47" s="20" t="s">
        <v>82</v>
      </c>
      <c r="C47" s="21" t="s">
        <v>15</v>
      </c>
      <c r="D47" s="22">
        <v>511</v>
      </c>
      <c r="E47" s="139"/>
      <c r="F47" s="100"/>
      <c r="G47" s="100"/>
      <c r="H47" s="100">
        <v>0</v>
      </c>
      <c r="I47" s="98">
        <f>(H47*D47)</f>
        <v>0</v>
      </c>
      <c r="J47" s="139"/>
      <c r="K47" s="100"/>
      <c r="L47" s="100"/>
      <c r="M47" s="100">
        <v>207.02</v>
      </c>
      <c r="N47" s="100"/>
      <c r="O47" s="100"/>
      <c r="P47" s="100"/>
      <c r="Q47" s="100">
        <v>0</v>
      </c>
      <c r="R47" s="100">
        <f>D47*(H47+M47+Q47)</f>
        <v>105787.22</v>
      </c>
      <c r="S47" s="86" t="s">
        <v>167</v>
      </c>
      <c r="T47" s="21">
        <v>39636</v>
      </c>
      <c r="U47" s="187">
        <f t="shared" si="0"/>
        <v>0.1265114679872677</v>
      </c>
      <c r="V47" s="18"/>
      <c r="W47" s="190"/>
      <c r="X47" s="191"/>
      <c r="Y47" s="182"/>
      <c r="Z47" s="186"/>
      <c r="AA47" s="195">
        <f>U47/4</f>
        <v>3.1627866996816925E-2</v>
      </c>
      <c r="AB47" s="196">
        <f>R47/4</f>
        <v>26446.805</v>
      </c>
      <c r="AC47" s="200">
        <f>U47/4</f>
        <v>3.1627866996816925E-2</v>
      </c>
      <c r="AD47" s="201">
        <f>R47/4</f>
        <v>26446.805</v>
      </c>
      <c r="AE47" s="182">
        <f>U47/4</f>
        <v>3.1627866996816925E-2</v>
      </c>
      <c r="AF47" s="186">
        <f>R47/4</f>
        <v>26446.805</v>
      </c>
      <c r="AG47" s="195">
        <f>U47/4</f>
        <v>3.1627866996816925E-2</v>
      </c>
      <c r="AH47" s="196">
        <f>R47/4</f>
        <v>26446.805</v>
      </c>
    </row>
    <row r="48" spans="1:34" s="12" customFormat="1" x14ac:dyDescent="0.3">
      <c r="A48" s="87" t="s">
        <v>83</v>
      </c>
      <c r="B48" s="88" t="s">
        <v>84</v>
      </c>
      <c r="C48" s="39"/>
      <c r="D48" s="89"/>
      <c r="E48" s="137"/>
      <c r="F48" s="161"/>
      <c r="G48" s="161"/>
      <c r="H48" s="38"/>
      <c r="I48" s="38"/>
      <c r="J48" s="170"/>
      <c r="K48" s="169"/>
      <c r="L48" s="169"/>
      <c r="M48" s="38"/>
      <c r="N48" s="38"/>
      <c r="O48" s="38"/>
      <c r="P48" s="38"/>
      <c r="Q48" s="38"/>
      <c r="R48" s="38"/>
      <c r="S48" s="39"/>
      <c r="T48" s="39"/>
      <c r="U48" s="187">
        <f t="shared" si="0"/>
        <v>0</v>
      </c>
      <c r="V48" s="18"/>
      <c r="W48" s="188" t="s">
        <v>194</v>
      </c>
      <c r="X48" s="189" t="s">
        <v>194</v>
      </c>
      <c r="Y48" s="185" t="s">
        <v>194</v>
      </c>
      <c r="Z48" s="183" t="s">
        <v>194</v>
      </c>
      <c r="AA48" s="193" t="s">
        <v>194</v>
      </c>
      <c r="AB48" s="194" t="s">
        <v>194</v>
      </c>
      <c r="AC48" s="198" t="s">
        <v>194</v>
      </c>
      <c r="AD48" s="199" t="s">
        <v>194</v>
      </c>
      <c r="AE48" s="185" t="s">
        <v>194</v>
      </c>
      <c r="AF48" s="183" t="s">
        <v>194</v>
      </c>
      <c r="AG48" s="193" t="s">
        <v>194</v>
      </c>
      <c r="AH48" s="194" t="s">
        <v>194</v>
      </c>
    </row>
    <row r="49" spans="1:34" s="12" customFormat="1" x14ac:dyDescent="0.3">
      <c r="A49" s="41" t="s">
        <v>85</v>
      </c>
      <c r="B49" s="28" t="s">
        <v>171</v>
      </c>
      <c r="C49" s="41"/>
      <c r="D49" s="42"/>
      <c r="E49" s="143"/>
      <c r="F49" s="162"/>
      <c r="G49" s="162"/>
      <c r="H49" s="117">
        <f t="shared" ref="H49" si="38">SUM(H50:H50)</f>
        <v>12128.936666666666</v>
      </c>
      <c r="I49" s="117">
        <f t="shared" ref="I49" si="39">SUM(I50:I50)</f>
        <v>12128.936666666666</v>
      </c>
      <c r="J49" s="174"/>
      <c r="K49" s="173"/>
      <c r="L49" s="173"/>
      <c r="M49" s="117">
        <f t="shared" ref="M49:Q49" si="40">SUM(M50:M50)</f>
        <v>534.83000000000004</v>
      </c>
      <c r="N49" s="117"/>
      <c r="O49" s="117"/>
      <c r="P49" s="117"/>
      <c r="Q49" s="117">
        <f t="shared" si="40"/>
        <v>0</v>
      </c>
      <c r="R49" s="43">
        <f>SUM(R50:R50)</f>
        <v>12663.766666666666</v>
      </c>
      <c r="S49" s="41"/>
      <c r="T49" s="41"/>
      <c r="U49" s="187">
        <f t="shared" si="0"/>
        <v>1.5144662193110166E-2</v>
      </c>
      <c r="V49" s="18"/>
      <c r="W49" s="188" t="s">
        <v>194</v>
      </c>
      <c r="X49" s="189" t="s">
        <v>194</v>
      </c>
      <c r="Y49" s="185" t="s">
        <v>194</v>
      </c>
      <c r="Z49" s="183" t="s">
        <v>194</v>
      </c>
      <c r="AA49" s="193" t="s">
        <v>194</v>
      </c>
      <c r="AB49" s="194" t="s">
        <v>194</v>
      </c>
      <c r="AC49" s="198" t="s">
        <v>194</v>
      </c>
      <c r="AD49" s="199" t="s">
        <v>194</v>
      </c>
      <c r="AE49" s="185" t="s">
        <v>194</v>
      </c>
      <c r="AF49" s="183" t="s">
        <v>194</v>
      </c>
      <c r="AG49" s="193" t="s">
        <v>194</v>
      </c>
      <c r="AH49" s="194" t="s">
        <v>194</v>
      </c>
    </row>
    <row r="50" spans="1:34" ht="41.4" x14ac:dyDescent="0.3">
      <c r="A50" s="19" t="s">
        <v>85</v>
      </c>
      <c r="B50" s="20" t="s">
        <v>86</v>
      </c>
      <c r="C50" s="21" t="s">
        <v>87</v>
      </c>
      <c r="D50" s="22">
        <v>1</v>
      </c>
      <c r="E50" s="139">
        <v>25000</v>
      </c>
      <c r="F50" s="100">
        <v>3743.81</v>
      </c>
      <c r="G50" s="100">
        <v>7643</v>
      </c>
      <c r="H50" s="98">
        <f>(E50+F50+G50)/3</f>
        <v>12128.936666666666</v>
      </c>
      <c r="I50" s="98">
        <f>(H50*D50)</f>
        <v>12128.936666666666</v>
      </c>
      <c r="J50" s="139">
        <v>0</v>
      </c>
      <c r="K50" s="100">
        <v>1604.49</v>
      </c>
      <c r="L50" s="100">
        <v>0</v>
      </c>
      <c r="M50" s="100">
        <f>(J50+K50+L50)/3</f>
        <v>534.83000000000004</v>
      </c>
      <c r="N50" s="100">
        <v>0</v>
      </c>
      <c r="O50" s="100">
        <v>0</v>
      </c>
      <c r="P50" s="100">
        <v>0</v>
      </c>
      <c r="Q50" s="100">
        <f>(N50+O50+P50)/3</f>
        <v>0</v>
      </c>
      <c r="R50" s="100">
        <f>D50*(H50+M50+Q50)</f>
        <v>12663.766666666666</v>
      </c>
      <c r="S50" s="24" t="s">
        <v>67</v>
      </c>
      <c r="T50" s="180" t="str">
        <f>A50</f>
        <v>5.1</v>
      </c>
      <c r="U50" s="187">
        <f t="shared" si="0"/>
        <v>1.5144662193110166E-2</v>
      </c>
      <c r="V50" s="18"/>
      <c r="W50" s="190">
        <f>U50</f>
        <v>1.5144662193110166E-2</v>
      </c>
      <c r="X50" s="191">
        <f>R50</f>
        <v>12663.766666666666</v>
      </c>
      <c r="Y50" s="182"/>
      <c r="Z50" s="186"/>
      <c r="AA50" s="195"/>
      <c r="AB50" s="196"/>
      <c r="AC50" s="200"/>
      <c r="AD50" s="201"/>
      <c r="AE50" s="182"/>
      <c r="AF50" s="186"/>
      <c r="AG50" s="195"/>
      <c r="AH50" s="196"/>
    </row>
    <row r="51" spans="1:34" s="12" customFormat="1" x14ac:dyDescent="0.3">
      <c r="A51" s="275" t="s">
        <v>88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7"/>
      <c r="R51" s="9">
        <f>R49+R46+R39+R34+R22+R6</f>
        <v>231655.38338422222</v>
      </c>
      <c r="S51" s="10"/>
      <c r="T51" s="10"/>
      <c r="U51" s="187">
        <f t="shared" ref="U51" si="41">R51/$R$83</f>
        <v>0.27703783707607832</v>
      </c>
      <c r="V51" s="18"/>
      <c r="W51" s="188" t="s">
        <v>194</v>
      </c>
      <c r="X51" s="189" t="s">
        <v>194</v>
      </c>
      <c r="Y51" s="185" t="s">
        <v>194</v>
      </c>
      <c r="Z51" s="183" t="s">
        <v>194</v>
      </c>
      <c r="AA51" s="193" t="s">
        <v>194</v>
      </c>
      <c r="AB51" s="194" t="s">
        <v>194</v>
      </c>
      <c r="AC51" s="198" t="s">
        <v>194</v>
      </c>
      <c r="AD51" s="199" t="s">
        <v>194</v>
      </c>
      <c r="AE51" s="185" t="s">
        <v>194</v>
      </c>
      <c r="AF51" s="183" t="s">
        <v>194</v>
      </c>
      <c r="AG51" s="193" t="s">
        <v>194</v>
      </c>
      <c r="AH51" s="194" t="s">
        <v>194</v>
      </c>
    </row>
    <row r="52" spans="1:34" s="115" customFormat="1" x14ac:dyDescent="0.3">
      <c r="A52" s="118"/>
      <c r="B52" s="118"/>
      <c r="C52" s="118"/>
      <c r="D52" s="118"/>
      <c r="E52" s="144"/>
      <c r="F52" s="118"/>
      <c r="G52" s="118"/>
      <c r="H52" s="118"/>
      <c r="I52" s="118"/>
      <c r="J52" s="144"/>
      <c r="K52" s="118"/>
      <c r="L52" s="118"/>
      <c r="M52" s="119"/>
      <c r="N52" s="119"/>
      <c r="O52" s="119"/>
      <c r="P52" s="119"/>
      <c r="Q52" s="119"/>
      <c r="R52" s="119"/>
      <c r="S52" s="120"/>
      <c r="T52" s="120"/>
      <c r="U52" s="121"/>
      <c r="V52" s="114"/>
      <c r="W52" s="188" t="s">
        <v>194</v>
      </c>
      <c r="X52" s="189" t="s">
        <v>194</v>
      </c>
      <c r="Y52" s="185" t="s">
        <v>194</v>
      </c>
      <c r="Z52" s="183" t="s">
        <v>194</v>
      </c>
      <c r="AA52" s="193" t="s">
        <v>194</v>
      </c>
      <c r="AB52" s="194" t="s">
        <v>194</v>
      </c>
      <c r="AC52" s="198" t="s">
        <v>194</v>
      </c>
      <c r="AD52" s="199" t="s">
        <v>194</v>
      </c>
      <c r="AE52" s="185" t="s">
        <v>194</v>
      </c>
      <c r="AF52" s="183" t="s">
        <v>194</v>
      </c>
      <c r="AG52" s="193" t="s">
        <v>194</v>
      </c>
      <c r="AH52" s="194" t="s">
        <v>194</v>
      </c>
    </row>
    <row r="53" spans="1:34" s="12" customFormat="1" x14ac:dyDescent="0.3">
      <c r="A53" s="87" t="s">
        <v>89</v>
      </c>
      <c r="B53" s="90" t="s">
        <v>90</v>
      </c>
      <c r="C53" s="91"/>
      <c r="D53" s="92"/>
      <c r="E53" s="145"/>
      <c r="F53" s="92"/>
      <c r="G53" s="92"/>
      <c r="H53" s="44">
        <f>SUM(H54:H56)</f>
        <v>54981.733333333337</v>
      </c>
      <c r="I53" s="44">
        <f>SUM(I54:I56)</f>
        <v>85334.093333333338</v>
      </c>
      <c r="J53" s="141"/>
      <c r="K53" s="44"/>
      <c r="L53" s="44"/>
      <c r="M53" s="44">
        <f>SUM(M54:M56)</f>
        <v>34553.136666666665</v>
      </c>
      <c r="N53" s="44"/>
      <c r="O53" s="44"/>
      <c r="P53" s="44"/>
      <c r="Q53" s="44">
        <f>SUM(Q54:Q56)</f>
        <v>0</v>
      </c>
      <c r="R53" s="44">
        <f>SUM(R54:R56)</f>
        <v>160488.33000000002</v>
      </c>
      <c r="S53" s="10"/>
      <c r="T53" s="10"/>
      <c r="U53" s="187">
        <f t="shared" ref="U53:U64" si="42">R53/$R$83</f>
        <v>0.19192880031373408</v>
      </c>
      <c r="V53" s="18"/>
      <c r="W53" s="188" t="s">
        <v>194</v>
      </c>
      <c r="X53" s="189" t="s">
        <v>194</v>
      </c>
      <c r="Y53" s="185" t="s">
        <v>194</v>
      </c>
      <c r="Z53" s="183" t="s">
        <v>194</v>
      </c>
      <c r="AA53" s="193" t="s">
        <v>194</v>
      </c>
      <c r="AB53" s="194" t="s">
        <v>194</v>
      </c>
      <c r="AC53" s="198" t="s">
        <v>194</v>
      </c>
      <c r="AD53" s="199" t="s">
        <v>194</v>
      </c>
      <c r="AE53" s="185" t="s">
        <v>194</v>
      </c>
      <c r="AF53" s="183" t="s">
        <v>194</v>
      </c>
      <c r="AG53" s="193" t="s">
        <v>194</v>
      </c>
      <c r="AH53" s="194" t="s">
        <v>194</v>
      </c>
    </row>
    <row r="54" spans="1:34" x14ac:dyDescent="0.3">
      <c r="A54" s="19" t="s">
        <v>242</v>
      </c>
      <c r="B54" s="20" t="s">
        <v>91</v>
      </c>
      <c r="C54" s="21" t="s">
        <v>87</v>
      </c>
      <c r="D54" s="22">
        <v>1</v>
      </c>
      <c r="E54" s="139">
        <v>85000</v>
      </c>
      <c r="F54" s="100">
        <v>975</v>
      </c>
      <c r="G54" s="100">
        <v>5868</v>
      </c>
      <c r="H54" s="98">
        <f t="shared" ref="H54:H56" si="43">(E54+F54+G54)/3</f>
        <v>30614.333333333332</v>
      </c>
      <c r="I54" s="98">
        <f>(H54*D54)</f>
        <v>30614.333333333332</v>
      </c>
      <c r="J54" s="139">
        <v>0</v>
      </c>
      <c r="K54" s="100">
        <v>2275</v>
      </c>
      <c r="L54" s="100">
        <v>8802</v>
      </c>
      <c r="M54" s="100">
        <f t="shared" ref="M54:M56" si="44">(J54+K54+L54)/3</f>
        <v>3692.3333333333335</v>
      </c>
      <c r="N54" s="100">
        <v>0</v>
      </c>
      <c r="O54" s="100">
        <v>0</v>
      </c>
      <c r="P54" s="100">
        <v>0</v>
      </c>
      <c r="Q54" s="100">
        <f t="shared" ref="Q54:Q56" si="45">(N54+O54+P54)/3</f>
        <v>0</v>
      </c>
      <c r="R54" s="100">
        <f>D54*(H54+M54+Q54)</f>
        <v>34306.666666666664</v>
      </c>
      <c r="S54" s="24" t="s">
        <v>67</v>
      </c>
      <c r="T54" s="24" t="str">
        <f>A54</f>
        <v>6.1</v>
      </c>
      <c r="U54" s="187">
        <f t="shared" si="42"/>
        <v>4.1027515060419052E-2</v>
      </c>
      <c r="V54" s="18"/>
      <c r="W54" s="190"/>
      <c r="X54" s="191"/>
      <c r="Y54" s="182"/>
      <c r="Z54" s="186"/>
      <c r="AA54" s="195">
        <f>U54/2</f>
        <v>2.0513757530209526E-2</v>
      </c>
      <c r="AB54" s="196">
        <f>R54/2</f>
        <v>17153.333333333332</v>
      </c>
      <c r="AC54" s="200">
        <f>U54/2</f>
        <v>2.0513757530209526E-2</v>
      </c>
      <c r="AD54" s="201">
        <f>R54/2</f>
        <v>17153.333333333332</v>
      </c>
      <c r="AE54" s="182"/>
      <c r="AF54" s="186"/>
      <c r="AG54" s="195"/>
      <c r="AH54" s="196"/>
    </row>
    <row r="55" spans="1:34" ht="27.6" x14ac:dyDescent="0.3">
      <c r="A55" s="19" t="s">
        <v>243</v>
      </c>
      <c r="B55" s="20" t="s">
        <v>92</v>
      </c>
      <c r="C55" s="21" t="s">
        <v>15</v>
      </c>
      <c r="D55" s="22">
        <v>252.4</v>
      </c>
      <c r="E55" s="139">
        <v>150</v>
      </c>
      <c r="F55" s="100">
        <v>199.44</v>
      </c>
      <c r="G55" s="100">
        <v>12.76</v>
      </c>
      <c r="H55" s="98">
        <f t="shared" si="43"/>
        <v>120.73333333333333</v>
      </c>
      <c r="I55" s="98">
        <f>(H55*D55)</f>
        <v>30473.093333333334</v>
      </c>
      <c r="J55" s="139">
        <v>0</v>
      </c>
      <c r="K55" s="100">
        <v>465.37</v>
      </c>
      <c r="L55" s="100">
        <v>19.13</v>
      </c>
      <c r="M55" s="100">
        <f t="shared" si="44"/>
        <v>161.5</v>
      </c>
      <c r="N55" s="100">
        <v>0</v>
      </c>
      <c r="O55" s="100">
        <v>0</v>
      </c>
      <c r="P55" s="100">
        <v>0</v>
      </c>
      <c r="Q55" s="100">
        <f t="shared" si="45"/>
        <v>0</v>
      </c>
      <c r="R55" s="100">
        <f>D55*(H55+M55+Q55)</f>
        <v>71235.693333333344</v>
      </c>
      <c r="S55" s="24" t="s">
        <v>67</v>
      </c>
      <c r="T55" s="24" t="str">
        <f>A55</f>
        <v>6.2</v>
      </c>
      <c r="U55" s="187">
        <f t="shared" si="42"/>
        <v>8.5191123622407508E-2</v>
      </c>
      <c r="V55" s="18"/>
      <c r="W55" s="190">
        <f>U55/4</f>
        <v>2.1297780905601877E-2</v>
      </c>
      <c r="X55" s="191">
        <f>R55/4</f>
        <v>17808.923333333336</v>
      </c>
      <c r="Y55" s="182">
        <f>U55/4</f>
        <v>2.1297780905601877E-2</v>
      </c>
      <c r="Z55" s="186">
        <f>R55/4</f>
        <v>17808.923333333336</v>
      </c>
      <c r="AA55" s="195">
        <f>U55/4</f>
        <v>2.1297780905601877E-2</v>
      </c>
      <c r="AB55" s="196">
        <f>R55/4</f>
        <v>17808.923333333336</v>
      </c>
      <c r="AC55" s="200">
        <f>U55/4</f>
        <v>2.1297780905601877E-2</v>
      </c>
      <c r="AD55" s="201">
        <f>R55/4</f>
        <v>17808.923333333336</v>
      </c>
      <c r="AE55" s="182"/>
      <c r="AF55" s="186"/>
      <c r="AG55" s="195"/>
      <c r="AH55" s="196"/>
    </row>
    <row r="56" spans="1:34" ht="41.4" x14ac:dyDescent="0.3">
      <c r="A56" s="19" t="s">
        <v>244</v>
      </c>
      <c r="B56" s="20" t="s">
        <v>93</v>
      </c>
      <c r="C56" s="21" t="s">
        <v>23</v>
      </c>
      <c r="D56" s="22">
        <v>1</v>
      </c>
      <c r="E56" s="139">
        <v>70000</v>
      </c>
      <c r="F56" s="100">
        <v>0</v>
      </c>
      <c r="G56" s="100">
        <v>2740</v>
      </c>
      <c r="H56" s="98">
        <f t="shared" si="43"/>
        <v>24246.666666666668</v>
      </c>
      <c r="I56" s="98">
        <f>(H56*D56)</f>
        <v>24246.666666666668</v>
      </c>
      <c r="J56" s="139">
        <v>5000</v>
      </c>
      <c r="K56" s="100">
        <v>61137.91</v>
      </c>
      <c r="L56" s="100">
        <v>25960</v>
      </c>
      <c r="M56" s="100">
        <f t="shared" si="44"/>
        <v>30699.303333333333</v>
      </c>
      <c r="N56" s="100">
        <v>0</v>
      </c>
      <c r="O56" s="100">
        <v>0</v>
      </c>
      <c r="P56" s="100">
        <v>0</v>
      </c>
      <c r="Q56" s="100">
        <f t="shared" si="45"/>
        <v>0</v>
      </c>
      <c r="R56" s="100">
        <f>D56*(H56+M56+Q56)</f>
        <v>54945.97</v>
      </c>
      <c r="S56" s="24" t="s">
        <v>67</v>
      </c>
      <c r="T56" s="24" t="str">
        <f>A56</f>
        <v>6.3</v>
      </c>
      <c r="U56" s="187">
        <f t="shared" si="42"/>
        <v>6.571016163090751E-2</v>
      </c>
      <c r="V56" s="18"/>
      <c r="W56" s="190">
        <f t="shared" ref="W56" si="46">U56/2</f>
        <v>3.2855080815453755E-2</v>
      </c>
      <c r="X56" s="191">
        <f t="shared" ref="X56" si="47">R56/2</f>
        <v>27472.985000000001</v>
      </c>
      <c r="Y56" s="182">
        <f t="shared" ref="Y56" si="48">U56/2</f>
        <v>3.2855080815453755E-2</v>
      </c>
      <c r="Z56" s="186">
        <f t="shared" ref="Z56" si="49">R56/2</f>
        <v>27472.985000000001</v>
      </c>
      <c r="AA56" s="195"/>
      <c r="AB56" s="196"/>
      <c r="AC56" s="200"/>
      <c r="AD56" s="201"/>
      <c r="AE56" s="182"/>
      <c r="AF56" s="186"/>
      <c r="AG56" s="195"/>
      <c r="AH56" s="196"/>
    </row>
    <row r="57" spans="1:34" s="12" customFormat="1" x14ac:dyDescent="0.3">
      <c r="A57" s="93" t="s">
        <v>94</v>
      </c>
      <c r="B57" s="94" t="s">
        <v>95</v>
      </c>
      <c r="C57" s="93"/>
      <c r="D57" s="95"/>
      <c r="E57" s="146"/>
      <c r="F57" s="163"/>
      <c r="G57" s="163"/>
      <c r="H57" s="44">
        <f>SUM(H58:H64)</f>
        <v>21117.306666666671</v>
      </c>
      <c r="I57" s="44">
        <f>SUM(I58:I64)</f>
        <v>31235.526666666668</v>
      </c>
      <c r="J57" s="141"/>
      <c r="K57" s="159"/>
      <c r="L57" s="159"/>
      <c r="M57" s="44">
        <f>SUM(M58:M64)</f>
        <v>10579.026666666665</v>
      </c>
      <c r="N57" s="44"/>
      <c r="O57" s="44"/>
      <c r="P57" s="44"/>
      <c r="Q57" s="44">
        <f>SUM(Q58:Q64)</f>
        <v>0</v>
      </c>
      <c r="R57" s="44">
        <f>SUM(R58:R64)</f>
        <v>134909.88666666669</v>
      </c>
      <c r="S57" s="45"/>
      <c r="T57" s="45"/>
      <c r="U57" s="187">
        <f t="shared" si="42"/>
        <v>0.16133941139767086</v>
      </c>
      <c r="V57" s="18"/>
      <c r="W57" s="188" t="s">
        <v>194</v>
      </c>
      <c r="X57" s="189" t="s">
        <v>194</v>
      </c>
      <c r="Y57" s="185" t="s">
        <v>194</v>
      </c>
      <c r="Z57" s="183" t="s">
        <v>194</v>
      </c>
      <c r="AA57" s="193" t="s">
        <v>194</v>
      </c>
      <c r="AB57" s="194" t="s">
        <v>194</v>
      </c>
      <c r="AC57" s="198" t="s">
        <v>194</v>
      </c>
      <c r="AD57" s="199" t="s">
        <v>194</v>
      </c>
      <c r="AE57" s="185" t="s">
        <v>194</v>
      </c>
      <c r="AF57" s="183" t="s">
        <v>194</v>
      </c>
      <c r="AG57" s="193" t="s">
        <v>194</v>
      </c>
      <c r="AH57" s="194" t="s">
        <v>194</v>
      </c>
    </row>
    <row r="58" spans="1:34" x14ac:dyDescent="0.3">
      <c r="A58" s="19" t="s">
        <v>235</v>
      </c>
      <c r="B58" s="20" t="s">
        <v>96</v>
      </c>
      <c r="C58" s="21" t="s">
        <v>87</v>
      </c>
      <c r="D58" s="22">
        <v>1</v>
      </c>
      <c r="E58" s="139">
        <v>50000</v>
      </c>
      <c r="F58" s="100">
        <v>975</v>
      </c>
      <c r="G58" s="100">
        <v>8320</v>
      </c>
      <c r="H58" s="98">
        <f t="shared" ref="H58:H59" si="50">(E58+F58+G58)/3</f>
        <v>19765</v>
      </c>
      <c r="I58" s="98">
        <f t="shared" ref="I58:I64" si="51">(H58*D58)</f>
        <v>19765</v>
      </c>
      <c r="J58" s="139">
        <v>0</v>
      </c>
      <c r="K58" s="100">
        <v>2275</v>
      </c>
      <c r="L58" s="100">
        <v>12480</v>
      </c>
      <c r="M58" s="100">
        <f t="shared" ref="M58:M59" si="52">(J58+K58+L58)/3</f>
        <v>4918.333333333333</v>
      </c>
      <c r="N58" s="100">
        <v>0</v>
      </c>
      <c r="O58" s="100">
        <v>0</v>
      </c>
      <c r="P58" s="100">
        <v>0</v>
      </c>
      <c r="Q58" s="100">
        <f t="shared" ref="Q58:Q59" si="53">(N58+O58+P58)/3</f>
        <v>0</v>
      </c>
      <c r="R58" s="100">
        <f t="shared" ref="R58:R64" si="54">D58*(H58+M58+Q58)</f>
        <v>24683.333333333332</v>
      </c>
      <c r="S58" s="24" t="s">
        <v>67</v>
      </c>
      <c r="T58" s="180" t="str">
        <f>A58</f>
        <v>7.1</v>
      </c>
      <c r="U58" s="187">
        <f t="shared" si="42"/>
        <v>2.9518922369063647E-2</v>
      </c>
      <c r="V58" s="18"/>
      <c r="W58" s="190"/>
      <c r="X58" s="191"/>
      <c r="Y58" s="182"/>
      <c r="Z58" s="186"/>
      <c r="AA58" s="195">
        <f>U58/2</f>
        <v>1.4759461184531824E-2</v>
      </c>
      <c r="AB58" s="196">
        <f>R58/2</f>
        <v>12341.666666666666</v>
      </c>
      <c r="AC58" s="200">
        <f>U58/2</f>
        <v>1.4759461184531824E-2</v>
      </c>
      <c r="AD58" s="201">
        <f>R58/2</f>
        <v>12341.666666666666</v>
      </c>
      <c r="AE58" s="182"/>
      <c r="AF58" s="186"/>
      <c r="AG58" s="195"/>
      <c r="AH58" s="196"/>
    </row>
    <row r="59" spans="1:34" x14ac:dyDescent="0.3">
      <c r="A59" s="19" t="s">
        <v>236</v>
      </c>
      <c r="B59" s="20" t="s">
        <v>97</v>
      </c>
      <c r="C59" s="21" t="s">
        <v>23</v>
      </c>
      <c r="D59" s="22">
        <v>16</v>
      </c>
      <c r="E59" s="139">
        <v>30</v>
      </c>
      <c r="F59" s="100">
        <v>13.65</v>
      </c>
      <c r="G59" s="100">
        <v>77.599999999999994</v>
      </c>
      <c r="H59" s="98">
        <f t="shared" si="50"/>
        <v>40.416666666666664</v>
      </c>
      <c r="I59" s="98">
        <f t="shared" si="51"/>
        <v>646.66666666666663</v>
      </c>
      <c r="J59" s="139">
        <v>150</v>
      </c>
      <c r="K59" s="100">
        <v>31.85</v>
      </c>
      <c r="L59" s="100">
        <v>141.4</v>
      </c>
      <c r="M59" s="100">
        <f t="shared" si="52"/>
        <v>107.75</v>
      </c>
      <c r="N59" s="100">
        <v>0</v>
      </c>
      <c r="O59" s="100">
        <v>0</v>
      </c>
      <c r="P59" s="100">
        <v>0</v>
      </c>
      <c r="Q59" s="100">
        <f t="shared" si="53"/>
        <v>0</v>
      </c>
      <c r="R59" s="100">
        <f t="shared" si="54"/>
        <v>2370.6666666666665</v>
      </c>
      <c r="S59" s="24" t="s">
        <v>67</v>
      </c>
      <c r="T59" s="180" t="str">
        <f>A59</f>
        <v>7.2</v>
      </c>
      <c r="U59" s="187">
        <f t="shared" si="42"/>
        <v>2.8350921794568626E-3</v>
      </c>
      <c r="V59" s="18"/>
      <c r="W59" s="190"/>
      <c r="X59" s="191"/>
      <c r="Y59" s="182"/>
      <c r="Z59" s="186"/>
      <c r="AA59" s="195">
        <f t="shared" ref="AA59:AA64" si="55">U59/2</f>
        <v>1.4175460897284313E-3</v>
      </c>
      <c r="AB59" s="196">
        <f t="shared" ref="AB59:AB64" si="56">R59/2</f>
        <v>1185.3333333333333</v>
      </c>
      <c r="AC59" s="200">
        <f t="shared" ref="AC59:AC64" si="57">U59/2</f>
        <v>1.4175460897284313E-3</v>
      </c>
      <c r="AD59" s="201">
        <f t="shared" ref="AD59:AD64" si="58">R59/2</f>
        <v>1185.3333333333333</v>
      </c>
      <c r="AE59" s="182"/>
      <c r="AF59" s="186"/>
      <c r="AG59" s="195"/>
      <c r="AH59" s="196"/>
    </row>
    <row r="60" spans="1:34" ht="55.2" x14ac:dyDescent="0.3">
      <c r="A60" s="19" t="s">
        <v>237</v>
      </c>
      <c r="B60" s="20" t="s">
        <v>98</v>
      </c>
      <c r="C60" s="21" t="s">
        <v>38</v>
      </c>
      <c r="D60" s="22">
        <v>2600</v>
      </c>
      <c r="E60" s="139"/>
      <c r="F60" s="100"/>
      <c r="G60" s="100"/>
      <c r="H60" s="203">
        <v>0.24</v>
      </c>
      <c r="I60" s="204">
        <f t="shared" si="51"/>
        <v>624</v>
      </c>
      <c r="J60" s="205"/>
      <c r="K60" s="203"/>
      <c r="L60" s="203"/>
      <c r="M60" s="203">
        <v>22.83</v>
      </c>
      <c r="N60" s="203"/>
      <c r="O60" s="203"/>
      <c r="P60" s="203"/>
      <c r="Q60" s="203">
        <v>0</v>
      </c>
      <c r="R60" s="203">
        <f t="shared" si="54"/>
        <v>59981.999999999993</v>
      </c>
      <c r="S60" s="24" t="s">
        <v>166</v>
      </c>
      <c r="T60" s="21">
        <v>98299</v>
      </c>
      <c r="U60" s="187">
        <f t="shared" si="42"/>
        <v>7.1732775214362277E-2</v>
      </c>
      <c r="V60" s="18"/>
      <c r="W60" s="190"/>
      <c r="X60" s="191"/>
      <c r="Y60" s="182"/>
      <c r="Z60" s="186"/>
      <c r="AA60" s="195">
        <f t="shared" si="55"/>
        <v>3.5866387607181138E-2</v>
      </c>
      <c r="AB60" s="196">
        <f t="shared" si="56"/>
        <v>29990.999999999996</v>
      </c>
      <c r="AC60" s="200">
        <f t="shared" si="57"/>
        <v>3.5866387607181138E-2</v>
      </c>
      <c r="AD60" s="201">
        <f t="shared" si="58"/>
        <v>29990.999999999996</v>
      </c>
      <c r="AE60" s="182"/>
      <c r="AF60" s="186"/>
      <c r="AG60" s="195"/>
      <c r="AH60" s="196"/>
    </row>
    <row r="61" spans="1:34" ht="27.6" x14ac:dyDescent="0.3">
      <c r="A61" s="19" t="s">
        <v>238</v>
      </c>
      <c r="B61" s="20" t="s">
        <v>99</v>
      </c>
      <c r="C61" s="21" t="s">
        <v>23</v>
      </c>
      <c r="D61" s="22">
        <v>8</v>
      </c>
      <c r="E61" s="139">
        <v>150</v>
      </c>
      <c r="F61" s="100">
        <v>0</v>
      </c>
      <c r="G61" s="100">
        <v>1637.84</v>
      </c>
      <c r="H61" s="98">
        <f t="shared" ref="H61:H62" si="59">(E61+F61+G61)/3</f>
        <v>595.9466666666666</v>
      </c>
      <c r="I61" s="98">
        <f t="shared" si="51"/>
        <v>4767.5733333333328</v>
      </c>
      <c r="J61" s="139">
        <v>1150</v>
      </c>
      <c r="K61" s="100">
        <v>3101.41</v>
      </c>
      <c r="L61" s="100">
        <v>2456.7600000000002</v>
      </c>
      <c r="M61" s="100">
        <f t="shared" ref="M61:M62" si="60">(J61+K61+L61)/3</f>
        <v>2236.0566666666668</v>
      </c>
      <c r="N61" s="100">
        <v>0</v>
      </c>
      <c r="O61" s="100">
        <v>0</v>
      </c>
      <c r="P61" s="100">
        <v>0</v>
      </c>
      <c r="Q61" s="100">
        <f t="shared" ref="Q61:Q62" si="61">(N61+O61+P61)/3</f>
        <v>0</v>
      </c>
      <c r="R61" s="100">
        <f t="shared" si="54"/>
        <v>22656.026666666668</v>
      </c>
      <c r="S61" s="24" t="s">
        <v>67</v>
      </c>
      <c r="T61" s="180" t="str">
        <f>A61</f>
        <v>7.4</v>
      </c>
      <c r="U61" s="187">
        <f t="shared" si="42"/>
        <v>2.7094456139018338E-2</v>
      </c>
      <c r="V61" s="18"/>
      <c r="W61" s="190"/>
      <c r="X61" s="191"/>
      <c r="Y61" s="182"/>
      <c r="Z61" s="186"/>
      <c r="AA61" s="195">
        <f t="shared" si="55"/>
        <v>1.3547228069509169E-2</v>
      </c>
      <c r="AB61" s="196">
        <f t="shared" si="56"/>
        <v>11328.013333333334</v>
      </c>
      <c r="AC61" s="200">
        <f t="shared" si="57"/>
        <v>1.3547228069509169E-2</v>
      </c>
      <c r="AD61" s="201">
        <f t="shared" si="58"/>
        <v>11328.013333333334</v>
      </c>
      <c r="AE61" s="182"/>
      <c r="AF61" s="186"/>
      <c r="AG61" s="195"/>
      <c r="AH61" s="196"/>
    </row>
    <row r="62" spans="1:34" ht="27.6" x14ac:dyDescent="0.3">
      <c r="A62" s="19" t="s">
        <v>239</v>
      </c>
      <c r="B62" s="20" t="s">
        <v>100</v>
      </c>
      <c r="C62" s="21" t="s">
        <v>23</v>
      </c>
      <c r="D62" s="22">
        <v>8</v>
      </c>
      <c r="E62" s="139">
        <v>150</v>
      </c>
      <c r="F62" s="100">
        <v>0</v>
      </c>
      <c r="G62" s="100">
        <v>963.88</v>
      </c>
      <c r="H62" s="98">
        <f t="shared" si="59"/>
        <v>371.29333333333335</v>
      </c>
      <c r="I62" s="98">
        <f t="shared" si="51"/>
        <v>2970.3466666666668</v>
      </c>
      <c r="J62" s="139">
        <v>1050</v>
      </c>
      <c r="K62" s="100">
        <v>1625</v>
      </c>
      <c r="L62" s="100">
        <v>1445.82</v>
      </c>
      <c r="M62" s="100">
        <f t="shared" si="60"/>
        <v>1373.6066666666666</v>
      </c>
      <c r="N62" s="100">
        <v>0</v>
      </c>
      <c r="O62" s="100">
        <v>0</v>
      </c>
      <c r="P62" s="100">
        <v>0</v>
      </c>
      <c r="Q62" s="100">
        <f t="shared" si="61"/>
        <v>0</v>
      </c>
      <c r="R62" s="100">
        <f t="shared" si="54"/>
        <v>13959.199999999999</v>
      </c>
      <c r="S62" s="24" t="s">
        <v>67</v>
      </c>
      <c r="T62" s="180" t="str">
        <f>A62</f>
        <v>7.5</v>
      </c>
      <c r="U62" s="187">
        <f t="shared" si="42"/>
        <v>1.6693877426099929E-2</v>
      </c>
      <c r="V62" s="18"/>
      <c r="W62" s="190"/>
      <c r="X62" s="191"/>
      <c r="Y62" s="182"/>
      <c r="Z62" s="186"/>
      <c r="AA62" s="195">
        <f t="shared" si="55"/>
        <v>8.3469387130499645E-3</v>
      </c>
      <c r="AB62" s="196">
        <f t="shared" si="56"/>
        <v>6979.5999999999995</v>
      </c>
      <c r="AC62" s="200">
        <f t="shared" si="57"/>
        <v>8.3469387130499645E-3</v>
      </c>
      <c r="AD62" s="201">
        <f t="shared" si="58"/>
        <v>6979.5999999999995</v>
      </c>
      <c r="AE62" s="182"/>
      <c r="AF62" s="186"/>
      <c r="AG62" s="195"/>
      <c r="AH62" s="196"/>
    </row>
    <row r="63" spans="1:34" ht="27.6" x14ac:dyDescent="0.3">
      <c r="A63" s="19" t="s">
        <v>240</v>
      </c>
      <c r="B63" s="20" t="s">
        <v>101</v>
      </c>
      <c r="C63" s="21" t="s">
        <v>23</v>
      </c>
      <c r="D63" s="22">
        <v>2</v>
      </c>
      <c r="E63" s="139"/>
      <c r="F63" s="100"/>
      <c r="G63" s="100"/>
      <c r="H63" s="99">
        <v>48.89</v>
      </c>
      <c r="I63" s="98">
        <f t="shared" si="51"/>
        <v>97.78</v>
      </c>
      <c r="J63" s="151"/>
      <c r="K63" s="101"/>
      <c r="L63" s="154"/>
      <c r="M63" s="99">
        <v>1094.48</v>
      </c>
      <c r="N63" s="99"/>
      <c r="O63" s="99"/>
      <c r="P63" s="99"/>
      <c r="Q63" s="100">
        <v>0</v>
      </c>
      <c r="R63" s="100">
        <f t="shared" si="54"/>
        <v>2286.7400000000002</v>
      </c>
      <c r="S63" s="24" t="s">
        <v>166</v>
      </c>
      <c r="T63" s="21">
        <v>100555</v>
      </c>
      <c r="U63" s="187">
        <f t="shared" si="42"/>
        <v>2.7347238570519629E-3</v>
      </c>
      <c r="V63" s="18"/>
      <c r="W63" s="190"/>
      <c r="X63" s="191"/>
      <c r="Y63" s="182"/>
      <c r="Z63" s="186"/>
      <c r="AA63" s="195">
        <f t="shared" si="55"/>
        <v>1.3673619285259815E-3</v>
      </c>
      <c r="AB63" s="196">
        <f t="shared" si="56"/>
        <v>1143.3700000000001</v>
      </c>
      <c r="AC63" s="200">
        <f t="shared" si="57"/>
        <v>1.3673619285259815E-3</v>
      </c>
      <c r="AD63" s="201">
        <f t="shared" si="58"/>
        <v>1143.3700000000001</v>
      </c>
      <c r="AE63" s="182"/>
      <c r="AF63" s="186"/>
      <c r="AG63" s="195"/>
      <c r="AH63" s="196"/>
    </row>
    <row r="64" spans="1:34" ht="27.6" x14ac:dyDescent="0.3">
      <c r="A64" s="19" t="s">
        <v>241</v>
      </c>
      <c r="B64" s="20" t="s">
        <v>102</v>
      </c>
      <c r="C64" s="21" t="s">
        <v>23</v>
      </c>
      <c r="D64" s="22">
        <v>8</v>
      </c>
      <c r="E64" s="139"/>
      <c r="F64" s="100"/>
      <c r="G64" s="100"/>
      <c r="H64" s="99">
        <v>295.52</v>
      </c>
      <c r="I64" s="98">
        <f t="shared" si="51"/>
        <v>2364.16</v>
      </c>
      <c r="J64" s="151"/>
      <c r="K64" s="101"/>
      <c r="L64" s="101"/>
      <c r="M64" s="99">
        <v>825.97</v>
      </c>
      <c r="N64" s="99"/>
      <c r="O64" s="99"/>
      <c r="P64" s="99"/>
      <c r="Q64" s="100">
        <v>0</v>
      </c>
      <c r="R64" s="100">
        <f t="shared" si="54"/>
        <v>8971.92</v>
      </c>
      <c r="S64" s="24" t="s">
        <v>166</v>
      </c>
      <c r="T64" s="21">
        <v>98302</v>
      </c>
      <c r="U64" s="187">
        <f t="shared" si="42"/>
        <v>1.0729564212617808E-2</v>
      </c>
      <c r="V64" s="18"/>
      <c r="W64" s="190"/>
      <c r="X64" s="191"/>
      <c r="Y64" s="182"/>
      <c r="Z64" s="186"/>
      <c r="AA64" s="195">
        <f t="shared" si="55"/>
        <v>5.3647821063089038E-3</v>
      </c>
      <c r="AB64" s="196">
        <f t="shared" si="56"/>
        <v>4485.96</v>
      </c>
      <c r="AC64" s="200">
        <f t="shared" si="57"/>
        <v>5.3647821063089038E-3</v>
      </c>
      <c r="AD64" s="201">
        <f t="shared" si="58"/>
        <v>4485.96</v>
      </c>
      <c r="AE64" s="182"/>
      <c r="AF64" s="186"/>
      <c r="AG64" s="195"/>
      <c r="AH64" s="196"/>
    </row>
    <row r="65" spans="1:34" s="12" customFormat="1" ht="12.75" customHeight="1" x14ac:dyDescent="0.3">
      <c r="A65" s="275" t="s">
        <v>103</v>
      </c>
      <c r="B65" s="276"/>
      <c r="C65" s="276"/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276"/>
      <c r="Q65" s="277"/>
      <c r="R65" s="9">
        <f>R57+R53</f>
        <v>295398.21666666667</v>
      </c>
      <c r="S65" s="10"/>
      <c r="T65" s="10"/>
      <c r="U65" s="187">
        <f t="shared" ref="U65:U82" si="62">R65/$R$83</f>
        <v>0.35326821171140488</v>
      </c>
      <c r="V65" s="18"/>
      <c r="W65" s="188" t="s">
        <v>194</v>
      </c>
      <c r="X65" s="189" t="s">
        <v>194</v>
      </c>
      <c r="Y65" s="185" t="s">
        <v>194</v>
      </c>
      <c r="Z65" s="183" t="s">
        <v>194</v>
      </c>
      <c r="AA65" s="193" t="s">
        <v>194</v>
      </c>
      <c r="AB65" s="194" t="s">
        <v>194</v>
      </c>
      <c r="AC65" s="198" t="s">
        <v>194</v>
      </c>
      <c r="AD65" s="199" t="s">
        <v>194</v>
      </c>
      <c r="AE65" s="185" t="s">
        <v>194</v>
      </c>
      <c r="AF65" s="183" t="s">
        <v>194</v>
      </c>
      <c r="AG65" s="193" t="s">
        <v>194</v>
      </c>
      <c r="AH65" s="194" t="s">
        <v>194</v>
      </c>
    </row>
    <row r="66" spans="1:34" s="115" customFormat="1" x14ac:dyDescent="0.3">
      <c r="A66" s="118"/>
      <c r="B66" s="118"/>
      <c r="C66" s="118"/>
      <c r="D66" s="118"/>
      <c r="E66" s="144"/>
      <c r="F66" s="118"/>
      <c r="G66" s="118"/>
      <c r="H66" s="118"/>
      <c r="I66" s="118"/>
      <c r="J66" s="144"/>
      <c r="K66" s="118"/>
      <c r="L66" s="118"/>
      <c r="M66" s="119"/>
      <c r="N66" s="119"/>
      <c r="O66" s="119"/>
      <c r="P66" s="119"/>
      <c r="Q66" s="119"/>
      <c r="R66" s="119"/>
      <c r="S66" s="120"/>
      <c r="T66" s="120"/>
      <c r="U66" s="121"/>
      <c r="V66" s="18"/>
      <c r="W66" s="188" t="s">
        <v>194</v>
      </c>
      <c r="X66" s="189" t="s">
        <v>194</v>
      </c>
      <c r="Y66" s="185" t="s">
        <v>194</v>
      </c>
      <c r="Z66" s="183" t="s">
        <v>194</v>
      </c>
      <c r="AA66" s="193" t="s">
        <v>194</v>
      </c>
      <c r="AB66" s="194" t="s">
        <v>194</v>
      </c>
      <c r="AC66" s="198" t="s">
        <v>194</v>
      </c>
      <c r="AD66" s="199" t="s">
        <v>194</v>
      </c>
      <c r="AE66" s="185" t="s">
        <v>194</v>
      </c>
      <c r="AF66" s="183" t="s">
        <v>194</v>
      </c>
      <c r="AG66" s="193" t="s">
        <v>194</v>
      </c>
      <c r="AH66" s="194" t="s">
        <v>194</v>
      </c>
    </row>
    <row r="67" spans="1:34" s="130" customFormat="1" ht="14.4" x14ac:dyDescent="0.3">
      <c r="A67" s="278" t="s">
        <v>104</v>
      </c>
      <c r="B67" s="279"/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79"/>
      <c r="P67" s="279"/>
      <c r="Q67" s="280"/>
      <c r="R67" s="77">
        <f>R65+R51</f>
        <v>527053.60005088896</v>
      </c>
      <c r="S67" s="82"/>
      <c r="T67" s="82"/>
      <c r="U67" s="187">
        <f t="shared" si="62"/>
        <v>0.63030604878748331</v>
      </c>
      <c r="V67" s="129"/>
      <c r="W67" s="188" t="s">
        <v>194</v>
      </c>
      <c r="X67" s="189" t="s">
        <v>194</v>
      </c>
      <c r="Y67" s="185" t="s">
        <v>194</v>
      </c>
      <c r="Z67" s="183" t="s">
        <v>194</v>
      </c>
      <c r="AA67" s="193" t="s">
        <v>194</v>
      </c>
      <c r="AB67" s="194" t="s">
        <v>194</v>
      </c>
      <c r="AC67" s="198" t="s">
        <v>194</v>
      </c>
      <c r="AD67" s="199" t="s">
        <v>194</v>
      </c>
      <c r="AE67" s="185" t="s">
        <v>194</v>
      </c>
      <c r="AF67" s="183" t="s">
        <v>194</v>
      </c>
      <c r="AG67" s="193" t="s">
        <v>194</v>
      </c>
      <c r="AH67" s="194" t="s">
        <v>194</v>
      </c>
    </row>
    <row r="68" spans="1:34" s="115" customFormat="1" x14ac:dyDescent="0.3">
      <c r="A68" s="118"/>
      <c r="B68" s="118"/>
      <c r="C68" s="118"/>
      <c r="D68" s="118"/>
      <c r="E68" s="144"/>
      <c r="F68" s="118"/>
      <c r="G68" s="118"/>
      <c r="H68" s="118"/>
      <c r="I68" s="118"/>
      <c r="J68" s="144"/>
      <c r="K68" s="118"/>
      <c r="L68" s="118"/>
      <c r="M68" s="119"/>
      <c r="N68" s="119"/>
      <c r="O68" s="119"/>
      <c r="P68" s="119"/>
      <c r="Q68" s="119"/>
      <c r="R68" s="119"/>
      <c r="S68" s="120"/>
      <c r="T68" s="120"/>
      <c r="U68" s="121"/>
      <c r="V68" s="18"/>
      <c r="W68" s="188" t="s">
        <v>194</v>
      </c>
      <c r="X68" s="189" t="s">
        <v>194</v>
      </c>
      <c r="Y68" s="185" t="s">
        <v>194</v>
      </c>
      <c r="Z68" s="183" t="s">
        <v>194</v>
      </c>
      <c r="AA68" s="193" t="s">
        <v>194</v>
      </c>
      <c r="AB68" s="194" t="s">
        <v>194</v>
      </c>
      <c r="AC68" s="198" t="s">
        <v>194</v>
      </c>
      <c r="AD68" s="199" t="s">
        <v>194</v>
      </c>
      <c r="AE68" s="185" t="s">
        <v>194</v>
      </c>
      <c r="AF68" s="183" t="s">
        <v>194</v>
      </c>
      <c r="AG68" s="193" t="s">
        <v>194</v>
      </c>
      <c r="AH68" s="194" t="s">
        <v>194</v>
      </c>
    </row>
    <row r="69" spans="1:34" s="12" customFormat="1" x14ac:dyDescent="0.3">
      <c r="A69" s="123" t="s">
        <v>105</v>
      </c>
      <c r="B69" s="122" t="s">
        <v>106</v>
      </c>
      <c r="C69" s="123"/>
      <c r="D69" s="124"/>
      <c r="E69" s="147"/>
      <c r="F69" s="124"/>
      <c r="G69" s="124"/>
      <c r="H69" s="125">
        <f>SUM(H70:H77)</f>
        <v>41898.613333333342</v>
      </c>
      <c r="I69" s="125">
        <f>SUM(I70:I77)</f>
        <v>54595.21333333334</v>
      </c>
      <c r="J69" s="147"/>
      <c r="K69" s="125"/>
      <c r="L69" s="125"/>
      <c r="M69" s="125">
        <f>SUM(M70:M77)</f>
        <v>7836.4866666666667</v>
      </c>
      <c r="N69" s="125"/>
      <c r="O69" s="125"/>
      <c r="P69" s="125"/>
      <c r="Q69" s="128">
        <f>SUM(Q70:Q77)</f>
        <v>0</v>
      </c>
      <c r="R69" s="126">
        <f>SUM(R70:R77)</f>
        <v>64531.7</v>
      </c>
      <c r="S69" s="127"/>
      <c r="T69" s="127"/>
      <c r="U69" s="187">
        <f t="shared" si="62"/>
        <v>7.7173784306969806E-2</v>
      </c>
      <c r="V69" s="18"/>
      <c r="W69" s="188" t="s">
        <v>194</v>
      </c>
      <c r="X69" s="189" t="s">
        <v>194</v>
      </c>
      <c r="Y69" s="185" t="s">
        <v>194</v>
      </c>
      <c r="Z69" s="183" t="s">
        <v>194</v>
      </c>
      <c r="AA69" s="193" t="s">
        <v>194</v>
      </c>
      <c r="AB69" s="194" t="s">
        <v>194</v>
      </c>
      <c r="AC69" s="198" t="s">
        <v>194</v>
      </c>
      <c r="AD69" s="199" t="s">
        <v>194</v>
      </c>
      <c r="AE69" s="185" t="s">
        <v>194</v>
      </c>
      <c r="AF69" s="183" t="s">
        <v>194</v>
      </c>
      <c r="AG69" s="193" t="s">
        <v>194</v>
      </c>
      <c r="AH69" s="194" t="s">
        <v>194</v>
      </c>
    </row>
    <row r="70" spans="1:34" x14ac:dyDescent="0.3">
      <c r="A70" s="19" t="s">
        <v>107</v>
      </c>
      <c r="B70" s="20" t="s">
        <v>108</v>
      </c>
      <c r="C70" s="21" t="s">
        <v>109</v>
      </c>
      <c r="D70" s="22">
        <v>1</v>
      </c>
      <c r="E70" s="139"/>
      <c r="F70" s="100"/>
      <c r="G70" s="100"/>
      <c r="H70" s="99">
        <v>18251.98</v>
      </c>
      <c r="I70" s="98">
        <f t="shared" ref="I70:I77" si="63">(H70*D70)</f>
        <v>18251.98</v>
      </c>
      <c r="J70" s="151"/>
      <c r="K70" s="101"/>
      <c r="L70" s="101"/>
      <c r="M70" s="99">
        <v>401.91</v>
      </c>
      <c r="N70" s="99"/>
      <c r="O70" s="99"/>
      <c r="P70" s="99"/>
      <c r="Q70" s="100">
        <v>0</v>
      </c>
      <c r="R70" s="100">
        <f t="shared" ref="R70:R77" si="64">D70*(H70+M70+Q70)</f>
        <v>18653.89</v>
      </c>
      <c r="S70" s="24" t="s">
        <v>166</v>
      </c>
      <c r="T70" s="21">
        <v>93570</v>
      </c>
      <c r="U70" s="187">
        <f t="shared" si="62"/>
        <v>2.2308280788293829E-2</v>
      </c>
      <c r="V70" s="18"/>
      <c r="W70" s="190">
        <f>U70/6</f>
        <v>3.7180467980489715E-3</v>
      </c>
      <c r="X70" s="191">
        <f>R70/6</f>
        <v>3108.9816666666666</v>
      </c>
      <c r="Y70" s="182">
        <f>U70/6</f>
        <v>3.7180467980489715E-3</v>
      </c>
      <c r="Z70" s="186">
        <f>R70/6</f>
        <v>3108.9816666666666</v>
      </c>
      <c r="AA70" s="195">
        <f>U70/6</f>
        <v>3.7180467980489715E-3</v>
      </c>
      <c r="AB70" s="196">
        <f>R70/6</f>
        <v>3108.9816666666666</v>
      </c>
      <c r="AC70" s="200">
        <f>U70/6</f>
        <v>3.7180467980489715E-3</v>
      </c>
      <c r="AD70" s="201">
        <f>R70/6</f>
        <v>3108.9816666666666</v>
      </c>
      <c r="AE70" s="182">
        <f>U70/6</f>
        <v>3.7180467980489715E-3</v>
      </c>
      <c r="AF70" s="186">
        <f>R70/6</f>
        <v>3108.9816666666666</v>
      </c>
      <c r="AG70" s="195">
        <f>U70/6</f>
        <v>3.7180467980489715E-3</v>
      </c>
      <c r="AH70" s="196">
        <f>R70/6</f>
        <v>3108.9816666666666</v>
      </c>
    </row>
    <row r="71" spans="1:34" x14ac:dyDescent="0.3">
      <c r="A71" s="19" t="s">
        <v>110</v>
      </c>
      <c r="B71" s="20" t="s">
        <v>111</v>
      </c>
      <c r="C71" s="21" t="s">
        <v>109</v>
      </c>
      <c r="D71" s="22">
        <v>1</v>
      </c>
      <c r="E71" s="139"/>
      <c r="F71" s="100"/>
      <c r="G71" s="100"/>
      <c r="H71" s="99">
        <v>6771.5</v>
      </c>
      <c r="I71" s="98">
        <f t="shared" si="63"/>
        <v>6771.5</v>
      </c>
      <c r="J71" s="151"/>
      <c r="K71" s="101"/>
      <c r="L71" s="101"/>
      <c r="M71" s="99">
        <v>514.28</v>
      </c>
      <c r="N71" s="99"/>
      <c r="O71" s="99"/>
      <c r="P71" s="99"/>
      <c r="Q71" s="100">
        <v>0</v>
      </c>
      <c r="R71" s="100">
        <f t="shared" si="64"/>
        <v>7285.78</v>
      </c>
      <c r="S71" s="24" t="s">
        <v>166</v>
      </c>
      <c r="T71" s="21">
        <v>93572</v>
      </c>
      <c r="U71" s="187">
        <f t="shared" si="62"/>
        <v>8.7131009136290297E-3</v>
      </c>
      <c r="V71" s="18"/>
      <c r="W71" s="190">
        <f t="shared" ref="W71:W74" si="65">U71/6</f>
        <v>1.4521834856048384E-3</v>
      </c>
      <c r="X71" s="191">
        <f t="shared" ref="X71:X74" si="66">R71/6</f>
        <v>1214.2966666666666</v>
      </c>
      <c r="Y71" s="182">
        <f t="shared" ref="Y71:Y74" si="67">U71/6</f>
        <v>1.4521834856048384E-3</v>
      </c>
      <c r="Z71" s="186">
        <f t="shared" ref="Z71:Z74" si="68">R71/6</f>
        <v>1214.2966666666666</v>
      </c>
      <c r="AA71" s="195">
        <f t="shared" ref="AA71:AA74" si="69">U71/6</f>
        <v>1.4521834856048384E-3</v>
      </c>
      <c r="AB71" s="196">
        <f t="shared" ref="AB71:AB74" si="70">R71/6</f>
        <v>1214.2966666666666</v>
      </c>
      <c r="AC71" s="200">
        <f t="shared" ref="AC71:AC74" si="71">U71/6</f>
        <v>1.4521834856048384E-3</v>
      </c>
      <c r="AD71" s="201">
        <f t="shared" ref="AD71:AD74" si="72">R71/6</f>
        <v>1214.2966666666666</v>
      </c>
      <c r="AE71" s="182">
        <f t="shared" ref="AE71:AE74" si="73">U71/6</f>
        <v>1.4521834856048384E-3</v>
      </c>
      <c r="AF71" s="186">
        <f t="shared" ref="AF71:AF74" si="74">R71/6</f>
        <v>1214.2966666666666</v>
      </c>
      <c r="AG71" s="195">
        <f t="shared" ref="AG71:AG74" si="75">U71/6</f>
        <v>1.4521834856048384E-3</v>
      </c>
      <c r="AH71" s="196">
        <f t="shared" ref="AH71:AH74" si="76">R71/6</f>
        <v>1214.2966666666666</v>
      </c>
    </row>
    <row r="72" spans="1:34" x14ac:dyDescent="0.3">
      <c r="A72" s="19" t="s">
        <v>112</v>
      </c>
      <c r="B72" s="20" t="s">
        <v>113</v>
      </c>
      <c r="C72" s="21" t="s">
        <v>109</v>
      </c>
      <c r="D72" s="22">
        <v>1</v>
      </c>
      <c r="E72" s="139"/>
      <c r="F72" s="100"/>
      <c r="G72" s="100"/>
      <c r="H72" s="99">
        <v>4897.91</v>
      </c>
      <c r="I72" s="98">
        <f t="shared" si="63"/>
        <v>4897.91</v>
      </c>
      <c r="J72" s="151"/>
      <c r="K72" s="101"/>
      <c r="L72" s="101"/>
      <c r="M72" s="99">
        <v>1591.12</v>
      </c>
      <c r="N72" s="99"/>
      <c r="O72" s="99"/>
      <c r="P72" s="99"/>
      <c r="Q72" s="100">
        <v>0</v>
      </c>
      <c r="R72" s="100">
        <f t="shared" si="64"/>
        <v>6489.03</v>
      </c>
      <c r="S72" s="24" t="s">
        <v>166</v>
      </c>
      <c r="T72" s="21">
        <v>101399</v>
      </c>
      <c r="U72" s="187">
        <f t="shared" si="62"/>
        <v>7.7602635848963578E-3</v>
      </c>
      <c r="V72" s="18"/>
      <c r="W72" s="190">
        <f t="shared" si="65"/>
        <v>1.293377264149393E-3</v>
      </c>
      <c r="X72" s="191">
        <f t="shared" si="66"/>
        <v>1081.5049999999999</v>
      </c>
      <c r="Y72" s="182">
        <f t="shared" si="67"/>
        <v>1.293377264149393E-3</v>
      </c>
      <c r="Z72" s="186">
        <f t="shared" si="68"/>
        <v>1081.5049999999999</v>
      </c>
      <c r="AA72" s="195">
        <f t="shared" si="69"/>
        <v>1.293377264149393E-3</v>
      </c>
      <c r="AB72" s="196">
        <f t="shared" si="70"/>
        <v>1081.5049999999999</v>
      </c>
      <c r="AC72" s="200">
        <f t="shared" si="71"/>
        <v>1.293377264149393E-3</v>
      </c>
      <c r="AD72" s="201">
        <f t="shared" si="72"/>
        <v>1081.5049999999999</v>
      </c>
      <c r="AE72" s="182">
        <f t="shared" si="73"/>
        <v>1.293377264149393E-3</v>
      </c>
      <c r="AF72" s="186">
        <f t="shared" si="74"/>
        <v>1081.5049999999999</v>
      </c>
      <c r="AG72" s="195">
        <f t="shared" si="75"/>
        <v>1.293377264149393E-3</v>
      </c>
      <c r="AH72" s="196">
        <f t="shared" si="76"/>
        <v>1081.5049999999999</v>
      </c>
    </row>
    <row r="73" spans="1:34" x14ac:dyDescent="0.3">
      <c r="A73" s="19" t="s">
        <v>114</v>
      </c>
      <c r="B73" s="20" t="s">
        <v>115</v>
      </c>
      <c r="C73" s="21" t="s">
        <v>109</v>
      </c>
      <c r="D73" s="22">
        <v>1</v>
      </c>
      <c r="E73" s="139"/>
      <c r="F73" s="100"/>
      <c r="G73" s="100"/>
      <c r="H73" s="99">
        <v>3359.12</v>
      </c>
      <c r="I73" s="98">
        <f t="shared" si="63"/>
        <v>3359.12</v>
      </c>
      <c r="J73" s="151"/>
      <c r="K73" s="101"/>
      <c r="L73" s="101"/>
      <c r="M73" s="99">
        <v>1591.12</v>
      </c>
      <c r="N73" s="99"/>
      <c r="O73" s="99"/>
      <c r="P73" s="99"/>
      <c r="Q73" s="100">
        <v>0</v>
      </c>
      <c r="R73" s="100">
        <f t="shared" si="64"/>
        <v>4950.24</v>
      </c>
      <c r="S73" s="24" t="s">
        <v>166</v>
      </c>
      <c r="T73" s="21">
        <v>101375</v>
      </c>
      <c r="U73" s="187">
        <f t="shared" si="62"/>
        <v>5.920016891353152E-3</v>
      </c>
      <c r="V73" s="18"/>
      <c r="W73" s="190">
        <f t="shared" si="65"/>
        <v>9.8666948189219208E-4</v>
      </c>
      <c r="X73" s="191">
        <f t="shared" si="66"/>
        <v>825.04</v>
      </c>
      <c r="Y73" s="182">
        <f t="shared" si="67"/>
        <v>9.8666948189219208E-4</v>
      </c>
      <c r="Z73" s="186">
        <f t="shared" si="68"/>
        <v>825.04</v>
      </c>
      <c r="AA73" s="195">
        <f t="shared" si="69"/>
        <v>9.8666948189219208E-4</v>
      </c>
      <c r="AB73" s="196">
        <f t="shared" si="70"/>
        <v>825.04</v>
      </c>
      <c r="AC73" s="200">
        <f t="shared" si="71"/>
        <v>9.8666948189219208E-4</v>
      </c>
      <c r="AD73" s="201">
        <f t="shared" si="72"/>
        <v>825.04</v>
      </c>
      <c r="AE73" s="182">
        <f t="shared" si="73"/>
        <v>9.8666948189219208E-4</v>
      </c>
      <c r="AF73" s="186">
        <f t="shared" si="74"/>
        <v>825.04</v>
      </c>
      <c r="AG73" s="195">
        <f t="shared" si="75"/>
        <v>9.8666948189219208E-4</v>
      </c>
      <c r="AH73" s="196">
        <f t="shared" si="76"/>
        <v>825.04</v>
      </c>
    </row>
    <row r="74" spans="1:34" x14ac:dyDescent="0.3">
      <c r="A74" s="19" t="s">
        <v>116</v>
      </c>
      <c r="B74" s="20" t="s">
        <v>115</v>
      </c>
      <c r="C74" s="21" t="s">
        <v>109</v>
      </c>
      <c r="D74" s="22">
        <v>1</v>
      </c>
      <c r="E74" s="139"/>
      <c r="F74" s="100"/>
      <c r="G74" s="100"/>
      <c r="H74" s="99">
        <v>3359.12</v>
      </c>
      <c r="I74" s="98">
        <f t="shared" si="63"/>
        <v>3359.12</v>
      </c>
      <c r="J74" s="151"/>
      <c r="K74" s="101"/>
      <c r="L74" s="101"/>
      <c r="M74" s="99">
        <v>1591.12</v>
      </c>
      <c r="N74" s="99"/>
      <c r="O74" s="99"/>
      <c r="P74" s="99"/>
      <c r="Q74" s="100">
        <v>0</v>
      </c>
      <c r="R74" s="100">
        <f t="shared" si="64"/>
        <v>4950.24</v>
      </c>
      <c r="S74" s="24" t="s">
        <v>166</v>
      </c>
      <c r="T74" s="21">
        <v>101375</v>
      </c>
      <c r="U74" s="187">
        <f t="shared" si="62"/>
        <v>5.920016891353152E-3</v>
      </c>
      <c r="V74" s="18"/>
      <c r="W74" s="190">
        <f t="shared" si="65"/>
        <v>9.8666948189219208E-4</v>
      </c>
      <c r="X74" s="191">
        <f t="shared" si="66"/>
        <v>825.04</v>
      </c>
      <c r="Y74" s="182">
        <f t="shared" si="67"/>
        <v>9.8666948189219208E-4</v>
      </c>
      <c r="Z74" s="186">
        <f t="shared" si="68"/>
        <v>825.04</v>
      </c>
      <c r="AA74" s="195">
        <f t="shared" si="69"/>
        <v>9.8666948189219208E-4</v>
      </c>
      <c r="AB74" s="196">
        <f t="shared" si="70"/>
        <v>825.04</v>
      </c>
      <c r="AC74" s="200">
        <f t="shared" si="71"/>
        <v>9.8666948189219208E-4</v>
      </c>
      <c r="AD74" s="201">
        <f t="shared" si="72"/>
        <v>825.04</v>
      </c>
      <c r="AE74" s="182">
        <f t="shared" si="73"/>
        <v>9.8666948189219208E-4</v>
      </c>
      <c r="AF74" s="186">
        <f t="shared" si="74"/>
        <v>825.04</v>
      </c>
      <c r="AG74" s="195">
        <f t="shared" si="75"/>
        <v>9.8666948189219208E-4</v>
      </c>
      <c r="AH74" s="196">
        <f t="shared" si="76"/>
        <v>825.04</v>
      </c>
    </row>
    <row r="75" spans="1:34" x14ac:dyDescent="0.3">
      <c r="A75" s="19" t="s">
        <v>118</v>
      </c>
      <c r="B75" s="20" t="s">
        <v>117</v>
      </c>
      <c r="C75" s="21" t="s">
        <v>87</v>
      </c>
      <c r="D75" s="22">
        <v>1</v>
      </c>
      <c r="E75" s="139">
        <v>0</v>
      </c>
      <c r="F75" s="100">
        <v>312</v>
      </c>
      <c r="G75" s="100">
        <v>0</v>
      </c>
      <c r="H75" s="98">
        <f t="shared" ref="H75:H77" si="77">(E75+F75+G75)/3</f>
        <v>104</v>
      </c>
      <c r="I75" s="98">
        <f t="shared" si="63"/>
        <v>104</v>
      </c>
      <c r="J75" s="139">
        <v>1000</v>
      </c>
      <c r="K75" s="100">
        <v>1040</v>
      </c>
      <c r="L75" s="100">
        <v>647</v>
      </c>
      <c r="M75" s="100">
        <f t="shared" ref="M75:M77" si="78">(J75+K75+L75)/3</f>
        <v>895.66666666666663</v>
      </c>
      <c r="N75" s="100">
        <v>0</v>
      </c>
      <c r="O75" s="100">
        <v>0</v>
      </c>
      <c r="P75" s="100">
        <v>0</v>
      </c>
      <c r="Q75" s="100">
        <f t="shared" ref="Q75:Q77" si="79">(N75+O75+P75)/3</f>
        <v>0</v>
      </c>
      <c r="R75" s="100">
        <f t="shared" si="64"/>
        <v>999.66666666666663</v>
      </c>
      <c r="S75" s="24" t="s">
        <v>67</v>
      </c>
      <c r="T75" s="19" t="str">
        <f>A75</f>
        <v>8.1.6</v>
      </c>
      <c r="U75" s="187">
        <f t="shared" si="62"/>
        <v>1.1955063900718687E-3</v>
      </c>
      <c r="V75" s="18"/>
      <c r="W75" s="190">
        <f>U75</f>
        <v>1.1955063900718687E-3</v>
      </c>
      <c r="X75" s="191">
        <f>R75</f>
        <v>999.66666666666663</v>
      </c>
      <c r="Y75" s="182"/>
      <c r="Z75" s="186"/>
      <c r="AA75" s="195"/>
      <c r="AB75" s="196"/>
      <c r="AC75" s="200"/>
      <c r="AD75" s="201"/>
      <c r="AE75" s="182"/>
      <c r="AF75" s="186"/>
      <c r="AG75" s="195"/>
      <c r="AH75" s="196"/>
    </row>
    <row r="76" spans="1:34" x14ac:dyDescent="0.3">
      <c r="A76" s="19" t="s">
        <v>120</v>
      </c>
      <c r="B76" s="20" t="s">
        <v>119</v>
      </c>
      <c r="C76" s="21" t="s">
        <v>87</v>
      </c>
      <c r="D76" s="22">
        <v>1</v>
      </c>
      <c r="E76" s="139">
        <v>4000</v>
      </c>
      <c r="F76" s="100">
        <v>1604.49</v>
      </c>
      <c r="G76" s="100">
        <v>9800</v>
      </c>
      <c r="H76" s="98">
        <f t="shared" si="77"/>
        <v>5134.83</v>
      </c>
      <c r="I76" s="98">
        <f t="shared" si="63"/>
        <v>5134.83</v>
      </c>
      <c r="J76" s="139">
        <v>0</v>
      </c>
      <c r="K76" s="100">
        <v>3743.81</v>
      </c>
      <c r="L76" s="100">
        <v>0</v>
      </c>
      <c r="M76" s="100">
        <f t="shared" si="78"/>
        <v>1247.9366666666667</v>
      </c>
      <c r="N76" s="100">
        <v>0</v>
      </c>
      <c r="O76" s="100">
        <v>0</v>
      </c>
      <c r="P76" s="100">
        <v>0</v>
      </c>
      <c r="Q76" s="100">
        <f t="shared" si="79"/>
        <v>0</v>
      </c>
      <c r="R76" s="100">
        <f t="shared" si="64"/>
        <v>6382.7666666666664</v>
      </c>
      <c r="S76" s="24" t="s">
        <v>67</v>
      </c>
      <c r="T76" s="180" t="str">
        <f>A76</f>
        <v>8.1.7</v>
      </c>
      <c r="U76" s="187">
        <f t="shared" si="62"/>
        <v>7.6331827305812488E-3</v>
      </c>
      <c r="V76" s="18"/>
      <c r="W76" s="190"/>
      <c r="X76" s="191"/>
      <c r="Y76" s="182"/>
      <c r="Z76" s="186"/>
      <c r="AA76" s="195"/>
      <c r="AB76" s="196"/>
      <c r="AC76" s="200"/>
      <c r="AD76" s="201"/>
      <c r="AE76" s="182"/>
      <c r="AF76" s="186"/>
      <c r="AG76" s="195">
        <f>U76</f>
        <v>7.6331827305812488E-3</v>
      </c>
      <c r="AH76" s="196">
        <f>R76</f>
        <v>6382.7666666666664</v>
      </c>
    </row>
    <row r="77" spans="1:34" x14ac:dyDescent="0.3">
      <c r="A77" s="19" t="s">
        <v>182</v>
      </c>
      <c r="B77" s="20" t="s">
        <v>121</v>
      </c>
      <c r="C77" s="21" t="s">
        <v>15</v>
      </c>
      <c r="D77" s="22">
        <v>631</v>
      </c>
      <c r="E77" s="139">
        <v>15</v>
      </c>
      <c r="F77" s="100">
        <v>23.59</v>
      </c>
      <c r="G77" s="100">
        <v>21.87</v>
      </c>
      <c r="H77" s="98">
        <f t="shared" si="77"/>
        <v>20.153333333333336</v>
      </c>
      <c r="I77" s="98">
        <f t="shared" si="63"/>
        <v>12716.753333333336</v>
      </c>
      <c r="J77" s="139">
        <v>10</v>
      </c>
      <c r="K77" s="100">
        <v>0</v>
      </c>
      <c r="L77" s="100">
        <v>0</v>
      </c>
      <c r="M77" s="100">
        <f t="shared" si="78"/>
        <v>3.3333333333333335</v>
      </c>
      <c r="N77" s="100">
        <v>0</v>
      </c>
      <c r="O77" s="100">
        <v>0</v>
      </c>
      <c r="P77" s="100">
        <v>0</v>
      </c>
      <c r="Q77" s="100">
        <f t="shared" si="79"/>
        <v>0</v>
      </c>
      <c r="R77" s="100">
        <f t="shared" si="64"/>
        <v>14820.086666666668</v>
      </c>
      <c r="S77" s="24" t="s">
        <v>67</v>
      </c>
      <c r="T77" s="180" t="str">
        <f>A77</f>
        <v>8.1.8</v>
      </c>
      <c r="U77" s="187">
        <f t="shared" si="62"/>
        <v>1.7723416116791166E-2</v>
      </c>
      <c r="V77" s="18"/>
      <c r="W77" s="190"/>
      <c r="X77" s="191"/>
      <c r="Y77" s="182"/>
      <c r="Z77" s="186"/>
      <c r="AA77" s="195"/>
      <c r="AB77" s="196"/>
      <c r="AC77" s="200"/>
      <c r="AD77" s="201"/>
      <c r="AE77" s="182"/>
      <c r="AF77" s="186"/>
      <c r="AG77" s="195">
        <f>U77</f>
        <v>1.7723416116791166E-2</v>
      </c>
      <c r="AH77" s="196">
        <f>R77</f>
        <v>14820.086666666668</v>
      </c>
    </row>
    <row r="78" spans="1:34" ht="14.4" x14ac:dyDescent="0.3">
      <c r="A78" s="96" t="s">
        <v>122</v>
      </c>
      <c r="B78" s="97" t="s">
        <v>170</v>
      </c>
      <c r="C78" s="74"/>
      <c r="D78" s="75"/>
      <c r="E78" s="148"/>
      <c r="F78" s="164"/>
      <c r="G78" s="164"/>
      <c r="H78" s="76"/>
      <c r="I78" s="77">
        <f>SUM(I69+I57+I53+I49+I46+I39+I34+I22+I6)</f>
        <v>231168.86275911116</v>
      </c>
      <c r="J78" s="148"/>
      <c r="K78" s="164"/>
      <c r="L78" s="164"/>
      <c r="M78" s="77"/>
      <c r="N78" s="77"/>
      <c r="O78" s="77"/>
      <c r="P78" s="77"/>
      <c r="Q78" s="77"/>
      <c r="R78" s="77"/>
      <c r="S78" s="77"/>
      <c r="T78" s="77"/>
      <c r="U78" s="187">
        <f t="shared" si="62"/>
        <v>0</v>
      </c>
      <c r="V78" s="18"/>
      <c r="W78" s="188" t="s">
        <v>194</v>
      </c>
      <c r="X78" s="189" t="s">
        <v>194</v>
      </c>
      <c r="Y78" s="185" t="s">
        <v>194</v>
      </c>
      <c r="Z78" s="183" t="s">
        <v>194</v>
      </c>
      <c r="AA78" s="193" t="s">
        <v>194</v>
      </c>
      <c r="AB78" s="194" t="s">
        <v>194</v>
      </c>
      <c r="AC78" s="198" t="s">
        <v>194</v>
      </c>
      <c r="AD78" s="199" t="s">
        <v>194</v>
      </c>
      <c r="AE78" s="185" t="s">
        <v>194</v>
      </c>
      <c r="AF78" s="183" t="s">
        <v>194</v>
      </c>
      <c r="AG78" s="193" t="s">
        <v>194</v>
      </c>
      <c r="AH78" s="194" t="s">
        <v>194</v>
      </c>
    </row>
    <row r="79" spans="1:34" s="12" customFormat="1" ht="13.5" customHeight="1" x14ac:dyDescent="0.3">
      <c r="A79" s="96" t="s">
        <v>125</v>
      </c>
      <c r="B79" s="97" t="s">
        <v>123</v>
      </c>
      <c r="C79" s="80" t="s">
        <v>124</v>
      </c>
      <c r="D79" s="131">
        <v>0.01</v>
      </c>
      <c r="E79" s="148"/>
      <c r="F79" s="164"/>
      <c r="G79" s="164"/>
      <c r="H79" s="76"/>
      <c r="I79" s="76"/>
      <c r="J79" s="148"/>
      <c r="K79" s="164"/>
      <c r="L79" s="164"/>
      <c r="M79" s="77"/>
      <c r="N79" s="77"/>
      <c r="O79" s="77"/>
      <c r="P79" s="77"/>
      <c r="Q79" s="77"/>
      <c r="R79" s="77">
        <f>D79*(R67+R69)</f>
        <v>5915.8530005088896</v>
      </c>
      <c r="S79" s="78"/>
      <c r="T79" s="79"/>
      <c r="U79" s="187">
        <f t="shared" si="62"/>
        <v>7.0747983309445307E-3</v>
      </c>
      <c r="V79" s="18"/>
      <c r="W79" s="188">
        <f>U79</f>
        <v>7.0747983309445307E-3</v>
      </c>
      <c r="X79" s="189">
        <f>R79</f>
        <v>5915.8530005088896</v>
      </c>
      <c r="Y79" s="185" t="s">
        <v>194</v>
      </c>
      <c r="Z79" s="183" t="s">
        <v>194</v>
      </c>
      <c r="AA79" s="193" t="s">
        <v>194</v>
      </c>
      <c r="AB79" s="194" t="s">
        <v>194</v>
      </c>
      <c r="AC79" s="198" t="s">
        <v>194</v>
      </c>
      <c r="AD79" s="199" t="s">
        <v>194</v>
      </c>
      <c r="AE79" s="185" t="s">
        <v>194</v>
      </c>
      <c r="AF79" s="183" t="s">
        <v>194</v>
      </c>
      <c r="AG79" s="193" t="s">
        <v>194</v>
      </c>
      <c r="AH79" s="194" t="s">
        <v>194</v>
      </c>
    </row>
    <row r="80" spans="1:34" ht="28.8" x14ac:dyDescent="0.3">
      <c r="A80" s="96" t="s">
        <v>169</v>
      </c>
      <c r="B80" s="97" t="s">
        <v>188</v>
      </c>
      <c r="C80" s="80" t="s">
        <v>124</v>
      </c>
      <c r="D80" s="81">
        <v>1</v>
      </c>
      <c r="E80" s="149"/>
      <c r="F80" s="165"/>
      <c r="G80" s="165"/>
      <c r="H80" s="85">
        <f>BDI!E19</f>
        <v>0.28254126825818404</v>
      </c>
      <c r="I80" s="85"/>
      <c r="J80" s="149"/>
      <c r="K80" s="165"/>
      <c r="L80" s="165"/>
      <c r="M80" s="77"/>
      <c r="N80" s="77"/>
      <c r="O80" s="77"/>
      <c r="P80" s="77"/>
      <c r="Q80" s="77"/>
      <c r="R80" s="77">
        <f>(R67+R69+R79)*H80</f>
        <v>168818.73356886927</v>
      </c>
      <c r="S80" s="82"/>
      <c r="T80" s="83"/>
      <c r="U80" s="187">
        <f t="shared" si="62"/>
        <v>0.20189117180269109</v>
      </c>
      <c r="V80" s="18"/>
      <c r="W80" s="188">
        <f t="shared" ref="W80:AH80" si="80">(SUM(W6:W79)*$H$80)</f>
        <v>3.0876848247128184E-2</v>
      </c>
      <c r="X80" s="189">
        <f t="shared" si="80"/>
        <v>25818.813032461978</v>
      </c>
      <c r="Y80" s="185">
        <f t="shared" si="80"/>
        <v>2.426115379898745E-2</v>
      </c>
      <c r="Z80" s="183">
        <f t="shared" si="80"/>
        <v>20286.856640108068</v>
      </c>
      <c r="AA80" s="193">
        <f t="shared" si="80"/>
        <v>4.5925969276835593E-2</v>
      </c>
      <c r="AB80" s="194">
        <f t="shared" si="80"/>
        <v>38402.689439117145</v>
      </c>
      <c r="AC80" s="198">
        <f t="shared" si="80"/>
        <v>4.5925969276835593E-2</v>
      </c>
      <c r="AD80" s="199">
        <f t="shared" si="80"/>
        <v>38402.689439117145</v>
      </c>
      <c r="AE80" s="185">
        <f t="shared" si="80"/>
        <v>2.3868472802926807E-2</v>
      </c>
      <c r="AF80" s="183">
        <f t="shared" si="80"/>
        <v>19958.501973286344</v>
      </c>
      <c r="AG80" s="193">
        <f t="shared" si="80"/>
        <v>3.1032758399977416E-2</v>
      </c>
      <c r="AH80" s="194">
        <f t="shared" si="80"/>
        <v>25949.183044778609</v>
      </c>
    </row>
    <row r="81" spans="1:37" s="12" customFormat="1" ht="14.4" x14ac:dyDescent="0.3">
      <c r="A81" s="273" t="s">
        <v>245</v>
      </c>
      <c r="B81" s="273"/>
      <c r="C81" s="273"/>
      <c r="D81" s="273"/>
      <c r="E81" s="273"/>
      <c r="F81" s="273"/>
      <c r="G81" s="273"/>
      <c r="H81" s="273"/>
      <c r="I81" s="111"/>
      <c r="J81" s="153"/>
      <c r="K81" s="166"/>
      <c r="L81" s="166"/>
      <c r="M81" s="112"/>
      <c r="N81" s="112"/>
      <c r="O81" s="112"/>
      <c r="P81" s="112"/>
      <c r="Q81" s="112"/>
      <c r="R81" s="112">
        <f>R69+R67+R79+R80</f>
        <v>766319.88662026706</v>
      </c>
      <c r="S81" s="113"/>
      <c r="T81" s="113"/>
      <c r="U81" s="187">
        <f t="shared" si="62"/>
        <v>0.91644580322808866</v>
      </c>
      <c r="W81" s="188">
        <f>SUM(W7:W80)</f>
        <v>0.14015946185426029</v>
      </c>
      <c r="X81" s="189">
        <f t="shared" ref="X81:AH81" si="81">SUM(X7:X80)</f>
        <v>117199.49236341531</v>
      </c>
      <c r="Y81" s="185">
        <f t="shared" si="81"/>
        <v>0.110128800491993</v>
      </c>
      <c r="Z81" s="183">
        <f t="shared" si="81"/>
        <v>92088.249637219182</v>
      </c>
      <c r="AA81" s="193">
        <f t="shared" si="81"/>
        <v>0.20847202691988687</v>
      </c>
      <c r="AB81" s="194">
        <f t="shared" si="81"/>
        <v>174321.55777245053</v>
      </c>
      <c r="AC81" s="198">
        <f t="shared" si="81"/>
        <v>0.20847202691988687</v>
      </c>
      <c r="AD81" s="199">
        <f t="shared" si="81"/>
        <v>174321.55777245053</v>
      </c>
      <c r="AE81" s="185">
        <f t="shared" si="81"/>
        <v>0.10834630129881924</v>
      </c>
      <c r="AF81" s="183">
        <f t="shared" si="81"/>
        <v>90597.747334953005</v>
      </c>
      <c r="AG81" s="193">
        <f t="shared" si="81"/>
        <v>0.14086718574324225</v>
      </c>
      <c r="AH81" s="194">
        <f t="shared" si="81"/>
        <v>117791.2817397786</v>
      </c>
      <c r="AJ81" s="184"/>
      <c r="AK81" s="241"/>
    </row>
    <row r="82" spans="1:37" s="12" customFormat="1" ht="28.8" x14ac:dyDescent="0.3">
      <c r="A82" s="232" t="s">
        <v>257</v>
      </c>
      <c r="B82" s="233" t="s">
        <v>260</v>
      </c>
      <c r="C82" s="234" t="s">
        <v>87</v>
      </c>
      <c r="D82" s="235">
        <v>1</v>
      </c>
      <c r="E82" s="234"/>
      <c r="F82" s="234"/>
      <c r="G82" s="234"/>
      <c r="H82" s="240">
        <f>PV!F22</f>
        <v>9.1172000000000003E-2</v>
      </c>
      <c r="I82" s="234"/>
      <c r="J82" s="236"/>
      <c r="K82" s="237"/>
      <c r="L82" s="237"/>
      <c r="M82" s="238"/>
      <c r="N82" s="238"/>
      <c r="O82" s="238"/>
      <c r="P82" s="238"/>
      <c r="Q82" s="238"/>
      <c r="R82" s="238">
        <f>R81*H82</f>
        <v>69866.916702942995</v>
      </c>
      <c r="S82" s="239"/>
      <c r="T82" s="239"/>
      <c r="U82" s="187">
        <f t="shared" si="62"/>
        <v>8.355419677191131E-2</v>
      </c>
      <c r="W82" s="188">
        <f>U82/2</f>
        <v>4.1777098385955655E-2</v>
      </c>
      <c r="X82" s="189">
        <f>R82/2</f>
        <v>34933.458351471498</v>
      </c>
      <c r="Y82" s="185">
        <f>U82/2</f>
        <v>4.1777098385955655E-2</v>
      </c>
      <c r="Z82" s="183">
        <f>R82/2</f>
        <v>34933.458351471498</v>
      </c>
      <c r="AA82" s="193" t="s">
        <v>194</v>
      </c>
      <c r="AB82" s="194" t="s">
        <v>194</v>
      </c>
      <c r="AC82" s="198" t="s">
        <v>194</v>
      </c>
      <c r="AD82" s="199" t="s">
        <v>194</v>
      </c>
      <c r="AE82" s="185" t="s">
        <v>194</v>
      </c>
      <c r="AF82" s="183" t="s">
        <v>194</v>
      </c>
      <c r="AG82" s="193" t="s">
        <v>194</v>
      </c>
      <c r="AH82" s="194" t="s">
        <v>194</v>
      </c>
      <c r="AJ82" s="184"/>
    </row>
    <row r="83" spans="1:37" s="12" customFormat="1" ht="14.4" x14ac:dyDescent="0.3">
      <c r="A83" s="273" t="s">
        <v>246</v>
      </c>
      <c r="B83" s="273"/>
      <c r="C83" s="273"/>
      <c r="D83" s="273"/>
      <c r="E83" s="273"/>
      <c r="F83" s="273"/>
      <c r="G83" s="273"/>
      <c r="H83" s="273"/>
      <c r="I83" s="111"/>
      <c r="J83" s="153"/>
      <c r="K83" s="166"/>
      <c r="L83" s="166"/>
      <c r="M83" s="112"/>
      <c r="N83" s="112"/>
      <c r="O83" s="112"/>
      <c r="P83" s="112"/>
      <c r="Q83" s="112"/>
      <c r="R83" s="112">
        <f>R81+R82</f>
        <v>836186.8033232101</v>
      </c>
      <c r="S83" s="113"/>
      <c r="T83" s="113"/>
      <c r="U83" s="187">
        <f>R83/$R$83</f>
        <v>1</v>
      </c>
      <c r="W83" s="188">
        <f>W81+W82</f>
        <v>0.18193656024021593</v>
      </c>
      <c r="X83" s="189">
        <f>X81+X82</f>
        <v>152132.9507148868</v>
      </c>
      <c r="Y83" s="185">
        <f>Y81+Y82</f>
        <v>0.15190589887794864</v>
      </c>
      <c r="Z83" s="183">
        <f>Z81+Z82</f>
        <v>127021.70798869067</v>
      </c>
      <c r="AA83" s="193">
        <f t="shared" ref="AA83:AH83" si="82">AA81</f>
        <v>0.20847202691988687</v>
      </c>
      <c r="AB83" s="194">
        <f t="shared" si="82"/>
        <v>174321.55777245053</v>
      </c>
      <c r="AC83" s="198">
        <f t="shared" si="82"/>
        <v>0.20847202691988687</v>
      </c>
      <c r="AD83" s="199">
        <f t="shared" si="82"/>
        <v>174321.55777245053</v>
      </c>
      <c r="AE83" s="185">
        <f t="shared" si="82"/>
        <v>0.10834630129881924</v>
      </c>
      <c r="AF83" s="183">
        <f t="shared" si="82"/>
        <v>90597.747334953005</v>
      </c>
      <c r="AG83" s="193">
        <f t="shared" si="82"/>
        <v>0.14086718574324225</v>
      </c>
      <c r="AH83" s="194">
        <f t="shared" si="82"/>
        <v>117791.2817397786</v>
      </c>
      <c r="AJ83" s="184"/>
      <c r="AK83" s="241"/>
    </row>
    <row r="84" spans="1:37" s="12" customFormat="1" ht="12.75" customHeight="1" x14ac:dyDescent="0.3">
      <c r="A84" s="274" t="s">
        <v>127</v>
      </c>
      <c r="B84" s="274"/>
      <c r="C84" s="274"/>
      <c r="D84" s="274"/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4"/>
      <c r="U84" s="274"/>
      <c r="X84" s="244"/>
      <c r="Z84" s="244"/>
      <c r="AA84" s="250"/>
      <c r="AB84" s="251"/>
      <c r="AC84" s="256"/>
      <c r="AD84" s="257"/>
      <c r="AF84" s="244"/>
      <c r="AG84" s="250"/>
      <c r="AH84" s="251"/>
    </row>
    <row r="85" spans="1:37" s="12" customFormat="1" ht="12.75" customHeight="1" x14ac:dyDescent="0.3">
      <c r="A85" s="272" t="s">
        <v>128</v>
      </c>
      <c r="B85" s="272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X85" s="244"/>
      <c r="Z85" s="244"/>
      <c r="AA85" s="250"/>
      <c r="AB85" s="251"/>
      <c r="AC85" s="256"/>
      <c r="AD85" s="257"/>
      <c r="AF85" s="244"/>
      <c r="AG85" s="250"/>
      <c r="AH85" s="251"/>
    </row>
    <row r="86" spans="1:37" s="12" customFormat="1" ht="12.75" customHeight="1" x14ac:dyDescent="0.3">
      <c r="A86" s="281" t="s">
        <v>129</v>
      </c>
      <c r="B86" s="281"/>
      <c r="C86" s="281"/>
      <c r="D86" s="281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X86" s="244"/>
      <c r="Z86" s="244"/>
      <c r="AA86" s="250"/>
      <c r="AB86" s="251"/>
      <c r="AC86" s="256"/>
      <c r="AD86" s="257"/>
      <c r="AF86" s="244"/>
      <c r="AG86" s="250"/>
      <c r="AH86" s="251"/>
    </row>
    <row r="87" spans="1:37" ht="12.75" customHeight="1" x14ac:dyDescent="0.3">
      <c r="A87" s="272" t="s">
        <v>130</v>
      </c>
      <c r="B87" s="272"/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</row>
    <row r="88" spans="1:37" x14ac:dyDescent="0.3">
      <c r="A88" s="272" t="s">
        <v>131</v>
      </c>
      <c r="B88" s="272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</row>
    <row r="91" spans="1:37" x14ac:dyDescent="0.3">
      <c r="U91" s="202"/>
    </row>
  </sheetData>
  <sheetProtection algorithmName="SHA-512" hashValue="PWuh0iTnbh/ammUFIOUrgRxf60T8zG6D3fxZAZ48//4i0GWpk2vlz6Gbvldgr6VYbN42YDc+981Y81TH3NVqGg==" saltValue="5jjBwZ8UM31JP/zvedE+xw==" spinCount="100000" sheet="1" formatCells="0" formatColumns="0" formatRows="0" insertColumns="0" insertRows="0" insertHyperlinks="0" deleteColumns="0" deleteRows="0" sort="0" pivotTables="0"/>
  <mergeCells count="19">
    <mergeCell ref="N3:P3"/>
    <mergeCell ref="J3:L3"/>
    <mergeCell ref="E3:G3"/>
    <mergeCell ref="A88:U88"/>
    <mergeCell ref="A81:H81"/>
    <mergeCell ref="A84:U84"/>
    <mergeCell ref="A85:U85"/>
    <mergeCell ref="A51:Q51"/>
    <mergeCell ref="A65:Q65"/>
    <mergeCell ref="A67:Q67"/>
    <mergeCell ref="A86:U86"/>
    <mergeCell ref="A87:U87"/>
    <mergeCell ref="A83:H83"/>
    <mergeCell ref="AG4:AH4"/>
    <mergeCell ref="W4:X4"/>
    <mergeCell ref="Y4:Z4"/>
    <mergeCell ref="AA4:AB4"/>
    <mergeCell ref="AC4:AD4"/>
    <mergeCell ref="AE4:AF4"/>
  </mergeCells>
  <phoneticPr fontId="21" type="noConversion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ignoredErrors>
    <ignoredError sqref="H57:I57 M57 R5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0C60-7E15-4AFC-AF88-839E1386830E}">
  <dimension ref="A1:V51"/>
  <sheetViews>
    <sheetView zoomScale="85" zoomScaleNormal="85" workbookViewId="0">
      <selection activeCell="I21" sqref="I21"/>
    </sheetView>
  </sheetViews>
  <sheetFormatPr defaultRowHeight="14.4" x14ac:dyDescent="0.3"/>
  <cols>
    <col min="1" max="1" width="3.88671875" customWidth="1"/>
    <col min="3" max="3" width="38.88671875" customWidth="1"/>
    <col min="4" max="4" width="12.44140625" customWidth="1"/>
    <col min="5" max="5" width="18" customWidth="1"/>
    <col min="6" max="6" width="13.109375" bestFit="1" customWidth="1"/>
    <col min="7" max="7" width="12.5546875" customWidth="1"/>
    <col min="260" max="260" width="25.33203125" bestFit="1" customWidth="1"/>
    <col min="516" max="516" width="25.33203125" bestFit="1" customWidth="1"/>
    <col min="772" max="772" width="25.33203125" bestFit="1" customWidth="1"/>
    <col min="1028" max="1028" width="25.33203125" bestFit="1" customWidth="1"/>
    <col min="1284" max="1284" width="25.33203125" bestFit="1" customWidth="1"/>
    <col min="1540" max="1540" width="25.33203125" bestFit="1" customWidth="1"/>
    <col min="1796" max="1796" width="25.33203125" bestFit="1" customWidth="1"/>
    <col min="2052" max="2052" width="25.33203125" bestFit="1" customWidth="1"/>
    <col min="2308" max="2308" width="25.33203125" bestFit="1" customWidth="1"/>
    <col min="2564" max="2564" width="25.33203125" bestFit="1" customWidth="1"/>
    <col min="2820" max="2820" width="25.33203125" bestFit="1" customWidth="1"/>
    <col min="3076" max="3076" width="25.33203125" bestFit="1" customWidth="1"/>
    <col min="3332" max="3332" width="25.33203125" bestFit="1" customWidth="1"/>
    <col min="3588" max="3588" width="25.33203125" bestFit="1" customWidth="1"/>
    <col min="3844" max="3844" width="25.33203125" bestFit="1" customWidth="1"/>
    <col min="4100" max="4100" width="25.33203125" bestFit="1" customWidth="1"/>
    <col min="4356" max="4356" width="25.33203125" bestFit="1" customWidth="1"/>
    <col min="4612" max="4612" width="25.33203125" bestFit="1" customWidth="1"/>
    <col min="4868" max="4868" width="25.33203125" bestFit="1" customWidth="1"/>
    <col min="5124" max="5124" width="25.33203125" bestFit="1" customWidth="1"/>
    <col min="5380" max="5380" width="25.33203125" bestFit="1" customWidth="1"/>
    <col min="5636" max="5636" width="25.33203125" bestFit="1" customWidth="1"/>
    <col min="5892" max="5892" width="25.33203125" bestFit="1" customWidth="1"/>
    <col min="6148" max="6148" width="25.33203125" bestFit="1" customWidth="1"/>
    <col min="6404" max="6404" width="25.33203125" bestFit="1" customWidth="1"/>
    <col min="6660" max="6660" width="25.33203125" bestFit="1" customWidth="1"/>
    <col min="6916" max="6916" width="25.33203125" bestFit="1" customWidth="1"/>
    <col min="7172" max="7172" width="25.33203125" bestFit="1" customWidth="1"/>
    <col min="7428" max="7428" width="25.33203125" bestFit="1" customWidth="1"/>
    <col min="7684" max="7684" width="25.33203125" bestFit="1" customWidth="1"/>
    <col min="7940" max="7940" width="25.33203125" bestFit="1" customWidth="1"/>
    <col min="8196" max="8196" width="25.33203125" bestFit="1" customWidth="1"/>
    <col min="8452" max="8452" width="25.33203125" bestFit="1" customWidth="1"/>
    <col min="8708" max="8708" width="25.33203125" bestFit="1" customWidth="1"/>
    <col min="8964" max="8964" width="25.33203125" bestFit="1" customWidth="1"/>
    <col min="9220" max="9220" width="25.33203125" bestFit="1" customWidth="1"/>
    <col min="9476" max="9476" width="25.33203125" bestFit="1" customWidth="1"/>
    <col min="9732" max="9732" width="25.33203125" bestFit="1" customWidth="1"/>
    <col min="9988" max="9988" width="25.33203125" bestFit="1" customWidth="1"/>
    <col min="10244" max="10244" width="25.33203125" bestFit="1" customWidth="1"/>
    <col min="10500" max="10500" width="25.33203125" bestFit="1" customWidth="1"/>
    <col min="10756" max="10756" width="25.33203125" bestFit="1" customWidth="1"/>
    <col min="11012" max="11012" width="25.33203125" bestFit="1" customWidth="1"/>
    <col min="11268" max="11268" width="25.33203125" bestFit="1" customWidth="1"/>
    <col min="11524" max="11524" width="25.33203125" bestFit="1" customWidth="1"/>
    <col min="11780" max="11780" width="25.33203125" bestFit="1" customWidth="1"/>
    <col min="12036" max="12036" width="25.33203125" bestFit="1" customWidth="1"/>
    <col min="12292" max="12292" width="25.33203125" bestFit="1" customWidth="1"/>
    <col min="12548" max="12548" width="25.33203125" bestFit="1" customWidth="1"/>
    <col min="12804" max="12804" width="25.33203125" bestFit="1" customWidth="1"/>
    <col min="13060" max="13060" width="25.33203125" bestFit="1" customWidth="1"/>
    <col min="13316" max="13316" width="25.33203125" bestFit="1" customWidth="1"/>
    <col min="13572" max="13572" width="25.33203125" bestFit="1" customWidth="1"/>
    <col min="13828" max="13828" width="25.33203125" bestFit="1" customWidth="1"/>
    <col min="14084" max="14084" width="25.33203125" bestFit="1" customWidth="1"/>
    <col min="14340" max="14340" width="25.33203125" bestFit="1" customWidth="1"/>
    <col min="14596" max="14596" width="25.33203125" bestFit="1" customWidth="1"/>
    <col min="14852" max="14852" width="25.33203125" bestFit="1" customWidth="1"/>
    <col min="15108" max="15108" width="25.33203125" bestFit="1" customWidth="1"/>
    <col min="15364" max="15364" width="25.33203125" bestFit="1" customWidth="1"/>
    <col min="15620" max="15620" width="25.33203125" bestFit="1" customWidth="1"/>
    <col min="15876" max="15876" width="25.33203125" bestFit="1" customWidth="1"/>
    <col min="16132" max="16132" width="25.33203125" bestFit="1" customWidth="1"/>
  </cols>
  <sheetData>
    <row r="1" spans="1:21" s="222" customFormat="1" x14ac:dyDescent="0.3">
      <c r="A1" s="289" t="s">
        <v>221</v>
      </c>
      <c r="B1" s="289"/>
      <c r="C1" s="289"/>
      <c r="D1" s="289"/>
      <c r="E1" s="289"/>
      <c r="F1" s="289"/>
      <c r="G1" s="219"/>
      <c r="H1" s="220"/>
      <c r="I1" s="220"/>
      <c r="J1" s="221"/>
      <c r="K1" s="220"/>
      <c r="L1" s="220"/>
      <c r="M1" s="220"/>
      <c r="N1" s="220"/>
      <c r="O1" s="220"/>
      <c r="P1" s="220"/>
      <c r="Q1" s="220"/>
      <c r="R1" s="220"/>
      <c r="S1" s="218"/>
    </row>
    <row r="2" spans="1:21" s="222" customFormat="1" x14ac:dyDescent="0.3">
      <c r="A2" s="289" t="s">
        <v>255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20"/>
      <c r="M2" s="220"/>
      <c r="N2" s="220"/>
      <c r="O2" s="220"/>
      <c r="P2" s="220"/>
      <c r="Q2" s="220"/>
      <c r="R2" s="220"/>
      <c r="S2" s="218"/>
    </row>
    <row r="3" spans="1:21" s="222" customFormat="1" x14ac:dyDescent="0.3">
      <c r="A3" s="289" t="s">
        <v>234</v>
      </c>
      <c r="B3" s="289"/>
      <c r="C3" s="289"/>
      <c r="D3" s="219">
        <v>730</v>
      </c>
      <c r="E3" s="218"/>
      <c r="F3" s="218"/>
      <c r="G3" s="218"/>
      <c r="H3" s="218"/>
      <c r="I3" s="218"/>
      <c r="J3" s="218"/>
      <c r="K3" s="218"/>
      <c r="L3" s="220"/>
      <c r="M3" s="220"/>
      <c r="N3" s="220"/>
      <c r="O3" s="220"/>
      <c r="P3" s="220"/>
      <c r="Q3" s="220"/>
      <c r="R3" s="220"/>
      <c r="S3" s="218"/>
    </row>
    <row r="4" spans="1:21" s="215" customFormat="1" ht="16.2" thickBot="1" x14ac:dyDescent="0.35">
      <c r="A4" s="214"/>
      <c r="C4" s="214"/>
      <c r="D4" s="216"/>
      <c r="E4" s="216"/>
      <c r="F4" s="216"/>
      <c r="G4" s="216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4"/>
    </row>
    <row r="5" spans="1:21" ht="15" customHeight="1" x14ac:dyDescent="0.3">
      <c r="B5" s="298" t="s">
        <v>258</v>
      </c>
      <c r="C5" s="299"/>
      <c r="D5" s="299"/>
      <c r="E5" s="299"/>
      <c r="F5" s="299"/>
      <c r="G5" s="300"/>
    </row>
    <row r="6" spans="1:21" x14ac:dyDescent="0.3">
      <c r="B6" s="301"/>
      <c r="C6" s="302"/>
      <c r="D6" s="302"/>
      <c r="E6" s="302"/>
      <c r="F6" s="302"/>
      <c r="G6" s="303"/>
    </row>
    <row r="7" spans="1:21" ht="15" customHeight="1" x14ac:dyDescent="0.3">
      <c r="B7" s="304" t="s">
        <v>3</v>
      </c>
      <c r="C7" s="296" t="s">
        <v>133</v>
      </c>
      <c r="D7" s="296" t="s">
        <v>218</v>
      </c>
      <c r="E7" s="296" t="s">
        <v>200</v>
      </c>
      <c r="F7" s="282" t="s">
        <v>135</v>
      </c>
      <c r="G7" s="283"/>
    </row>
    <row r="8" spans="1:21" x14ac:dyDescent="0.3">
      <c r="B8" s="305"/>
      <c r="C8" s="297"/>
      <c r="D8" s="297"/>
      <c r="E8" s="297"/>
      <c r="F8" s="284"/>
      <c r="G8" s="285"/>
    </row>
    <row r="9" spans="1:21" x14ac:dyDescent="0.3">
      <c r="B9" s="223">
        <v>1</v>
      </c>
      <c r="C9" s="224" t="s">
        <v>217</v>
      </c>
      <c r="D9" s="208" t="s">
        <v>192</v>
      </c>
      <c r="E9" s="208" t="s">
        <v>201</v>
      </c>
      <c r="F9" s="228">
        <f>G10-((G10-G11)*(G12-G13)/(G14-G13))</f>
        <v>9.1172000000000003E-2</v>
      </c>
      <c r="G9" s="212"/>
      <c r="T9" s="53"/>
      <c r="U9" s="53"/>
    </row>
    <row r="10" spans="1:21" x14ac:dyDescent="0.3">
      <c r="B10" s="210" t="s">
        <v>12</v>
      </c>
      <c r="C10" s="209" t="s">
        <v>202</v>
      </c>
      <c r="D10" s="208" t="s">
        <v>192</v>
      </c>
      <c r="E10" s="208" t="s">
        <v>204</v>
      </c>
      <c r="F10" s="213"/>
      <c r="G10" s="207">
        <v>9.6600000000000005E-2</v>
      </c>
      <c r="T10" s="53"/>
      <c r="U10" s="53"/>
    </row>
    <row r="11" spans="1:21" x14ac:dyDescent="0.3">
      <c r="B11" s="210" t="s">
        <v>44</v>
      </c>
      <c r="C11" s="209" t="s">
        <v>203</v>
      </c>
      <c r="D11" s="208" t="s">
        <v>192</v>
      </c>
      <c r="E11" s="208" t="s">
        <v>205</v>
      </c>
      <c r="F11" s="211"/>
      <c r="G11" s="207">
        <v>8.48E-2</v>
      </c>
      <c r="T11" s="53"/>
      <c r="U11" s="53"/>
    </row>
    <row r="12" spans="1:21" x14ac:dyDescent="0.3">
      <c r="B12" s="210" t="s">
        <v>206</v>
      </c>
      <c r="C12" s="209" t="s">
        <v>210</v>
      </c>
      <c r="D12" s="208" t="s">
        <v>219</v>
      </c>
      <c r="E12" s="208" t="s">
        <v>214</v>
      </c>
      <c r="F12" s="213"/>
      <c r="G12" s="227">
        <f>D3</f>
        <v>730</v>
      </c>
    </row>
    <row r="13" spans="1:21" x14ac:dyDescent="0.3">
      <c r="B13" s="210" t="s">
        <v>207</v>
      </c>
      <c r="C13" s="209" t="s">
        <v>208</v>
      </c>
      <c r="D13" s="208" t="s">
        <v>219</v>
      </c>
      <c r="E13" s="208" t="s">
        <v>215</v>
      </c>
      <c r="F13" s="211"/>
      <c r="G13" s="225">
        <v>500</v>
      </c>
    </row>
    <row r="14" spans="1:21" x14ac:dyDescent="0.3">
      <c r="B14" s="210" t="s">
        <v>211</v>
      </c>
      <c r="C14" s="209" t="s">
        <v>209</v>
      </c>
      <c r="D14" s="208" t="s">
        <v>219</v>
      </c>
      <c r="E14" s="208" t="s">
        <v>216</v>
      </c>
      <c r="F14" s="213"/>
      <c r="G14" s="225">
        <v>1000</v>
      </c>
    </row>
    <row r="15" spans="1:21" x14ac:dyDescent="0.3">
      <c r="B15" s="210">
        <v>2</v>
      </c>
      <c r="C15" s="230" t="s">
        <v>251</v>
      </c>
      <c r="D15" s="208" t="s">
        <v>224</v>
      </c>
      <c r="E15" s="208" t="s">
        <v>220</v>
      </c>
      <c r="F15" s="213"/>
      <c r="G15" s="231">
        <v>2491.13</v>
      </c>
    </row>
    <row r="16" spans="1:21" ht="26.4" x14ac:dyDescent="0.3">
      <c r="B16" s="210">
        <v>3</v>
      </c>
      <c r="C16" s="230" t="s">
        <v>250</v>
      </c>
      <c r="D16" s="208" t="s">
        <v>233</v>
      </c>
      <c r="E16" s="208" t="s">
        <v>145</v>
      </c>
      <c r="F16" s="229">
        <f>F17/G12</f>
        <v>1</v>
      </c>
      <c r="G16" s="212"/>
    </row>
    <row r="17" spans="2:7" x14ac:dyDescent="0.3">
      <c r="B17" s="210" t="s">
        <v>72</v>
      </c>
      <c r="C17" s="209" t="s">
        <v>225</v>
      </c>
      <c r="D17" s="208" t="s">
        <v>219</v>
      </c>
      <c r="E17" s="208" t="s">
        <v>226</v>
      </c>
      <c r="F17" s="229">
        <f>G12+(G19*G20)</f>
        <v>730</v>
      </c>
      <c r="G17" s="212"/>
    </row>
    <row r="18" spans="2:7" x14ac:dyDescent="0.3">
      <c r="B18" s="210" t="s">
        <v>143</v>
      </c>
      <c r="C18" s="209" t="s">
        <v>227</v>
      </c>
      <c r="D18" s="208" t="s">
        <v>219</v>
      </c>
      <c r="E18" s="208" t="s">
        <v>229</v>
      </c>
      <c r="F18" s="213"/>
      <c r="G18" s="226">
        <f>G12</f>
        <v>730</v>
      </c>
    </row>
    <row r="19" spans="2:7" x14ac:dyDescent="0.3">
      <c r="B19" s="210" t="s">
        <v>248</v>
      </c>
      <c r="C19" s="209" t="s">
        <v>228</v>
      </c>
      <c r="D19" s="208" t="s">
        <v>219</v>
      </c>
      <c r="E19" s="208" t="s">
        <v>230</v>
      </c>
      <c r="F19" s="213"/>
      <c r="G19" s="225">
        <v>0</v>
      </c>
    </row>
    <row r="20" spans="2:7" x14ac:dyDescent="0.3">
      <c r="B20" s="210" t="s">
        <v>249</v>
      </c>
      <c r="C20" s="209" t="s">
        <v>231</v>
      </c>
      <c r="D20" s="208" t="s">
        <v>192</v>
      </c>
      <c r="E20" s="208" t="s">
        <v>232</v>
      </c>
      <c r="F20" s="211"/>
      <c r="G20" s="207">
        <v>1</v>
      </c>
    </row>
    <row r="21" spans="2:7" ht="15" thickBot="1" x14ac:dyDescent="0.35">
      <c r="B21" s="57"/>
      <c r="C21" s="58"/>
      <c r="D21" s="58"/>
      <c r="E21" s="58"/>
      <c r="F21" s="58"/>
      <c r="G21" s="59"/>
    </row>
    <row r="22" spans="2:7" ht="16.5" customHeight="1" thickBot="1" x14ac:dyDescent="0.35">
      <c r="B22" s="293" t="s">
        <v>259</v>
      </c>
      <c r="C22" s="294"/>
      <c r="D22" s="294"/>
      <c r="E22" s="295"/>
      <c r="F22" s="286">
        <f>(F9*F16)</f>
        <v>9.1172000000000003E-2</v>
      </c>
      <c r="G22" s="287"/>
    </row>
    <row r="23" spans="2:7" x14ac:dyDescent="0.3">
      <c r="B23" s="84" t="s">
        <v>199</v>
      </c>
      <c r="C23" s="63"/>
      <c r="D23" s="63"/>
      <c r="E23" s="63"/>
      <c r="F23" s="64">
        <v>0.85</v>
      </c>
      <c r="G23" s="65"/>
    </row>
    <row r="24" spans="2:7" x14ac:dyDescent="0.3">
      <c r="B24" s="66"/>
      <c r="C24" s="67"/>
      <c r="D24" s="67"/>
      <c r="E24" s="63"/>
      <c r="F24" s="68"/>
      <c r="G24" s="65"/>
    </row>
    <row r="25" spans="2:7" x14ac:dyDescent="0.3">
      <c r="B25" s="66"/>
      <c r="C25" s="63"/>
      <c r="D25" s="63"/>
      <c r="E25" s="63"/>
      <c r="F25" s="63"/>
      <c r="G25" s="65"/>
    </row>
    <row r="26" spans="2:7" x14ac:dyDescent="0.3">
      <c r="B26" s="66"/>
      <c r="C26" s="63"/>
      <c r="D26" s="63"/>
      <c r="E26" s="63"/>
      <c r="F26" s="63"/>
      <c r="G26" s="65"/>
    </row>
    <row r="27" spans="2:7" x14ac:dyDescent="0.3">
      <c r="B27" s="66"/>
      <c r="C27" s="63"/>
      <c r="D27" s="63"/>
      <c r="E27" s="63"/>
      <c r="F27" s="63"/>
      <c r="G27" s="65"/>
    </row>
    <row r="28" spans="2:7" x14ac:dyDescent="0.3">
      <c r="B28" s="84" t="s">
        <v>198</v>
      </c>
      <c r="C28" s="63"/>
      <c r="D28" s="63"/>
      <c r="E28" s="63"/>
      <c r="F28" s="63"/>
      <c r="G28" s="65"/>
    </row>
    <row r="29" spans="2:7" x14ac:dyDescent="0.3">
      <c r="B29" s="66"/>
      <c r="C29" s="63"/>
      <c r="D29" s="63"/>
      <c r="E29" s="63"/>
      <c r="F29" s="63"/>
      <c r="G29" s="65"/>
    </row>
    <row r="30" spans="2:7" x14ac:dyDescent="0.3">
      <c r="B30" s="66"/>
      <c r="C30" s="63"/>
      <c r="D30" s="63"/>
      <c r="E30" s="63"/>
      <c r="F30" s="63"/>
      <c r="G30" s="65"/>
    </row>
    <row r="31" spans="2:7" x14ac:dyDescent="0.3">
      <c r="B31" s="66"/>
      <c r="C31" s="63"/>
      <c r="D31" s="63"/>
      <c r="E31" s="63"/>
      <c r="F31" s="63"/>
      <c r="G31" s="65"/>
    </row>
    <row r="32" spans="2:7" x14ac:dyDescent="0.3">
      <c r="B32" s="66"/>
      <c r="C32" s="63"/>
      <c r="D32" s="63"/>
      <c r="E32" s="63"/>
      <c r="F32" s="63"/>
      <c r="G32" s="65"/>
    </row>
    <row r="33" spans="1:22" x14ac:dyDescent="0.3">
      <c r="B33" s="84" t="s">
        <v>223</v>
      </c>
      <c r="C33" s="63"/>
      <c r="D33" s="63"/>
      <c r="E33" s="63"/>
      <c r="F33" s="63"/>
      <c r="G33" s="65"/>
    </row>
    <row r="34" spans="1:22" x14ac:dyDescent="0.3">
      <c r="B34" s="66"/>
      <c r="C34" s="63"/>
      <c r="D34" s="63"/>
      <c r="E34" s="63"/>
      <c r="F34" s="63"/>
      <c r="G34" s="65"/>
    </row>
    <row r="35" spans="1:22" x14ac:dyDescent="0.3">
      <c r="B35" s="66"/>
      <c r="C35" s="63"/>
      <c r="D35" s="63"/>
      <c r="E35" s="63"/>
      <c r="F35" s="63"/>
      <c r="G35" s="65"/>
    </row>
    <row r="36" spans="1:22" x14ac:dyDescent="0.3">
      <c r="B36" s="66"/>
      <c r="C36" s="63"/>
      <c r="D36" s="63"/>
      <c r="E36" s="63"/>
      <c r="F36" s="63"/>
      <c r="G36" s="65"/>
    </row>
    <row r="37" spans="1:22" x14ac:dyDescent="0.3">
      <c r="B37" s="84"/>
      <c r="C37" s="63"/>
      <c r="D37" s="63"/>
      <c r="E37" s="63"/>
      <c r="F37" s="63"/>
      <c r="G37" s="65"/>
    </row>
    <row r="38" spans="1:22" x14ac:dyDescent="0.3">
      <c r="B38" s="66"/>
      <c r="C38" s="63"/>
      <c r="D38" s="63"/>
      <c r="E38" s="63"/>
      <c r="F38" s="63"/>
      <c r="G38" s="65"/>
    </row>
    <row r="39" spans="1:22" x14ac:dyDescent="0.3">
      <c r="B39" s="66"/>
      <c r="C39" s="63"/>
      <c r="D39" s="63"/>
      <c r="E39" s="63"/>
      <c r="F39" s="63"/>
      <c r="G39" s="65"/>
    </row>
    <row r="40" spans="1:22" x14ac:dyDescent="0.3">
      <c r="B40" s="66"/>
      <c r="C40" s="63"/>
      <c r="D40" s="63"/>
      <c r="E40" s="63"/>
      <c r="F40" s="63"/>
      <c r="G40" s="65"/>
    </row>
    <row r="41" spans="1:22" x14ac:dyDescent="0.3">
      <c r="B41" s="66"/>
      <c r="C41" s="63"/>
      <c r="D41" s="63"/>
      <c r="E41" s="63"/>
      <c r="F41" s="63"/>
      <c r="G41" s="65"/>
    </row>
    <row r="42" spans="1:22" ht="15" thickBot="1" x14ac:dyDescent="0.35">
      <c r="B42" s="69"/>
      <c r="C42" s="70"/>
      <c r="D42" s="70"/>
      <c r="E42" s="70"/>
      <c r="F42" s="70"/>
      <c r="G42" s="71"/>
    </row>
    <row r="44" spans="1:22" ht="33.75" customHeight="1" x14ac:dyDescent="0.3">
      <c r="A44" s="290" t="s">
        <v>247</v>
      </c>
      <c r="B44" s="291"/>
      <c r="C44" s="291"/>
      <c r="D44" s="291"/>
      <c r="E44" s="291"/>
      <c r="F44" s="291"/>
      <c r="G44" s="291"/>
      <c r="H44" s="292"/>
    </row>
    <row r="46" spans="1:22" x14ac:dyDescent="0.3">
      <c r="A46" s="72" t="s">
        <v>158</v>
      </c>
    </row>
    <row r="47" spans="1:22" x14ac:dyDescent="0.3">
      <c r="A47" s="288" t="s">
        <v>256</v>
      </c>
      <c r="B47" s="288"/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</row>
    <row r="48" spans="1:22" x14ac:dyDescent="0.3">
      <c r="A48" s="288" t="s">
        <v>222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06"/>
      <c r="Q48" s="206"/>
      <c r="R48" s="206"/>
      <c r="S48" s="206"/>
      <c r="T48" s="206"/>
      <c r="U48" s="206"/>
      <c r="V48" s="206"/>
    </row>
    <row r="49" spans="1:22" x14ac:dyDescent="0.3">
      <c r="A49" s="288" t="s">
        <v>252</v>
      </c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06"/>
      <c r="Q49" s="206"/>
      <c r="R49" s="206"/>
      <c r="S49" s="206"/>
      <c r="T49" s="206"/>
      <c r="U49" s="206"/>
      <c r="V49" s="206"/>
    </row>
    <row r="50" spans="1:22" x14ac:dyDescent="0.3">
      <c r="A50" s="288" t="s">
        <v>253</v>
      </c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06"/>
      <c r="Q50" s="206"/>
      <c r="R50" s="206"/>
      <c r="S50" s="206"/>
      <c r="T50" s="206"/>
      <c r="U50" s="206"/>
      <c r="V50" s="206"/>
    </row>
    <row r="51" spans="1:22" x14ac:dyDescent="0.3">
      <c r="A51" s="288" t="s">
        <v>254</v>
      </c>
      <c r="B51" s="288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06"/>
      <c r="Q51" s="206"/>
      <c r="R51" s="206"/>
      <c r="S51" s="206"/>
      <c r="T51" s="206"/>
      <c r="U51" s="206"/>
      <c r="V51" s="206"/>
    </row>
  </sheetData>
  <sheetProtection algorithmName="SHA-512" hashValue="Wk/M6yIL+3XAxI16qV0vZB8fQ+Awf9csCobJsOgOnHid2WvIEQSWpV7DVDNwqPNgPhGRDw6b89J4TXUYQmLDlA==" saltValue="eld7BsA891Ezic6NnKq+Yw==" spinCount="100000" sheet="1" formatCells="0" formatColumns="0" formatRows="0" insertColumns="0" insertRows="0" insertHyperlinks="0" deleteColumns="0" deleteRows="0" sort="0" pivotTables="0"/>
  <mergeCells count="17">
    <mergeCell ref="A1:F1"/>
    <mergeCell ref="A2:K2"/>
    <mergeCell ref="A50:O50"/>
    <mergeCell ref="B22:E22"/>
    <mergeCell ref="A49:O49"/>
    <mergeCell ref="A47:V47"/>
    <mergeCell ref="A48:O48"/>
    <mergeCell ref="D7:D8"/>
    <mergeCell ref="B5:G6"/>
    <mergeCell ref="B7:B8"/>
    <mergeCell ref="C7:C8"/>
    <mergeCell ref="E7:E8"/>
    <mergeCell ref="F7:G8"/>
    <mergeCell ref="F22:G22"/>
    <mergeCell ref="A51:O51"/>
    <mergeCell ref="A3:C3"/>
    <mergeCell ref="A44:H44"/>
  </mergeCells>
  <phoneticPr fontId="21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360A-9B23-4095-B507-E3FD89775E90}">
  <dimension ref="A1:T39"/>
  <sheetViews>
    <sheetView tabSelected="1" workbookViewId="0">
      <selection activeCell="L22" sqref="L21:L22"/>
    </sheetView>
  </sheetViews>
  <sheetFormatPr defaultRowHeight="14.4" x14ac:dyDescent="0.3"/>
  <cols>
    <col min="1" max="1" width="3.88671875" customWidth="1"/>
    <col min="3" max="3" width="25.33203125" bestFit="1" customWidth="1"/>
    <col min="4" max="4" width="11.6640625" customWidth="1"/>
    <col min="259" max="259" width="25.33203125" bestFit="1" customWidth="1"/>
    <col min="515" max="515" width="25.33203125" bestFit="1" customWidth="1"/>
    <col min="771" max="771" width="25.33203125" bestFit="1" customWidth="1"/>
    <col min="1027" max="1027" width="25.33203125" bestFit="1" customWidth="1"/>
    <col min="1283" max="1283" width="25.33203125" bestFit="1" customWidth="1"/>
    <col min="1539" max="1539" width="25.33203125" bestFit="1" customWidth="1"/>
    <col min="1795" max="1795" width="25.33203125" bestFit="1" customWidth="1"/>
    <col min="2051" max="2051" width="25.33203125" bestFit="1" customWidth="1"/>
    <col min="2307" max="2307" width="25.33203125" bestFit="1" customWidth="1"/>
    <col min="2563" max="2563" width="25.33203125" bestFit="1" customWidth="1"/>
    <col min="2819" max="2819" width="25.33203125" bestFit="1" customWidth="1"/>
    <col min="3075" max="3075" width="25.33203125" bestFit="1" customWidth="1"/>
    <col min="3331" max="3331" width="25.33203125" bestFit="1" customWidth="1"/>
    <col min="3587" max="3587" width="25.33203125" bestFit="1" customWidth="1"/>
    <col min="3843" max="3843" width="25.33203125" bestFit="1" customWidth="1"/>
    <col min="4099" max="4099" width="25.33203125" bestFit="1" customWidth="1"/>
    <col min="4355" max="4355" width="25.33203125" bestFit="1" customWidth="1"/>
    <col min="4611" max="4611" width="25.33203125" bestFit="1" customWidth="1"/>
    <col min="4867" max="4867" width="25.33203125" bestFit="1" customWidth="1"/>
    <col min="5123" max="5123" width="25.33203125" bestFit="1" customWidth="1"/>
    <col min="5379" max="5379" width="25.33203125" bestFit="1" customWidth="1"/>
    <col min="5635" max="5635" width="25.33203125" bestFit="1" customWidth="1"/>
    <col min="5891" max="5891" width="25.33203125" bestFit="1" customWidth="1"/>
    <col min="6147" max="6147" width="25.33203125" bestFit="1" customWidth="1"/>
    <col min="6403" max="6403" width="25.33203125" bestFit="1" customWidth="1"/>
    <col min="6659" max="6659" width="25.33203125" bestFit="1" customWidth="1"/>
    <col min="6915" max="6915" width="25.33203125" bestFit="1" customWidth="1"/>
    <col min="7171" max="7171" width="25.33203125" bestFit="1" customWidth="1"/>
    <col min="7427" max="7427" width="25.33203125" bestFit="1" customWidth="1"/>
    <col min="7683" max="7683" width="25.33203125" bestFit="1" customWidth="1"/>
    <col min="7939" max="7939" width="25.33203125" bestFit="1" customWidth="1"/>
    <col min="8195" max="8195" width="25.33203125" bestFit="1" customWidth="1"/>
    <col min="8451" max="8451" width="25.33203125" bestFit="1" customWidth="1"/>
    <col min="8707" max="8707" width="25.33203125" bestFit="1" customWidth="1"/>
    <col min="8963" max="8963" width="25.33203125" bestFit="1" customWidth="1"/>
    <col min="9219" max="9219" width="25.33203125" bestFit="1" customWidth="1"/>
    <col min="9475" max="9475" width="25.33203125" bestFit="1" customWidth="1"/>
    <col min="9731" max="9731" width="25.33203125" bestFit="1" customWidth="1"/>
    <col min="9987" max="9987" width="25.33203125" bestFit="1" customWidth="1"/>
    <col min="10243" max="10243" width="25.33203125" bestFit="1" customWidth="1"/>
    <col min="10499" max="10499" width="25.33203125" bestFit="1" customWidth="1"/>
    <col min="10755" max="10755" width="25.33203125" bestFit="1" customWidth="1"/>
    <col min="11011" max="11011" width="25.33203125" bestFit="1" customWidth="1"/>
    <col min="11267" max="11267" width="25.33203125" bestFit="1" customWidth="1"/>
    <col min="11523" max="11523" width="25.33203125" bestFit="1" customWidth="1"/>
    <col min="11779" max="11779" width="25.33203125" bestFit="1" customWidth="1"/>
    <col min="12035" max="12035" width="25.33203125" bestFit="1" customWidth="1"/>
    <col min="12291" max="12291" width="25.33203125" bestFit="1" customWidth="1"/>
    <col min="12547" max="12547" width="25.33203125" bestFit="1" customWidth="1"/>
    <col min="12803" max="12803" width="25.33203125" bestFit="1" customWidth="1"/>
    <col min="13059" max="13059" width="25.33203125" bestFit="1" customWidth="1"/>
    <col min="13315" max="13315" width="25.33203125" bestFit="1" customWidth="1"/>
    <col min="13571" max="13571" width="25.33203125" bestFit="1" customWidth="1"/>
    <col min="13827" max="13827" width="25.33203125" bestFit="1" customWidth="1"/>
    <col min="14083" max="14083" width="25.33203125" bestFit="1" customWidth="1"/>
    <col min="14339" max="14339" width="25.33203125" bestFit="1" customWidth="1"/>
    <col min="14595" max="14595" width="25.33203125" bestFit="1" customWidth="1"/>
    <col min="14851" max="14851" width="25.33203125" bestFit="1" customWidth="1"/>
    <col min="15107" max="15107" width="25.33203125" bestFit="1" customWidth="1"/>
    <col min="15363" max="15363" width="25.33203125" bestFit="1" customWidth="1"/>
    <col min="15619" max="15619" width="25.33203125" bestFit="1" customWidth="1"/>
    <col min="15875" max="15875" width="25.33203125" bestFit="1" customWidth="1"/>
    <col min="16131" max="16131" width="25.33203125" bestFit="1" customWidth="1"/>
  </cols>
  <sheetData>
    <row r="1" spans="2:20" ht="15" thickBot="1" x14ac:dyDescent="0.35"/>
    <row r="2" spans="2:20" x14ac:dyDescent="0.3">
      <c r="B2" s="308" t="s">
        <v>132</v>
      </c>
      <c r="C2" s="309"/>
      <c r="D2" s="309"/>
      <c r="E2" s="309"/>
      <c r="F2" s="310"/>
    </row>
    <row r="3" spans="2:20" x14ac:dyDescent="0.3">
      <c r="B3" s="311"/>
      <c r="C3" s="312"/>
      <c r="D3" s="312"/>
      <c r="E3" s="312"/>
      <c r="F3" s="313"/>
    </row>
    <row r="4" spans="2:20" ht="15" customHeight="1" x14ac:dyDescent="0.3">
      <c r="B4" s="304" t="s">
        <v>3</v>
      </c>
      <c r="C4" s="296" t="s">
        <v>133</v>
      </c>
      <c r="D4" s="296" t="s">
        <v>134</v>
      </c>
      <c r="E4" s="282" t="s">
        <v>135</v>
      </c>
      <c r="F4" s="283"/>
    </row>
    <row r="5" spans="2:20" x14ac:dyDescent="0.3">
      <c r="B5" s="305"/>
      <c r="C5" s="297"/>
      <c r="D5" s="297"/>
      <c r="E5" s="284"/>
      <c r="F5" s="285"/>
    </row>
    <row r="6" spans="2:20" x14ac:dyDescent="0.3">
      <c r="B6" s="48">
        <v>1</v>
      </c>
      <c r="C6" s="49" t="s">
        <v>136</v>
      </c>
      <c r="D6" s="50" t="s">
        <v>137</v>
      </c>
      <c r="E6" s="176">
        <v>0.04</v>
      </c>
      <c r="F6" s="52"/>
      <c r="S6" s="53"/>
      <c r="T6" s="53"/>
    </row>
    <row r="7" spans="2:20" x14ac:dyDescent="0.3">
      <c r="B7" s="48">
        <v>2</v>
      </c>
      <c r="C7" s="49" t="s">
        <v>138</v>
      </c>
      <c r="D7" s="50" t="s">
        <v>139</v>
      </c>
      <c r="E7" s="177">
        <v>1.23E-2</v>
      </c>
      <c r="F7" s="52"/>
      <c r="S7" s="53"/>
      <c r="T7" s="53"/>
    </row>
    <row r="8" spans="2:20" x14ac:dyDescent="0.3">
      <c r="B8" s="48">
        <v>3</v>
      </c>
      <c r="C8" s="49" t="s">
        <v>140</v>
      </c>
      <c r="D8" s="50"/>
      <c r="E8" s="51">
        <f>F9+F10</f>
        <v>2.07E-2</v>
      </c>
      <c r="F8" s="52"/>
      <c r="S8" s="53"/>
      <c r="T8" s="53"/>
    </row>
    <row r="9" spans="2:20" x14ac:dyDescent="0.3">
      <c r="B9" s="48" t="s">
        <v>72</v>
      </c>
      <c r="C9" s="55" t="s">
        <v>141</v>
      </c>
      <c r="D9" s="50" t="s">
        <v>142</v>
      </c>
      <c r="E9" s="54"/>
      <c r="F9" s="178">
        <v>8.0000000000000002E-3</v>
      </c>
    </row>
    <row r="10" spans="2:20" x14ac:dyDescent="0.3">
      <c r="B10" s="48" t="s">
        <v>143</v>
      </c>
      <c r="C10" s="55" t="s">
        <v>144</v>
      </c>
      <c r="D10" s="50" t="s">
        <v>145</v>
      </c>
      <c r="E10" s="51"/>
      <c r="F10" s="178">
        <v>1.2699999999999999E-2</v>
      </c>
    </row>
    <row r="11" spans="2:20" x14ac:dyDescent="0.3">
      <c r="B11" s="48"/>
      <c r="C11" s="55"/>
      <c r="D11" s="50"/>
      <c r="E11" s="54"/>
      <c r="F11" s="52"/>
    </row>
    <row r="12" spans="2:20" x14ac:dyDescent="0.3">
      <c r="B12" s="48">
        <v>4</v>
      </c>
      <c r="C12" s="56" t="s">
        <v>146</v>
      </c>
      <c r="D12" s="50" t="s">
        <v>147</v>
      </c>
      <c r="E12" s="51">
        <f>SUM(F13:F16)</f>
        <v>0.10084463737672701</v>
      </c>
      <c r="F12" s="52"/>
    </row>
    <row r="13" spans="2:20" x14ac:dyDescent="0.3">
      <c r="B13" s="48" t="s">
        <v>81</v>
      </c>
      <c r="C13" s="55" t="s">
        <v>148</v>
      </c>
      <c r="D13" s="50"/>
      <c r="E13" s="54"/>
      <c r="F13" s="52">
        <f>5%*D39</f>
        <v>1.9344637376727015E-2</v>
      </c>
    </row>
    <row r="14" spans="2:20" x14ac:dyDescent="0.3">
      <c r="B14" s="48" t="s">
        <v>149</v>
      </c>
      <c r="C14" s="55" t="s">
        <v>150</v>
      </c>
      <c r="D14" s="50"/>
      <c r="E14" s="51"/>
      <c r="F14" s="178">
        <v>6.4999999999999997E-3</v>
      </c>
    </row>
    <row r="15" spans="2:20" x14ac:dyDescent="0.3">
      <c r="B15" s="48" t="s">
        <v>151</v>
      </c>
      <c r="C15" s="55" t="s">
        <v>152</v>
      </c>
      <c r="D15" s="50"/>
      <c r="E15" s="54"/>
      <c r="F15" s="178">
        <v>0.03</v>
      </c>
    </row>
    <row r="16" spans="2:20" x14ac:dyDescent="0.3">
      <c r="B16" s="48" t="s">
        <v>153</v>
      </c>
      <c r="C16" s="55" t="s">
        <v>154</v>
      </c>
      <c r="D16" s="50"/>
      <c r="E16" s="54"/>
      <c r="F16" s="178">
        <v>4.4999999999999998E-2</v>
      </c>
    </row>
    <row r="17" spans="2:6" x14ac:dyDescent="0.3">
      <c r="B17" s="48">
        <v>5</v>
      </c>
      <c r="C17" s="55" t="s">
        <v>155</v>
      </c>
      <c r="D17" s="50" t="s">
        <v>156</v>
      </c>
      <c r="E17" s="176">
        <v>7.3999999999999996E-2</v>
      </c>
      <c r="F17" s="52"/>
    </row>
    <row r="18" spans="2:6" ht="15" thickBot="1" x14ac:dyDescent="0.35">
      <c r="B18" s="57"/>
      <c r="C18" s="58"/>
      <c r="D18" s="58"/>
      <c r="E18" s="58"/>
      <c r="F18" s="59"/>
    </row>
    <row r="19" spans="2:6" ht="16.2" thickBot="1" x14ac:dyDescent="0.35">
      <c r="B19" s="60" t="s">
        <v>126</v>
      </c>
      <c r="C19" s="61"/>
      <c r="D19" s="62"/>
      <c r="E19" s="306">
        <f>(((1+(E6+E8))*(1+E7)*(1+E17))/(1-E12))-1</f>
        <v>0.28254126825818404</v>
      </c>
      <c r="F19" s="307">
        <f>(((1+(G37+G38+G39))*(1+G40)*(1+G41))/(1-G42))-1</f>
        <v>0</v>
      </c>
    </row>
    <row r="20" spans="2:6" x14ac:dyDescent="0.3">
      <c r="B20" s="84" t="s">
        <v>157</v>
      </c>
      <c r="C20" s="63"/>
      <c r="D20" s="63"/>
      <c r="E20" s="64">
        <v>0.85</v>
      </c>
      <c r="F20" s="65"/>
    </row>
    <row r="21" spans="2:6" x14ac:dyDescent="0.3">
      <c r="B21" s="66"/>
      <c r="C21" s="67"/>
      <c r="D21" s="63"/>
      <c r="E21" s="68"/>
      <c r="F21" s="65"/>
    </row>
    <row r="22" spans="2:6" x14ac:dyDescent="0.3">
      <c r="B22" s="66"/>
      <c r="C22" s="63"/>
      <c r="D22" s="63"/>
      <c r="E22" s="63"/>
      <c r="F22" s="65"/>
    </row>
    <row r="23" spans="2:6" x14ac:dyDescent="0.3">
      <c r="B23" s="66"/>
      <c r="C23" s="63"/>
      <c r="D23" s="63"/>
      <c r="E23" s="63"/>
      <c r="F23" s="65"/>
    </row>
    <row r="24" spans="2:6" x14ac:dyDescent="0.3">
      <c r="B24" s="66"/>
      <c r="C24" s="63"/>
      <c r="D24" s="63"/>
      <c r="E24" s="63"/>
      <c r="F24" s="65"/>
    </row>
    <row r="25" spans="2:6" x14ac:dyDescent="0.3">
      <c r="B25" s="66"/>
      <c r="C25" s="63"/>
      <c r="D25" s="63"/>
      <c r="E25" s="63"/>
      <c r="F25" s="65"/>
    </row>
    <row r="26" spans="2:6" x14ac:dyDescent="0.3">
      <c r="B26" s="66"/>
      <c r="C26" s="63"/>
      <c r="D26" s="63"/>
      <c r="E26" s="63"/>
      <c r="F26" s="65"/>
    </row>
    <row r="27" spans="2:6" x14ac:dyDescent="0.3">
      <c r="B27" s="66"/>
      <c r="C27" s="63"/>
      <c r="D27" s="63"/>
      <c r="E27" s="63"/>
      <c r="F27" s="65"/>
    </row>
    <row r="28" spans="2:6" x14ac:dyDescent="0.3">
      <c r="B28" s="66"/>
      <c r="C28" s="63"/>
      <c r="D28" s="63"/>
      <c r="E28" s="63"/>
      <c r="F28" s="65"/>
    </row>
    <row r="29" spans="2:6" x14ac:dyDescent="0.3">
      <c r="B29" s="66"/>
      <c r="C29" s="63"/>
      <c r="D29" s="63"/>
      <c r="E29" s="63"/>
      <c r="F29" s="65"/>
    </row>
    <row r="30" spans="2:6" x14ac:dyDescent="0.3">
      <c r="B30" s="66"/>
      <c r="C30" s="63"/>
      <c r="D30" s="63"/>
      <c r="E30" s="63"/>
      <c r="F30" s="65"/>
    </row>
    <row r="31" spans="2:6" ht="15" thickBot="1" x14ac:dyDescent="0.35">
      <c r="B31" s="69"/>
      <c r="C31" s="70"/>
      <c r="D31" s="70"/>
      <c r="E31" s="70"/>
      <c r="F31" s="71"/>
    </row>
    <row r="33" spans="1:4" x14ac:dyDescent="0.3">
      <c r="A33" s="72" t="s">
        <v>158</v>
      </c>
    </row>
    <row r="34" spans="1:4" x14ac:dyDescent="0.3">
      <c r="A34" s="73" t="s">
        <v>159</v>
      </c>
    </row>
    <row r="35" spans="1:4" x14ac:dyDescent="0.3">
      <c r="A35" s="73" t="s">
        <v>160</v>
      </c>
    </row>
    <row r="36" spans="1:4" x14ac:dyDescent="0.3">
      <c r="A36" s="73" t="s">
        <v>161</v>
      </c>
    </row>
    <row r="37" spans="1:4" x14ac:dyDescent="0.3">
      <c r="A37" s="73" t="s">
        <v>162</v>
      </c>
    </row>
    <row r="39" spans="1:4" x14ac:dyDescent="0.3">
      <c r="A39" s="132" t="s">
        <v>173</v>
      </c>
      <c r="B39" s="133"/>
      <c r="C39" s="133"/>
      <c r="D39" s="134">
        <f>ORÇAMENTO!I78/(ORÇAMENTO!R67+ORÇAMENTO!R69+ORÇAMENTO!R79)</f>
        <v>0.38689274753454028</v>
      </c>
    </row>
  </sheetData>
  <sheetProtection algorithmName="SHA-512" hashValue="SalfGYhXb1j7hyT7eWEVDI9m3gkd6McyA2p7FnF5bqrQPvMR1JkbLr0NPcI3obsXNLksFV6anvEdvL+xnUobYQ==" saltValue="raOdXZQr1tkdG8diSEa2Zw==" spinCount="100000" sheet="1" formatCells="0" formatColumns="0" formatRows="0" insertColumns="0" insertRows="0" insertHyperlinks="0" deleteColumns="0" deleteRows="0" sort="0" pivotTables="0"/>
  <mergeCells count="6">
    <mergeCell ref="E19:F19"/>
    <mergeCell ref="B2:F3"/>
    <mergeCell ref="B4:B5"/>
    <mergeCell ref="C4:C5"/>
    <mergeCell ref="D4:D5"/>
    <mergeCell ref="E4:F5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30f6dc-ed46-4bef-9811-6fe3c12c3f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73D8F9C2AE0945AFDA9ECC080FFBA4" ma:contentTypeVersion="15" ma:contentTypeDescription="Crie um novo documento." ma:contentTypeScope="" ma:versionID="78c869c6d5f0e17a1f9adeb61bf4a6a8">
  <xsd:schema xmlns:xsd="http://www.w3.org/2001/XMLSchema" xmlns:xs="http://www.w3.org/2001/XMLSchema" xmlns:p="http://schemas.microsoft.com/office/2006/metadata/properties" xmlns:ns3="0030f6dc-ed46-4bef-9811-6fe3c12c3f13" xmlns:ns4="c8535ce8-bcc2-4439-8a3d-ccc151c8f3d8" targetNamespace="http://schemas.microsoft.com/office/2006/metadata/properties" ma:root="true" ma:fieldsID="382812e78efc90c68c13de197cfa776c" ns3:_="" ns4:_="">
    <xsd:import namespace="0030f6dc-ed46-4bef-9811-6fe3c12c3f13"/>
    <xsd:import namespace="c8535ce8-bcc2-4439-8a3d-ccc151c8f3d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0f6dc-ed46-4bef-9811-6fe3c12c3f1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35ce8-bcc2-4439-8a3d-ccc151c8f3d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1796B-C841-47F5-B551-D26ED31D12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C916F2-A068-4416-93DA-9D9943FCBC46}">
  <ds:schemaRefs>
    <ds:schemaRef ds:uri="http://purl.org/dc/elements/1.1/"/>
    <ds:schemaRef ds:uri="c8535ce8-bcc2-4439-8a3d-ccc151c8f3d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030f6dc-ed46-4bef-9811-6fe3c12c3f1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B9B21F-E8C0-49BA-B304-F3161077A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30f6dc-ed46-4bef-9811-6fe3c12c3f13"/>
    <ds:schemaRef ds:uri="c8535ce8-bcc2-4439-8a3d-ccc151c8f3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PV</vt:lpstr>
      <vt:lpstr>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Lannes</dc:creator>
  <cp:lastModifiedBy>Jomar Rolland Braga Neto</cp:lastModifiedBy>
  <cp:lastPrinted>2024-07-05T13:25:50Z</cp:lastPrinted>
  <dcterms:created xsi:type="dcterms:W3CDTF">2024-07-05T13:18:10Z</dcterms:created>
  <dcterms:modified xsi:type="dcterms:W3CDTF">2025-02-13T13:44:00Z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0x010100BC73D8F9C2AE0945AFDA9ECC080FFBA4</vt:lpwstr>
  </property>
</Properties>
</file>