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25\Pregão\2 - Numerados\02 - Reforma SP RC 6345\Fase externa\"/>
    </mc:Choice>
  </mc:AlternateContent>
  <xr:revisionPtr revIDLastSave="0" documentId="8_{82A0875A-D86B-4B50-B5CB-0A65B002EFBB}" xr6:coauthVersionLast="47" xr6:coauthVersionMax="47" xr10:uidLastSave="{00000000-0000-0000-0000-000000000000}"/>
  <bookViews>
    <workbookView xWindow="-120" yWindow="-120" windowWidth="29040" windowHeight="15720" activeTab="1" xr2:uid="{69EC0766-FBE6-468B-BA56-C454D37F1357}"/>
  </bookViews>
  <sheets>
    <sheet name="ORÇAMENTO" sheetId="2" r:id="rId1"/>
    <sheet name="PV" sheetId="3" r:id="rId2"/>
    <sheet name="BDI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2" l="1"/>
  <c r="I20" i="2"/>
  <c r="G12" i="3"/>
  <c r="F17" i="3" s="1"/>
  <c r="F16" i="3" s="1"/>
  <c r="G18" i="3" l="1"/>
  <c r="F9" i="3"/>
  <c r="F22" i="3" s="1"/>
  <c r="H82" i="2" s="1"/>
  <c r="I43" i="2"/>
  <c r="I42" i="2"/>
  <c r="I31" i="2"/>
  <c r="I29" i="2"/>
  <c r="I28" i="2"/>
  <c r="I27" i="2"/>
  <c r="I26" i="2"/>
  <c r="I18" i="2"/>
  <c r="I17" i="2"/>
  <c r="I16" i="2"/>
  <c r="I15" i="2"/>
  <c r="I14" i="2"/>
  <c r="I13" i="2"/>
  <c r="I12" i="2"/>
  <c r="I10" i="2"/>
  <c r="I41" i="2"/>
  <c r="I40" i="2"/>
  <c r="I37" i="2"/>
  <c r="I32" i="2"/>
  <c r="I21" i="2"/>
  <c r="I19" i="2"/>
  <c r="I47" i="2"/>
  <c r="I60" i="2"/>
  <c r="L60" i="2"/>
  <c r="L64" i="2"/>
  <c r="L63" i="2"/>
  <c r="I74" i="2"/>
  <c r="L74" i="2"/>
  <c r="N41" i="2"/>
  <c r="N40" i="2"/>
  <c r="N32" i="2"/>
  <c r="X63" i="2" l="1"/>
  <c r="V63" i="2"/>
  <c r="X64" i="2"/>
  <c r="V64" i="2"/>
  <c r="R74" i="2"/>
  <c r="Z74" i="2"/>
  <c r="AB74" i="2"/>
  <c r="T74" i="2"/>
  <c r="V74" i="2"/>
  <c r="X74" i="2"/>
  <c r="V60" i="2"/>
  <c r="X60" i="2"/>
  <c r="K39" i="2"/>
  <c r="J39" i="2"/>
  <c r="L40" i="2"/>
  <c r="H39" i="2"/>
  <c r="L41" i="2"/>
  <c r="L32" i="2"/>
  <c r="K6" i="2"/>
  <c r="N20" i="2"/>
  <c r="N21" i="2"/>
  <c r="T40" i="2" l="1"/>
  <c r="R40" i="2"/>
  <c r="R41" i="2"/>
  <c r="T41" i="2"/>
  <c r="T32" i="2"/>
  <c r="R32" i="2"/>
  <c r="J6" i="2"/>
  <c r="L21" i="2"/>
  <c r="L20" i="2"/>
  <c r="K69" i="2"/>
  <c r="I71" i="2"/>
  <c r="I72" i="2"/>
  <c r="I73" i="2"/>
  <c r="I70" i="2"/>
  <c r="K57" i="2"/>
  <c r="I63" i="2"/>
  <c r="I64" i="2"/>
  <c r="K53" i="2"/>
  <c r="K49" i="2"/>
  <c r="H46" i="2"/>
  <c r="I46" i="2"/>
  <c r="J46" i="2"/>
  <c r="K46" i="2"/>
  <c r="I44" i="2"/>
  <c r="K34" i="2"/>
  <c r="J22" i="2"/>
  <c r="H6" i="2"/>
  <c r="H22" i="2"/>
  <c r="N19" i="2"/>
  <c r="N30" i="2"/>
  <c r="J49" i="2"/>
  <c r="L73" i="2"/>
  <c r="L72" i="2"/>
  <c r="L71" i="2"/>
  <c r="L70" i="2"/>
  <c r="L47" i="2"/>
  <c r="L43" i="2"/>
  <c r="L44" i="2"/>
  <c r="L42" i="2"/>
  <c r="L26" i="2"/>
  <c r="L27" i="2"/>
  <c r="L28" i="2"/>
  <c r="L29" i="2"/>
  <c r="L31" i="2"/>
  <c r="T28" i="2" l="1"/>
  <c r="R28" i="2"/>
  <c r="X47" i="2"/>
  <c r="AB47" i="2"/>
  <c r="Z47" i="2"/>
  <c r="V47" i="2"/>
  <c r="R27" i="2"/>
  <c r="T27" i="2"/>
  <c r="AB70" i="2"/>
  <c r="X70" i="2"/>
  <c r="T70" i="2"/>
  <c r="R70" i="2"/>
  <c r="Z70" i="2"/>
  <c r="V70" i="2"/>
  <c r="T26" i="2"/>
  <c r="R26" i="2"/>
  <c r="R71" i="2"/>
  <c r="V71" i="2"/>
  <c r="Z71" i="2"/>
  <c r="AB71" i="2"/>
  <c r="T71" i="2"/>
  <c r="X71" i="2"/>
  <c r="L39" i="2"/>
  <c r="T42" i="2"/>
  <c r="R42" i="2"/>
  <c r="R72" i="2"/>
  <c r="Z72" i="2"/>
  <c r="AB72" i="2"/>
  <c r="T72" i="2"/>
  <c r="V72" i="2"/>
  <c r="X72" i="2"/>
  <c r="T20" i="2"/>
  <c r="R20" i="2"/>
  <c r="T31" i="2"/>
  <c r="R31" i="2"/>
  <c r="R44" i="2"/>
  <c r="T44" i="2"/>
  <c r="R73" i="2"/>
  <c r="T73" i="2"/>
  <c r="V73" i="2"/>
  <c r="Z73" i="2"/>
  <c r="AB73" i="2"/>
  <c r="X73" i="2"/>
  <c r="T21" i="2"/>
  <c r="R21" i="2"/>
  <c r="T29" i="2"/>
  <c r="R29" i="2"/>
  <c r="R43" i="2"/>
  <c r="T43" i="2"/>
  <c r="I39" i="2"/>
  <c r="H49" i="2"/>
  <c r="L50" i="2"/>
  <c r="R50" i="2" s="1"/>
  <c r="J69" i="2"/>
  <c r="J53" i="2"/>
  <c r="J57" i="2"/>
  <c r="I50" i="2"/>
  <c r="I49" i="2" s="1"/>
  <c r="L19" i="2"/>
  <c r="L10" i="2"/>
  <c r="L12" i="2"/>
  <c r="L13" i="2"/>
  <c r="L14" i="2"/>
  <c r="L15" i="2"/>
  <c r="L16" i="2"/>
  <c r="L17" i="2"/>
  <c r="L18" i="2"/>
  <c r="L76" i="2"/>
  <c r="AB76" i="2" s="1"/>
  <c r="L77" i="2"/>
  <c r="AB77" i="2" s="1"/>
  <c r="L75" i="2"/>
  <c r="R75" i="2" s="1"/>
  <c r="L62" i="2"/>
  <c r="L61" i="2"/>
  <c r="L59" i="2"/>
  <c r="L58" i="2"/>
  <c r="L55" i="2"/>
  <c r="L56" i="2"/>
  <c r="L54" i="2"/>
  <c r="L37" i="2"/>
  <c r="F19" i="1"/>
  <c r="E8" i="1"/>
  <c r="N77" i="2"/>
  <c r="N76" i="2"/>
  <c r="N75" i="2"/>
  <c r="N62" i="2"/>
  <c r="N61" i="2"/>
  <c r="N59" i="2"/>
  <c r="N58" i="2"/>
  <c r="N56" i="2"/>
  <c r="N55" i="2"/>
  <c r="N54" i="2"/>
  <c r="N50" i="2"/>
  <c r="L46" i="2"/>
  <c r="N37" i="2"/>
  <c r="N36" i="2"/>
  <c r="D36" i="2"/>
  <c r="N35" i="2"/>
  <c r="D35" i="2"/>
  <c r="D30" i="2"/>
  <c r="I30" i="2" s="1"/>
  <c r="D23" i="2"/>
  <c r="I23" i="2" s="1"/>
  <c r="D11" i="2"/>
  <c r="I11" i="2" s="1"/>
  <c r="D9" i="2"/>
  <c r="I9" i="2" s="1"/>
  <c r="D8" i="2"/>
  <c r="I8" i="2" s="1"/>
  <c r="D7" i="2"/>
  <c r="Z37" i="2" l="1"/>
  <c r="AB37" i="2"/>
  <c r="V54" i="2"/>
  <c r="X54" i="2"/>
  <c r="X62" i="2"/>
  <c r="V62" i="2"/>
  <c r="T18" i="2"/>
  <c r="R18" i="2"/>
  <c r="T12" i="2"/>
  <c r="R12" i="2"/>
  <c r="T14" i="2"/>
  <c r="R14" i="2"/>
  <c r="V61" i="2"/>
  <c r="X61" i="2"/>
  <c r="T56" i="2"/>
  <c r="R56" i="2"/>
  <c r="T17" i="2"/>
  <c r="R17" i="2"/>
  <c r="R10" i="2"/>
  <c r="T10" i="2"/>
  <c r="L7" i="2"/>
  <c r="I7" i="2"/>
  <c r="I6" i="2" s="1"/>
  <c r="X55" i="2"/>
  <c r="R55" i="2"/>
  <c r="T55" i="2"/>
  <c r="V55" i="2"/>
  <c r="R16" i="2"/>
  <c r="T16" i="2"/>
  <c r="R19" i="2"/>
  <c r="T19" i="2"/>
  <c r="X59" i="2"/>
  <c r="V59" i="2"/>
  <c r="R13" i="2"/>
  <c r="T13" i="2"/>
  <c r="J34" i="2"/>
  <c r="I35" i="2"/>
  <c r="V58" i="2"/>
  <c r="X58" i="2"/>
  <c r="T15" i="2"/>
  <c r="R15" i="2"/>
  <c r="L35" i="2"/>
  <c r="L36" i="2"/>
  <c r="I75" i="2"/>
  <c r="H69" i="2"/>
  <c r="I76" i="2"/>
  <c r="I77" i="2"/>
  <c r="I62" i="2"/>
  <c r="I54" i="2"/>
  <c r="I56" i="2"/>
  <c r="I55" i="2"/>
  <c r="H34" i="2"/>
  <c r="I58" i="2"/>
  <c r="I36" i="2"/>
  <c r="I59" i="2"/>
  <c r="H57" i="2"/>
  <c r="I61" i="2"/>
  <c r="H53" i="2"/>
  <c r="L30" i="2"/>
  <c r="L8" i="2"/>
  <c r="L9" i="2"/>
  <c r="L11" i="2"/>
  <c r="D24" i="2"/>
  <c r="I24" i="2" s="1"/>
  <c r="L23" i="2"/>
  <c r="L49" i="2"/>
  <c r="D25" i="2"/>
  <c r="I25" i="2" s="1"/>
  <c r="R30" i="2" l="1"/>
  <c r="T30" i="2"/>
  <c r="AB36" i="2"/>
  <c r="Z36" i="2"/>
  <c r="T8" i="2"/>
  <c r="R8" i="2"/>
  <c r="T23" i="2"/>
  <c r="R23" i="2"/>
  <c r="Z35" i="2"/>
  <c r="AB35" i="2"/>
  <c r="T11" i="2"/>
  <c r="R11" i="2"/>
  <c r="T7" i="2"/>
  <c r="R7" i="2"/>
  <c r="T9" i="2"/>
  <c r="R9" i="2"/>
  <c r="L6" i="2"/>
  <c r="L69" i="2"/>
  <c r="I69" i="2"/>
  <c r="L57" i="2"/>
  <c r="I34" i="2"/>
  <c r="L34" i="2"/>
  <c r="L53" i="2"/>
  <c r="I53" i="2"/>
  <c r="I57" i="2"/>
  <c r="L25" i="2"/>
  <c r="L24" i="2"/>
  <c r="R24" i="2" l="1"/>
  <c r="T24" i="2"/>
  <c r="T25" i="2"/>
  <c r="R25" i="2"/>
  <c r="I22" i="2"/>
  <c r="I78" i="2" s="1"/>
  <c r="L22" i="2"/>
  <c r="L51" i="2" s="1"/>
  <c r="L65" i="2"/>
  <c r="L67" i="2" l="1"/>
  <c r="L79" i="2" s="1"/>
  <c r="E39" i="1" l="1"/>
  <c r="F13" i="1" s="1"/>
  <c r="E12" i="1" s="1"/>
  <c r="R79" i="2"/>
  <c r="E19" i="1" l="1"/>
  <c r="H80" i="2" s="1"/>
  <c r="L80" i="2" l="1"/>
  <c r="R80" i="2"/>
  <c r="R81" i="2" s="1"/>
  <c r="AB80" i="2"/>
  <c r="AB81" i="2" s="1"/>
  <c r="AB83" i="2" s="1"/>
  <c r="X80" i="2"/>
  <c r="X81" i="2" s="1"/>
  <c r="X83" i="2" s="1"/>
  <c r="Z80" i="2"/>
  <c r="Z81" i="2" s="1"/>
  <c r="Z83" i="2" s="1"/>
  <c r="T80" i="2"/>
  <c r="T81" i="2" s="1"/>
  <c r="V80" i="2"/>
  <c r="V81" i="2" s="1"/>
  <c r="V83" i="2" s="1"/>
  <c r="L81" i="2" l="1"/>
  <c r="L82" i="2" l="1"/>
  <c r="T82" i="2" l="1"/>
  <c r="T83" i="2" s="1"/>
  <c r="R82" i="2"/>
  <c r="R83" i="2" s="1"/>
  <c r="L83" i="2"/>
  <c r="O50" i="2" l="1"/>
  <c r="Q50" i="2" s="1"/>
  <c r="O42" i="2"/>
  <c r="O34" i="2"/>
  <c r="O26" i="2"/>
  <c r="O18" i="2"/>
  <c r="O10" i="2"/>
  <c r="O62" i="2"/>
  <c r="O54" i="2"/>
  <c r="O73" i="2"/>
  <c r="O32" i="2"/>
  <c r="O8" i="2"/>
  <c r="O65" i="2"/>
  <c r="O23" i="2"/>
  <c r="O67" i="2"/>
  <c r="O49" i="2"/>
  <c r="O41" i="2"/>
  <c r="O33" i="2"/>
  <c r="O25" i="2"/>
  <c r="O17" i="2"/>
  <c r="O9" i="2"/>
  <c r="O61" i="2"/>
  <c r="O53" i="2"/>
  <c r="O74" i="2"/>
  <c r="O16" i="2"/>
  <c r="O83" i="2"/>
  <c r="O39" i="2"/>
  <c r="O7" i="2"/>
  <c r="O46" i="2"/>
  <c r="O38" i="2"/>
  <c r="O30" i="2"/>
  <c r="O22" i="2"/>
  <c r="O14" i="2"/>
  <c r="O6" i="2"/>
  <c r="O58" i="2"/>
  <c r="O69" i="2"/>
  <c r="O77" i="2"/>
  <c r="AA77" i="2" s="1"/>
  <c r="O40" i="2"/>
  <c r="O24" i="2"/>
  <c r="O75" i="2"/>
  <c r="Q75" i="2" s="1"/>
  <c r="O31" i="2"/>
  <c r="O59" i="2"/>
  <c r="O45" i="2"/>
  <c r="O37" i="2"/>
  <c r="O29" i="2"/>
  <c r="O21" i="2"/>
  <c r="O13" i="2"/>
  <c r="O51" i="2"/>
  <c r="O57" i="2"/>
  <c r="O70" i="2"/>
  <c r="O78" i="2"/>
  <c r="O48" i="2"/>
  <c r="O60" i="2"/>
  <c r="O47" i="2"/>
  <c r="O15" i="2"/>
  <c r="O76" i="2"/>
  <c r="AA76" i="2" s="1"/>
  <c r="O44" i="2"/>
  <c r="O36" i="2"/>
  <c r="O28" i="2"/>
  <c r="O20" i="2"/>
  <c r="O12" i="2"/>
  <c r="O64" i="2"/>
  <c r="O56" i="2"/>
  <c r="O71" i="2"/>
  <c r="O79" i="2"/>
  <c r="Q79" i="2" s="1"/>
  <c r="O43" i="2"/>
  <c r="O35" i="2"/>
  <c r="O27" i="2"/>
  <c r="O19" i="2"/>
  <c r="O11" i="2"/>
  <c r="O63" i="2"/>
  <c r="O55" i="2"/>
  <c r="O72" i="2"/>
  <c r="O80" i="2"/>
  <c r="O81" i="2"/>
  <c r="O82" i="2"/>
  <c r="Y35" i="2" l="1"/>
  <c r="AA35" i="2"/>
  <c r="W58" i="2"/>
  <c r="U58" i="2"/>
  <c r="Q32" i="2"/>
  <c r="S32" i="2"/>
  <c r="S42" i="2"/>
  <c r="Q42" i="2"/>
  <c r="S43" i="2"/>
  <c r="Q43" i="2"/>
  <c r="AA36" i="2"/>
  <c r="Y36" i="2"/>
  <c r="Y70" i="2"/>
  <c r="U70" i="2"/>
  <c r="S70" i="2"/>
  <c r="Q70" i="2"/>
  <c r="AA70" i="2"/>
  <c r="W70" i="2"/>
  <c r="AA73" i="2"/>
  <c r="S73" i="2"/>
  <c r="Y73" i="2"/>
  <c r="U73" i="2"/>
  <c r="Q73" i="2"/>
  <c r="W73" i="2"/>
  <c r="U72" i="2"/>
  <c r="W72" i="2"/>
  <c r="Y72" i="2"/>
  <c r="AA72" i="2"/>
  <c r="Q72" i="2"/>
  <c r="S72" i="2"/>
  <c r="S44" i="2"/>
  <c r="Q44" i="2"/>
  <c r="Q31" i="2"/>
  <c r="S31" i="2"/>
  <c r="S14" i="2"/>
  <c r="Q14" i="2"/>
  <c r="S16" i="2"/>
  <c r="Q16" i="2"/>
  <c r="Q41" i="2"/>
  <c r="S41" i="2"/>
  <c r="W54" i="2"/>
  <c r="U54" i="2"/>
  <c r="S25" i="2"/>
  <c r="Q25" i="2"/>
  <c r="S55" i="2"/>
  <c r="U55" i="2"/>
  <c r="Q55" i="2"/>
  <c r="W55" i="2"/>
  <c r="Q71" i="2"/>
  <c r="AA71" i="2"/>
  <c r="Y71" i="2"/>
  <c r="S71" i="2"/>
  <c r="W71" i="2"/>
  <c r="U71" i="2"/>
  <c r="S74" i="2"/>
  <c r="AA74" i="2"/>
  <c r="Q74" i="2"/>
  <c r="Y74" i="2"/>
  <c r="U74" i="2"/>
  <c r="W74" i="2"/>
  <c r="W62" i="2"/>
  <c r="U62" i="2"/>
  <c r="U63" i="2"/>
  <c r="W63" i="2"/>
  <c r="Q56" i="2"/>
  <c r="S56" i="2"/>
  <c r="S15" i="2"/>
  <c r="Q15" i="2"/>
  <c r="Q13" i="2"/>
  <c r="S13" i="2"/>
  <c r="S24" i="2"/>
  <c r="Q24" i="2"/>
  <c r="S30" i="2"/>
  <c r="Q30" i="2"/>
  <c r="Q10" i="2"/>
  <c r="S10" i="2"/>
  <c r="U64" i="2"/>
  <c r="W64" i="2"/>
  <c r="S28" i="2"/>
  <c r="Q28" i="2"/>
  <c r="S11" i="2"/>
  <c r="Q11" i="2"/>
  <c r="AA47" i="2"/>
  <c r="U47" i="2"/>
  <c r="Y47" i="2"/>
  <c r="W47" i="2"/>
  <c r="S21" i="2"/>
  <c r="Q21" i="2"/>
  <c r="Q40" i="2"/>
  <c r="S40" i="2"/>
  <c r="U61" i="2"/>
  <c r="W61" i="2"/>
  <c r="S23" i="2"/>
  <c r="Q23" i="2"/>
  <c r="Q18" i="2"/>
  <c r="S18" i="2"/>
  <c r="Q19" i="2"/>
  <c r="S19" i="2"/>
  <c r="Q12" i="2"/>
  <c r="S12" i="2"/>
  <c r="U60" i="2"/>
  <c r="W60" i="2"/>
  <c r="Q29" i="2"/>
  <c r="S29" i="2"/>
  <c r="Q9" i="2"/>
  <c r="S9" i="2"/>
  <c r="S26" i="2"/>
  <c r="Q26" i="2"/>
  <c r="S82" i="2"/>
  <c r="Q82" i="2"/>
  <c r="Q27" i="2"/>
  <c r="S27" i="2"/>
  <c r="S20" i="2"/>
  <c r="Q20" i="2"/>
  <c r="AA37" i="2"/>
  <c r="Y37" i="2"/>
  <c r="Q7" i="2"/>
  <c r="S7" i="2"/>
  <c r="Q17" i="2"/>
  <c r="S17" i="2"/>
  <c r="S8" i="2"/>
  <c r="Q8" i="2"/>
  <c r="W59" i="2"/>
  <c r="U59" i="2"/>
  <c r="Y80" i="2" l="1"/>
  <c r="Y81" i="2" s="1"/>
  <c r="Y83" i="2" s="1"/>
  <c r="S80" i="2"/>
  <c r="S81" i="2" s="1"/>
  <c r="S83" i="2" s="1"/>
  <c r="U80" i="2"/>
  <c r="U81" i="2" s="1"/>
  <c r="U83" i="2" s="1"/>
  <c r="Q80" i="2"/>
  <c r="Q81" i="2" s="1"/>
  <c r="Q83" i="2" s="1"/>
  <c r="W80" i="2"/>
  <c r="W81" i="2" s="1"/>
  <c r="W83" i="2" s="1"/>
  <c r="AA80" i="2"/>
  <c r="AA81" i="2" s="1"/>
  <c r="AA83" i="2" s="1"/>
</calcChain>
</file>

<file path=xl/sharedStrings.xml><?xml version="1.0" encoding="utf-8"?>
<sst xmlns="http://schemas.openxmlformats.org/spreadsheetml/2006/main" count="656" uniqueCount="261">
  <si>
    <t>Proprietário: FINEP</t>
  </si>
  <si>
    <t>Endereço:  Rua Joaquim Floriano, 512 - 12º andar, bloco C - Edifício Brascan Century Corporate - Itaim Bibi, São Paulo, SP</t>
  </si>
  <si>
    <t xml:space="preserve">Obra:  Readaquação do Departamento Regional Sudeste </t>
  </si>
  <si>
    <t>ITEM</t>
  </si>
  <si>
    <t>MATERIAIS</t>
  </si>
  <si>
    <t>UN.</t>
  </si>
  <si>
    <t>QUAN.</t>
  </si>
  <si>
    <t>TABELA UTILIZADA</t>
  </si>
  <si>
    <t>CÓDIGO</t>
  </si>
  <si>
    <t>PERCENTUAL</t>
  </si>
  <si>
    <t>1.0</t>
  </si>
  <si>
    <t>ARQUITETURA - PLANTA BAIXA</t>
  </si>
  <si>
    <t>1.1</t>
  </si>
  <si>
    <t>1.1.1</t>
  </si>
  <si>
    <t>REMOÇÃO DE CHAPAS E PERFIS DE DRYWALL, DE FORMA MANUAL, SEM REAPROVEITAMENTO. AF_09/2023</t>
  </si>
  <si>
    <t>M2</t>
  </si>
  <si>
    <t>1.1.2</t>
  </si>
  <si>
    <t>REMOÇÃO DE VIDRO TEMPERADO FIXADO EM PERFIL U. AF_01/2021 (VIDRO DUPLO COM PORTAS)</t>
  </si>
  <si>
    <t>1.1.3</t>
  </si>
  <si>
    <t>DEMOLIÇÃO DE ALVENARIA PARA QUALQUER TIPO DE BLOCO, DE FORMA MECANIZADA, SEM REAPROVEITAMENTO. AF_09/2023 (MADEIRA DA RECEPÇÃO)</t>
  </si>
  <si>
    <t>M3</t>
  </si>
  <si>
    <t>1.1.4</t>
  </si>
  <si>
    <t>REMOÇÃO DE LUMINÁRIAS, DE FORMA MANUAL, SEM REAPROVEITAMENTO. AF_09/2023</t>
  </si>
  <si>
    <t>UN</t>
  </si>
  <si>
    <t>1.1.5</t>
  </si>
  <si>
    <t>REMOÇÃO DE ACESSÓRIOS, DE FORMA MANUAL, SEM REAPROVEITAMENTO. AF_09/2023 (CARPETE)</t>
  </si>
  <si>
    <t>1.1.6</t>
  </si>
  <si>
    <t>REMOÇÃO DE ACESSÓRIOS, DE FORMA MANUAL, SEM REAPROVEITAMENTO. AF_09/2023 (CÂMERAS)</t>
  </si>
  <si>
    <t>1.1.7</t>
  </si>
  <si>
    <t>REMOÇÃO DE ACESSÓRIOS, DE FORMA MANUAL, SEM REAPROVEITAMENTO. AF_09/2023 (SUPORTE DE TV)</t>
  </si>
  <si>
    <t>1.1.8</t>
  </si>
  <si>
    <t>REMOÇÃO DE ACESSÓRIOS, DE FORMA MANUAL, SEM REAPROVEITAMENTO. AF_09/2023 (IDENTIDADE VISUAL DAS PORTAS)</t>
  </si>
  <si>
    <t>1.1.9</t>
  </si>
  <si>
    <t>REMOÇÃO DE ACESSÓRIOS, DE FORMA MANUAL, SEM REAPROVEITAMENTO. AF_09/2023 (ADESIVOS)</t>
  </si>
  <si>
    <t>1.1.10</t>
  </si>
  <si>
    <t>REMOÇÃO DE LOUÇAS, DE FORMA MANUAL, SEM REAPROVEITAMENTO. AF_09/2023</t>
  </si>
  <si>
    <t>1.1.11</t>
  </si>
  <si>
    <t>REMOÇÃO DE CABOS ELÉTRICOS, COM SEÇÃO MAIOR QUE 2,5 MM² E MENOR QUE 10 MM², DE FORMA MANUAL, SEM REAPROVEITAMENTO. AF_09/2023 (CABEAMENTO ESTRUTURADO ATUAL)</t>
  </si>
  <si>
    <t>M</t>
  </si>
  <si>
    <t>1.1.13</t>
  </si>
  <si>
    <t>MARCENEIRO COM ENCARGOS COMPLEMENTARES (REMOÇÃO DE ARMÁRIO PLANEJADO, SEM REAPROVEITAMENTO)</t>
  </si>
  <si>
    <t>H</t>
  </si>
  <si>
    <t>1.1.12</t>
  </si>
  <si>
    <t>CARGA, MANOBRA E DESCARGA DE ENTULHO EM CAMINHÃO BASCULANTE 6 M³ - CARGA COM ESCAVADEIRA HIDRÁULICA  (CAÇAMBA DE 0,80 M³ / 111 HP) E DESCARGA LIVRE (UNIDADE: M3). AF_07/2020</t>
  </si>
  <si>
    <t>1.2</t>
  </si>
  <si>
    <t>1.2.1</t>
  </si>
  <si>
    <t>PAREDE COM SISTEMA EM CHAPAS DE GESSO PARA DRYWALL, USO INTERNO, COM DUAS FACES SIMPLES E ESTRUTURA METÁLICA COM GUIAS SIMPLES, SEM VÃOS. AF_07/2023_PS</t>
  </si>
  <si>
    <t>1.2.2</t>
  </si>
  <si>
    <t>EMASSAMENTO COM MASSA LÁTEX, APLICAÇÃO EM PAREDE, UMA DEMÃO, LIXAMENTO MANUAL. AF_04/2023</t>
  </si>
  <si>
    <t>1.2.3</t>
  </si>
  <si>
    <t>FUNDO SELADOR ACRÍLICO, APLICAÇÃO MANUAL EM PAREDE, UMA DEMÃO. AF_04/2023</t>
  </si>
  <si>
    <t>1.2.4</t>
  </si>
  <si>
    <t xml:space="preserve">PINTURA LÁTEX ACRÍLICA PREMIUM, APLICAÇÃO MANUAL EM PAREDES, DUAS DEMÃOS. AF_04/2023 (TINTA ACRÍLICA ACETINADA NA COR BRANCO. REF.: BRANCO NEVE SUVINIL OU EQUIVALENTE) </t>
  </si>
  <si>
    <t>1.2.5</t>
  </si>
  <si>
    <t xml:space="preserve">PINTURA LÁTEX ACRÍLICA PREMIUM, APLICAÇÃO MANUAL EM PAREDES, DUAS DEMÃOS. AF_04/2023 (TINTA ACRÍLICA ACETINADA NA COR DO PANTONE FINEP LARANJA) </t>
  </si>
  <si>
    <t>1.2.6</t>
  </si>
  <si>
    <t xml:space="preserve">PINTURA LÁTEX ACRÍLICA PREMIUM, APLICAÇÃO MANUAL EM PAREDES, DUAS DEMÃOS. AF_04/2023 (TINTA ACRÍLICA ACETINADA NA COR DO PANTONE FINEP AMARELO) </t>
  </si>
  <si>
    <t>1.2.7</t>
  </si>
  <si>
    <t xml:space="preserve">PINTURA LÁTEX ACRÍLICA PREMIUM, APLICAÇÃO MANUAL EM PAREDES, DUAS DEMÃOS. AF_04/2023 (TINTA ACRÍLICA ACETINADA NA COR DO PANTONE VERDE) </t>
  </si>
  <si>
    <t>1.2.8</t>
  </si>
  <si>
    <t>MARMORISTA/GRANITEIRO COM ENCARGOS COMPLEMENTARES (FURO NA PIA DA COPA PARA COOKTOP)</t>
  </si>
  <si>
    <t>1.2.9</t>
  </si>
  <si>
    <t>MARCENEIRO COM ENCARGOS COMPLEMENTARES (ADAPTAR ESTANTE)</t>
  </si>
  <si>
    <t>2.0</t>
  </si>
  <si>
    <t>ARQUITETURA - COMUNICAÇÃO VISUAL</t>
  </si>
  <si>
    <t>2.1</t>
  </si>
  <si>
    <t>IMAGENS COM MENSAGEM CORPORATIVA ADESIVADA - FORNECIMENTO E INSTALAÇÃO</t>
  </si>
  <si>
    <t>COMPOSIÇÃO</t>
  </si>
  <si>
    <t>PELICULA FOSCA - FORNECIMENTO E INSTALAÇÃO</t>
  </si>
  <si>
    <t>PORTAS: IDENTIFICAÇÃO COM NOME DA SALA EM ACRÍLICO E ADESIVO - FORNECIMENTO E INSTALAÇÃO</t>
  </si>
  <si>
    <t>3.0</t>
  </si>
  <si>
    <t xml:space="preserve">ARQUITETURA - TETO </t>
  </si>
  <si>
    <t>3.1</t>
  </si>
  <si>
    <t>3.1.1</t>
  </si>
  <si>
    <t>APLICAÇÃO MANUAL DE GESSO DESEMPENADO (SEM TALISCAS) EM TETO DE AMBIENTES DE ÁREA MENOR QUE 5M², ESPESSURA DE 0,5CM. AF_03/2023</t>
  </si>
  <si>
    <t>3.1.2</t>
  </si>
  <si>
    <t>PINTURA LÁTEX ACRÍLICA PREMIUM, APLICAÇÃO MANUAL EM TETO, DUAS DEMÃOS. AF_04/2023</t>
  </si>
  <si>
    <t>3.1.3</t>
  </si>
  <si>
    <t>LUMINÁRIA TIPO SPOT, DE SOBREPOR, COM 1 LÂMPADA FLUORESCENTE DE 15 W, SEM REATOR - FORNECIMENTO E INSTALAÇÃO. AF_02/2020</t>
  </si>
  <si>
    <t>4.0</t>
  </si>
  <si>
    <t>ARQUITETURA - PISO</t>
  </si>
  <si>
    <t>4.1</t>
  </si>
  <si>
    <t xml:space="preserve">CARPETE DE NYLON EM PLACAS 50 X 50 CM PARA TRAFEGO COMERCIAL PESADO, E = 6,5 MM (INSTALADO)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</si>
  <si>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5.0</t>
  </si>
  <si>
    <t>ARQUITETURA - INCÊNDIO</t>
  </si>
  <si>
    <t>5.1</t>
  </si>
  <si>
    <t>ATUALIZAÇÃO DO PROJETO DE SEGURANÇA CONTRA INCENDIO E PANICO PARA LEGALIZAÇÃO JUNTO AO CORPO DE BOMBEIROS COM EMISSÃO DE ART e FAT</t>
  </si>
  <si>
    <t>VB</t>
  </si>
  <si>
    <t>TOTAL ARQUITETURA</t>
  </si>
  <si>
    <t>6.0</t>
  </si>
  <si>
    <t xml:space="preserve">INSTALAÇÕES ELÉTRICAS </t>
  </si>
  <si>
    <t>INSTALAÇÕES ELÉTRICAS DO LAYOUT</t>
  </si>
  <si>
    <t xml:space="preserve">ABERTURA E FECHAMENTO DE PISO ELEVADO, CONSIDERANDO 40% DA ÁREA DO PISO EXISTENTE </t>
  </si>
  <si>
    <t>NOBREAK TRIFÁSICO 15kVA, ENTRADA 220/127V, SAIDA 220/127V, DE ACORDO COM ESPECIFICAÇÕES TÉCNICAS DO MEMORIAL DESCRITIVO - FORNECIMENTO E INSTALAÇÃO.</t>
  </si>
  <si>
    <t>7.0</t>
  </si>
  <si>
    <t>CABEAMENTO ESTRUTURADO/CFTV</t>
  </si>
  <si>
    <t>INSTALAÇÕES DE INFRAESTRURA DE REDES</t>
  </si>
  <si>
    <t>CABO HDMI 5M - FORNECIMENTO E INSTALAÇÃO</t>
  </si>
  <si>
    <t>CABO ELETRÔNICO CATEGORIA 6A BLINDADO, INSTALADO EM EDIFICAÇÃO INSTITUCIONAL - FORNECIMENTO E INSTALAÇÃO. AF_11/2019 (PATCH CORDS, LINE CORDS E CABEAMENTO HORIZONTAL)</t>
  </si>
  <si>
    <t>CONSOLIDATION POINT, CATEGORIA 6A, 24 PONTOS PARA PISO - FORNECIMENTO E INSTALAÇÃO</t>
  </si>
  <si>
    <t>CONSOLIDATION POINT, CATEGORIA 6A, 12 PONTOS PARA TETO - FORNECIMENTO E INSTALAÇÃO</t>
  </si>
  <si>
    <t>RACK ABERTO EM COLUNA 44U PARA SERVIDOR - FORNECIMENTO E INSTALAÇÃO. AF_11/2019</t>
  </si>
  <si>
    <t>PATCH PANEL 24 PORTAS, CATEGORIA 6A, - FORNECIMENTO E INSTALAÇÃO. AF_11/2019</t>
  </si>
  <si>
    <t>TOTAL INSTALAÇÕES</t>
  </si>
  <si>
    <t>TOTAL DA OBRA</t>
  </si>
  <si>
    <t>8.0</t>
  </si>
  <si>
    <t>CONSTRUTORA</t>
  </si>
  <si>
    <t>8.1.1</t>
  </si>
  <si>
    <t>ARQUITETO PLENO COM ENCARGOS COMPLEMENTARES</t>
  </si>
  <si>
    <t>MES</t>
  </si>
  <si>
    <t>8.1.2</t>
  </si>
  <si>
    <t>ENCARREGADO GERAL DE OBRAS COM ENCARGOS COMPLEMENTARES</t>
  </si>
  <si>
    <t>8.1.3</t>
  </si>
  <si>
    <t>ELETRICISTA COM ENCARGOS COMPLEMENTARES</t>
  </si>
  <si>
    <t>8.1.4</t>
  </si>
  <si>
    <t>AJUDANTE DE ELETRICISTA COM ENCARGOS COMPLEMENTARES</t>
  </si>
  <si>
    <t>8.1.5</t>
  </si>
  <si>
    <t>PLOTAGEM, IMPRESSÃO</t>
  </si>
  <si>
    <t>8.1.6</t>
  </si>
  <si>
    <t>AS BUILT</t>
  </si>
  <si>
    <t>8.1.7</t>
  </si>
  <si>
    <t>LIMPEZA FINAL DA OBRA</t>
  </si>
  <si>
    <t>9.0</t>
  </si>
  <si>
    <t>SEGURO DE RC = TOTAL DA OBRA + CONSTRUTORA</t>
  </si>
  <si>
    <t>vb</t>
  </si>
  <si>
    <t>10.0</t>
  </si>
  <si>
    <t>BDI</t>
  </si>
  <si>
    <t>OBSERVAÇÕES:</t>
  </si>
  <si>
    <t xml:space="preserve">1 - RELAÇÃO DE MATERIAIS ORIENTATIVA, CABENDO AO CONSTRUTOR CONFERIR E COMPLEMENTAR, NÃO EFETUAR COMPRA DE MATERIAIS BASEADO NESTA RELAÇÃO. </t>
  </si>
  <si>
    <t xml:space="preserve">2 - TODO MATERIAL OU SERVIÇO PREVISTO NESTE PROJETO QUE NÃO FOR EXECUTADO SERÁ GLOSADO NA MEDIÇÃO. </t>
  </si>
  <si>
    <t xml:space="preserve">3 - NO CAMPO TABELA UTILIZADA ONDE SE ENCONTRA COMPOSIÇÃO FOI FEITO PESQUISA MÉDIA DO VALOR DE MERCADO </t>
  </si>
  <si>
    <t>4 - NO CAMPO TABELA UTILIZADA ONDE SE ENCONTRA VERBA FOI DESTINADA UMA VERBA PARA EXECUÇÃO DO ITEM</t>
  </si>
  <si>
    <t xml:space="preserve">TABELA DE COMPOSIÇÃO DO  BDI </t>
  </si>
  <si>
    <t>DISCRIMINAÇÃO</t>
  </si>
  <si>
    <t>elemento da fórmula</t>
  </si>
  <si>
    <t>TAXA (%)</t>
  </si>
  <si>
    <t>Administração Central</t>
  </si>
  <si>
    <t>AC</t>
  </si>
  <si>
    <t>Despesas Financeiras</t>
  </si>
  <si>
    <t>DF</t>
  </si>
  <si>
    <t>Seguros, Riscos e Garantias</t>
  </si>
  <si>
    <t>Seguros e Garantias</t>
  </si>
  <si>
    <t>S</t>
  </si>
  <si>
    <t>3.2</t>
  </si>
  <si>
    <t>Riscos</t>
  </si>
  <si>
    <t>R</t>
  </si>
  <si>
    <t>Tributos</t>
  </si>
  <si>
    <t>I</t>
  </si>
  <si>
    <t>ISS</t>
  </si>
  <si>
    <t>4.2</t>
  </si>
  <si>
    <t>PIS</t>
  </si>
  <si>
    <t>4.3</t>
  </si>
  <si>
    <t>COFINS</t>
  </si>
  <si>
    <t>4.4</t>
  </si>
  <si>
    <t>CPRB</t>
  </si>
  <si>
    <t>LUCRO*</t>
  </si>
  <si>
    <t>L</t>
  </si>
  <si>
    <t>Fórmula do BDI :</t>
  </si>
  <si>
    <t>Referências</t>
  </si>
  <si>
    <t>Itens 1, 2, 3 e 5: Cartilha "ORIENTAÇÕES PARA ELABORAÇÃO DE PLANILHAS ORÇAMENTÁRIAS DE OBRAS PÚBLICAS" elaborada pelo TCU em 2014 (https://portal.tcu.gov.br/orientacoes-para-elaboracao-de-planilhas-orcamentarias-de-obras-publicas.htm)</t>
  </si>
  <si>
    <t xml:space="preserve">Itens 4.1:  Instrução Normativa SF/SUREM nº 08, de 18 de julho de 2011  </t>
  </si>
  <si>
    <t>Itens 4.2 e 4.3: LEI No 10.147, DE 21 DE DEZEMBRO DE 2000.</t>
  </si>
  <si>
    <t xml:space="preserve">Item 4.4: Lei nº 12.546/2011 </t>
  </si>
  <si>
    <t>MOLLINARI</t>
  </si>
  <si>
    <t>LEMAM</t>
  </si>
  <si>
    <t>FDV</t>
  </si>
  <si>
    <t>SINAPI SP MAI/2024</t>
  </si>
  <si>
    <t>SINAPI SP MAI/2024 (INSUMO)</t>
  </si>
  <si>
    <t>SINAPI SP MAR/2024</t>
  </si>
  <si>
    <t>11.0</t>
  </si>
  <si>
    <t>VALOR TOTAL DA MÃO DE OBRA</t>
  </si>
  <si>
    <t>CONSTRUÇÃO</t>
  </si>
  <si>
    <t>DEMOLIÇÃO</t>
  </si>
  <si>
    <t>% Custo de mão de obra</t>
  </si>
  <si>
    <t>1.1.14</t>
  </si>
  <si>
    <t>1.1.15</t>
  </si>
  <si>
    <t>REMOÇÃO DE FORRO MODULAR MINERAL, DE FORMA MANUAL. (NAS 03 SALAS DE REUNIÃO)</t>
  </si>
  <si>
    <t>REMOÇÃO DE TABEIRA/FAIXA DE GESSO ACARTONADO, DE FORMA MANUAL. (NAS 03 SALAS DE REUNIÃO)</t>
  </si>
  <si>
    <t>1.2.10</t>
  </si>
  <si>
    <t xml:space="preserve">EPI'S </t>
  </si>
  <si>
    <t>TABEIRA/FAIXA DE GESSO ACARTONADO, ATÉ 1M</t>
  </si>
  <si>
    <t>FORRO MODULAR MINERAL, ACESSÓRIOS E PERFIS - FORNECIMENTO E INSTALAÇÃO</t>
  </si>
  <si>
    <t>8.1.8</t>
  </si>
  <si>
    <t>SUB-TOTAL    (CMO + CM + CE)</t>
  </si>
  <si>
    <t>CMO             CUSTO MÃO DE OBRA</t>
  </si>
  <si>
    <t>CM          CUSTO MATERIAL</t>
  </si>
  <si>
    <t>CE                  CUSTO EQUIPAMENTO</t>
  </si>
  <si>
    <t>TOTAL MÃO-DE-OBRA  (QUAN. X CMO)</t>
  </si>
  <si>
    <t>BDI: INCIDE SOBRE TOTAL DA OBRA + CONSTRUTORA + SGURO RC (VER ABA BDI)</t>
  </si>
  <si>
    <t>1ª Medição</t>
  </si>
  <si>
    <t>2ª Medição</t>
  </si>
  <si>
    <t>3ª Medição</t>
  </si>
  <si>
    <t>%</t>
  </si>
  <si>
    <t>Valor</t>
  </si>
  <si>
    <t>-</t>
  </si>
  <si>
    <t>4ª Medição</t>
  </si>
  <si>
    <t>5ª Medição</t>
  </si>
  <si>
    <t>6ª Medição</t>
  </si>
  <si>
    <t>Fórmula do PV:</t>
  </si>
  <si>
    <t>Fórmula do FP:</t>
  </si>
  <si>
    <t>ELEMENTO DA FÓRMULA</t>
  </si>
  <si>
    <t>FP</t>
  </si>
  <si>
    <t>Fator percentual 1</t>
  </si>
  <si>
    <t>Fator percentual 2</t>
  </si>
  <si>
    <t>FP1</t>
  </si>
  <si>
    <t>FP2</t>
  </si>
  <si>
    <t>1.3</t>
  </si>
  <si>
    <t>1.4</t>
  </si>
  <si>
    <t>Área Construída Estimada 1</t>
  </si>
  <si>
    <t>Área Construída Estimada 2</t>
  </si>
  <si>
    <t>Área Construída Estimada</t>
  </si>
  <si>
    <t>1.5</t>
  </si>
  <si>
    <t>2.2</t>
  </si>
  <si>
    <t>2.3</t>
  </si>
  <si>
    <t>SC</t>
  </si>
  <si>
    <t>SC1</t>
  </si>
  <si>
    <t>SC2</t>
  </si>
  <si>
    <t xml:space="preserve">Fator percentual </t>
  </si>
  <si>
    <t>UNIDADES</t>
  </si>
  <si>
    <t>M²</t>
  </si>
  <si>
    <t>BH</t>
  </si>
  <si>
    <t>MODALIDADE DE REMUNERAÇÃO 01 - PERCENTUAL SOBRE O CUSTO DA OBRA</t>
  </si>
  <si>
    <t>Itens 1.1, 1.2, 1.4, 1.5 foram retirados da TABELA 5 da Cartilha acima</t>
  </si>
  <si>
    <t>Fórmula do R e SP:</t>
  </si>
  <si>
    <t>R$/M²</t>
  </si>
  <si>
    <t>Área do projeto</t>
  </si>
  <si>
    <t>SP</t>
  </si>
  <si>
    <t>Área construída não repetida</t>
  </si>
  <si>
    <t>Área construída repetida</t>
  </si>
  <si>
    <t>SNR</t>
  </si>
  <si>
    <t>SR</t>
  </si>
  <si>
    <t>Redutor</t>
  </si>
  <si>
    <t>r</t>
  </si>
  <si>
    <t>FATOR</t>
  </si>
  <si>
    <t>ÁREA DO PROJETO ARQUITETÔNICO (M²):</t>
  </si>
  <si>
    <t>7.1</t>
  </si>
  <si>
    <t>7.2</t>
  </si>
  <si>
    <t>7.3</t>
  </si>
  <si>
    <t>7.4</t>
  </si>
  <si>
    <t>7.5</t>
  </si>
  <si>
    <t>7.6</t>
  </si>
  <si>
    <t>7.7</t>
  </si>
  <si>
    <t>6.1</t>
  </si>
  <si>
    <t>6.2</t>
  </si>
  <si>
    <t>6.3</t>
  </si>
  <si>
    <t>VALOR TOTAL DA OBRA: OBRA + CONSTRUTORA + SEGURO + BDI</t>
  </si>
  <si>
    <t>VALOR TOTAL DA LICITAÇÃO: OBRA + CONSTRUTORA + SEGURO + BDI + PROJETO EXECUTIVO</t>
  </si>
  <si>
    <t>OBSERVAÇÃO: NÃO FOI UTILIZADO O VALOR DO CUB (SCxBH) PARA O CÁLCULO DO PREÇO DE VENDA DO PROJETO (PV). FOI UTILIZADO O VALOR TOTAL DA OBRA, PRESENTE NA ABA ORÇAMENTO.</t>
  </si>
  <si>
    <t>3.3</t>
  </si>
  <si>
    <t>3.4</t>
  </si>
  <si>
    <t>Razão entre área de projeto e área de construção – Redutor de fp</t>
  </si>
  <si>
    <r>
      <t xml:space="preserve">Base de Honorários </t>
    </r>
    <r>
      <rPr>
        <sz val="10"/>
        <color rgb="FFFF0000"/>
        <rFont val="Arial"/>
        <family val="2"/>
      </rPr>
      <t>*Não utilizada</t>
    </r>
  </si>
  <si>
    <t>Itens 2 foi retirado da TABELA 8 da Cartilha acima</t>
  </si>
  <si>
    <t>Itens 1.3, 3.2 e 3.3 foi retirado da RRT do Projeto Básico</t>
  </si>
  <si>
    <t>Itens 3.4 foi retirado da TABELA 4 da Cartilha acima</t>
  </si>
  <si>
    <t>CATEGORIA CONFORME TIPOLOGIA - C1: EDIFÍCIOS DE ESCRITÓRIOS E EDIFÍCIOS ADMINISTRATIVOS DE ANDAR CORRIDO - IV</t>
  </si>
  <si>
    <t>Todos os itens foram retirados da Cartilha "Modulo 1 Tabela de Honorários em Arquitetura e Urbanismo " Aprovada pela Resolução nº 64 do CAU/BR, de 8/11/2013 (https://honorario.caubr.gov.br/download/)</t>
  </si>
  <si>
    <t>12.0</t>
  </si>
  <si>
    <t>TABELA DE COMPOSIÇÃO DO PV</t>
  </si>
  <si>
    <t>PV (em porcentagem)</t>
  </si>
  <si>
    <t>PV: PREÇO DE VENDA DO PROJETO ARQUITETÔNICO (VER ABA PV)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</si>
</sst>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0.000%"/>
    <numFmt numFmtId="166" formatCode="0.0"/>
    <numFmt numFmtId="167" formatCode="_-[$R$-416]\ * #,##0.0_-;\-[$R$-416]\ * #,##0.0_-;_-[$R$-416]\ * &quot;-&quot;??_-;_-@_-"/>
    <numFmt numFmtId="168" formatCode="0.0%"/>
    <numFmt numFmtId="169" formatCode="0.0000%"/>
    <numFmt numFmtId="170" formatCode="&quot;R$&quot;\ #,##0.00"/>
  </numFmts>
  <fonts count="3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Courier New"/>
      <family val="3"/>
    </font>
    <font>
      <sz val="9"/>
      <name val="Courier New"/>
      <family val="3"/>
    </font>
    <font>
      <b/>
      <sz val="10"/>
      <name val="Courier New"/>
      <family val="3"/>
    </font>
    <font>
      <b/>
      <sz val="9"/>
      <name val="Courier New"/>
      <family val="3"/>
    </font>
    <font>
      <sz val="10"/>
      <name val="Arial"/>
      <family val="2"/>
    </font>
    <font>
      <sz val="10"/>
      <name val="Times New Roman"/>
      <family val="1"/>
    </font>
    <font>
      <sz val="10"/>
      <name val="Courier New"/>
      <family val="3"/>
    </font>
    <font>
      <sz val="11"/>
      <name val="Courier New"/>
      <family val="3"/>
    </font>
    <font>
      <b/>
      <sz val="11"/>
      <name val="Courier New"/>
      <family val="3"/>
    </font>
    <font>
      <b/>
      <sz val="10"/>
      <color rgb="FFFF0000"/>
      <name val="Courier New"/>
      <family val="3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i/>
      <sz val="10"/>
      <color indexed="8"/>
      <name val="Calibri"/>
      <family val="2"/>
    </font>
    <font>
      <b/>
      <sz val="10"/>
      <name val="Arial"/>
      <family val="2"/>
    </font>
    <font>
      <b/>
      <sz val="12"/>
      <name val="Courier New"/>
      <family val="3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9" tint="-0.249977111117893"/>
      <name val="Arial"/>
      <family val="2"/>
    </font>
    <font>
      <b/>
      <sz val="10"/>
      <color theme="9"/>
      <name val="Courier New"/>
      <family val="3"/>
    </font>
    <font>
      <sz val="10"/>
      <color theme="9"/>
      <name val="Courier New"/>
      <family val="3"/>
    </font>
    <font>
      <b/>
      <sz val="9"/>
      <color theme="8"/>
      <name val="Arial"/>
      <family val="2"/>
    </font>
    <font>
      <b/>
      <sz val="10"/>
      <color theme="8"/>
      <name val="Courier New"/>
      <family val="3"/>
    </font>
    <font>
      <sz val="10"/>
      <color theme="8"/>
      <name val="Courier New"/>
      <family val="3"/>
    </font>
    <font>
      <b/>
      <sz val="9"/>
      <color theme="6"/>
      <name val="Arial"/>
      <family val="2"/>
    </font>
    <font>
      <b/>
      <sz val="10"/>
      <color theme="6"/>
      <name val="Courier New"/>
      <family val="3"/>
    </font>
    <font>
      <sz val="10"/>
      <color theme="6"/>
      <name val="Courier New"/>
      <family val="3"/>
    </font>
    <font>
      <sz val="12"/>
      <name val="Courier New"/>
      <family val="3"/>
    </font>
    <font>
      <b/>
      <sz val="11"/>
      <color rgb="FFFF0000"/>
      <name val="Courier New"/>
      <family val="3"/>
    </font>
    <font>
      <sz val="10"/>
      <color rgb="FFFF0000"/>
      <name val="Arial"/>
      <family val="2"/>
    </font>
    <font>
      <b/>
      <sz val="12"/>
      <color theme="8"/>
      <name val="Courier New"/>
      <family val="3"/>
    </font>
    <font>
      <b/>
      <sz val="12"/>
      <color theme="6"/>
      <name val="Courier New"/>
      <family val="3"/>
    </font>
    <font>
      <b/>
      <sz val="9"/>
      <name val="Arial"/>
      <family val="2"/>
    </font>
    <font>
      <b/>
      <sz val="11"/>
      <color indexed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 tint="-9.9948118533890809E-2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7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2" fontId="4" fillId="5" borderId="1" xfId="1" applyNumberFormat="1" applyFont="1" applyFill="1" applyBorder="1" applyAlignment="1" applyProtection="1">
      <alignment horizontal="center" vertical="center"/>
    </xf>
    <xf numFmtId="164" fontId="4" fillId="4" borderId="1" xfId="1" applyNumberFormat="1" applyFont="1" applyFill="1" applyBorder="1" applyAlignment="1">
      <alignment horizontal="center" vertical="center"/>
    </xf>
    <xf numFmtId="43" fontId="4" fillId="4" borderId="1" xfId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3" fontId="4" fillId="4" borderId="1" xfId="1" applyNumberFormat="1" applyFont="1" applyFill="1" applyBorder="1" applyAlignment="1" applyProtection="1">
      <alignment horizontal="center" vertical="center"/>
    </xf>
    <xf numFmtId="2" fontId="4" fillId="4" borderId="1" xfId="1" applyNumberFormat="1" applyFont="1" applyFill="1" applyBorder="1" applyAlignment="1" applyProtection="1">
      <alignment horizontal="center" vertical="center"/>
    </xf>
    <xf numFmtId="164" fontId="4" fillId="4" borderId="1" xfId="1" applyNumberFormat="1" applyFont="1" applyFill="1" applyBorder="1" applyAlignment="1" applyProtection="1">
      <alignment horizontal="center" vertical="center"/>
    </xf>
    <xf numFmtId="4" fontId="4" fillId="7" borderId="1" xfId="3" applyNumberFormat="1" applyFont="1" applyFill="1" applyBorder="1" applyAlignment="1">
      <alignment horizontal="center" vertical="center"/>
    </xf>
    <xf numFmtId="2" fontId="4" fillId="7" borderId="1" xfId="3" applyNumberFormat="1" applyFont="1" applyFill="1" applyBorder="1" applyAlignment="1">
      <alignment horizontal="center" vertical="center"/>
    </xf>
    <xf numFmtId="164" fontId="4" fillId="7" borderId="1" xfId="3" applyNumberFormat="1" applyFont="1" applyFill="1" applyBorder="1" applyAlignment="1">
      <alignment horizontal="center" vertical="center"/>
    </xf>
    <xf numFmtId="0" fontId="4" fillId="4" borderId="1" xfId="3" applyFont="1" applyFill="1" applyBorder="1" applyAlignment="1">
      <alignment horizontal="center" vertical="center"/>
    </xf>
    <xf numFmtId="2" fontId="4" fillId="4" borderId="1" xfId="3" applyNumberFormat="1" applyFont="1" applyFill="1" applyBorder="1" applyAlignment="1">
      <alignment horizontal="center" vertical="center"/>
    </xf>
    <xf numFmtId="164" fontId="4" fillId="4" borderId="1" xfId="3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 applyProtection="1">
      <alignment horizontal="center" vertical="center"/>
    </xf>
    <xf numFmtId="3" fontId="4" fillId="3" borderId="1" xfId="1" applyNumberFormat="1" applyFont="1" applyFill="1" applyBorder="1" applyAlignment="1" applyProtection="1">
      <alignment horizontal="center" vertical="center"/>
    </xf>
    <xf numFmtId="4" fontId="4" fillId="4" borderId="1" xfId="3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7" borderId="1" xfId="1" applyNumberFormat="1" applyFont="1" applyFill="1" applyBorder="1" applyAlignment="1">
      <alignment horizontal="center" vertical="center"/>
    </xf>
    <xf numFmtId="43" fontId="4" fillId="7" borderId="1" xfId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3" fillId="10" borderId="18" xfId="4" applyFont="1" applyFill="1" applyBorder="1" applyAlignment="1">
      <alignment horizontal="left" vertical="top" wrapText="1" indent="1"/>
    </xf>
    <xf numFmtId="0" fontId="13" fillId="10" borderId="1" xfId="4" applyFont="1" applyFill="1" applyBorder="1" applyAlignment="1">
      <alignment horizontal="left" vertical="top" wrapText="1"/>
    </xf>
    <xf numFmtId="0" fontId="13" fillId="10" borderId="1" xfId="4" applyFont="1" applyFill="1" applyBorder="1" applyAlignment="1">
      <alignment horizontal="center" vertical="top" wrapText="1"/>
    </xf>
    <xf numFmtId="10" fontId="12" fillId="10" borderId="1" xfId="5" applyNumberFormat="1" applyFont="1" applyFill="1" applyBorder="1" applyAlignment="1">
      <alignment horizontal="center" vertical="top" wrapText="1"/>
    </xf>
    <xf numFmtId="10" fontId="13" fillId="10" borderId="19" xfId="6" applyNumberFormat="1" applyFont="1" applyFill="1" applyBorder="1"/>
    <xf numFmtId="9" fontId="0" fillId="0" borderId="0" xfId="5" applyFont="1"/>
    <xf numFmtId="10" fontId="12" fillId="10" borderId="1" xfId="6" applyNumberFormat="1" applyFont="1" applyFill="1" applyBorder="1" applyAlignment="1">
      <alignment horizontal="center" vertical="top" wrapText="1"/>
    </xf>
    <xf numFmtId="0" fontId="13" fillId="10" borderId="1" xfId="4" applyFont="1" applyFill="1" applyBorder="1" applyAlignment="1">
      <alignment horizontal="right" vertical="top" wrapText="1"/>
    </xf>
    <xf numFmtId="0" fontId="13" fillId="10" borderId="1" xfId="4" applyFont="1" applyFill="1" applyBorder="1" applyAlignment="1">
      <alignment horizontal="justify" vertical="top" wrapText="1"/>
    </xf>
    <xf numFmtId="0" fontId="13" fillId="10" borderId="20" xfId="4" applyFont="1" applyFill="1" applyBorder="1" applyAlignment="1">
      <alignment horizontal="center" vertical="top" wrapText="1"/>
    </xf>
    <xf numFmtId="0" fontId="13" fillId="10" borderId="21" xfId="4" applyFont="1" applyFill="1" applyBorder="1" applyAlignment="1">
      <alignment horizontal="center" vertical="top" wrapText="1"/>
    </xf>
    <xf numFmtId="0" fontId="13" fillId="10" borderId="14" xfId="4" applyFont="1" applyFill="1" applyBorder="1" applyAlignment="1">
      <alignment horizontal="center" vertical="top" wrapText="1"/>
    </xf>
    <xf numFmtId="0" fontId="12" fillId="10" borderId="22" xfId="4" applyFont="1" applyFill="1" applyBorder="1" applyAlignment="1">
      <alignment horizontal="center" vertical="top" wrapText="1"/>
    </xf>
    <xf numFmtId="0" fontId="12" fillId="10" borderId="2" xfId="4" applyFont="1" applyFill="1" applyBorder="1" applyAlignment="1">
      <alignment horizontal="center" vertical="top" wrapText="1"/>
    </xf>
    <xf numFmtId="0" fontId="12" fillId="10" borderId="23" xfId="4" applyFont="1" applyFill="1" applyBorder="1" applyAlignment="1">
      <alignment horizontal="center" vertical="top" wrapText="1"/>
    </xf>
    <xf numFmtId="0" fontId="15" fillId="10" borderId="0" xfId="4" applyFont="1" applyFill="1"/>
    <xf numFmtId="2" fontId="16" fillId="10" borderId="0" xfId="4" applyNumberFormat="1" applyFont="1" applyFill="1" applyAlignment="1">
      <alignment horizontal="center"/>
    </xf>
    <xf numFmtId="0" fontId="15" fillId="10" borderId="7" xfId="4" applyFont="1" applyFill="1" applyBorder="1"/>
    <xf numFmtId="0" fontId="15" fillId="10" borderId="6" xfId="4" applyFont="1" applyFill="1" applyBorder="1"/>
    <xf numFmtId="0" fontId="17" fillId="10" borderId="0" xfId="4" applyFont="1" applyFill="1"/>
    <xf numFmtId="10" fontId="12" fillId="10" borderId="0" xfId="7" applyNumberFormat="1" applyFont="1" applyFill="1" applyBorder="1" applyAlignment="1">
      <alignment horizontal="center"/>
    </xf>
    <xf numFmtId="0" fontId="0" fillId="10" borderId="26" xfId="0" applyFill="1" applyBorder="1"/>
    <xf numFmtId="0" fontId="0" fillId="10" borderId="27" xfId="0" applyFill="1" applyBorder="1"/>
    <xf numFmtId="0" fontId="0" fillId="10" borderId="28" xfId="0" applyFill="1" applyBorder="1"/>
    <xf numFmtId="0" fontId="18" fillId="0" borderId="0" xfId="0" applyFont="1"/>
    <xf numFmtId="0" fontId="6" fillId="0" borderId="0" xfId="0" applyFont="1"/>
    <xf numFmtId="0" fontId="9" fillId="11" borderId="1" xfId="0" applyFont="1" applyFill="1" applyBorder="1" applyAlignment="1">
      <alignment horizontal="center" vertical="center"/>
    </xf>
    <xf numFmtId="2" fontId="9" fillId="11" borderId="1" xfId="2" applyNumberFormat="1" applyFont="1" applyFill="1" applyBorder="1" applyAlignment="1">
      <alignment horizontal="center" vertical="center"/>
    </xf>
    <xf numFmtId="164" fontId="9" fillId="11" borderId="1" xfId="1" applyNumberFormat="1" applyFont="1" applyFill="1" applyBorder="1" applyAlignment="1">
      <alignment horizontal="center" vertical="center"/>
    </xf>
    <xf numFmtId="164" fontId="10" fillId="11" borderId="1" xfId="1" applyNumberFormat="1" applyFont="1" applyFill="1" applyBorder="1" applyAlignment="1">
      <alignment horizontal="center" vertical="center"/>
    </xf>
    <xf numFmtId="43" fontId="9" fillId="11" borderId="1" xfId="1" applyFont="1" applyFill="1" applyBorder="1" applyAlignment="1">
      <alignment horizontal="center" vertical="center"/>
    </xf>
    <xf numFmtId="166" fontId="9" fillId="11" borderId="1" xfId="0" applyNumberFormat="1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2" fontId="10" fillId="11" borderId="1" xfId="1" applyNumberFormat="1" applyFont="1" applyFill="1" applyBorder="1" applyAlignment="1">
      <alignment horizontal="center" vertical="center"/>
    </xf>
    <xf numFmtId="43" fontId="10" fillId="11" borderId="1" xfId="1" applyFont="1" applyFill="1" applyBorder="1" applyAlignment="1">
      <alignment horizontal="center" vertical="center"/>
    </xf>
    <xf numFmtId="166" fontId="10" fillId="11" borderId="1" xfId="0" applyNumberFormat="1" applyFont="1" applyFill="1" applyBorder="1" applyAlignment="1">
      <alignment horizontal="center" vertical="center" wrapText="1"/>
    </xf>
    <xf numFmtId="0" fontId="6" fillId="10" borderId="6" xfId="4" applyFill="1" applyBorder="1" applyAlignment="1">
      <alignment horizontal="left"/>
    </xf>
    <xf numFmtId="10" fontId="10" fillId="11" borderId="1" xfId="2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2" fontId="4" fillId="3" borderId="1" xfId="1" applyNumberFormat="1" applyFont="1" applyFill="1" applyBorder="1" applyAlignment="1" applyProtection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 wrapText="1"/>
    </xf>
    <xf numFmtId="2" fontId="4" fillId="8" borderId="1" xfId="1" applyNumberFormat="1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2" fontId="4" fillId="7" borderId="1" xfId="1" applyNumberFormat="1" applyFont="1" applyFill="1" applyBorder="1" applyAlignment="1" applyProtection="1">
      <alignment horizontal="center" vertical="center"/>
    </xf>
    <xf numFmtId="0" fontId="10" fillId="1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vertical="center" wrapText="1"/>
    </xf>
    <xf numFmtId="44" fontId="8" fillId="0" borderId="1" xfId="8" applyFont="1" applyFill="1" applyBorder="1" applyAlignment="1">
      <alignment horizontal="right" vertical="center"/>
    </xf>
    <xf numFmtId="44" fontId="8" fillId="0" borderId="1" xfId="8" applyFont="1" applyBorder="1" applyAlignment="1">
      <alignment horizontal="right" vertical="center"/>
    </xf>
    <xf numFmtId="44" fontId="2" fillId="0" borderId="1" xfId="8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10" borderId="0" xfId="0" applyFont="1" applyFill="1" applyAlignment="1">
      <alignment vertical="center"/>
    </xf>
    <xf numFmtId="0" fontId="19" fillId="10" borderId="0" xfId="0" applyFont="1" applyFill="1" applyAlignment="1">
      <alignment vertical="center" wrapText="1"/>
    </xf>
    <xf numFmtId="0" fontId="19" fillId="10" borderId="0" xfId="0" applyFont="1" applyFill="1" applyAlignment="1">
      <alignment horizontal="center" vertical="center"/>
    </xf>
    <xf numFmtId="2" fontId="19" fillId="10" borderId="0" xfId="0" applyNumberFormat="1" applyFont="1" applyFill="1" applyAlignment="1">
      <alignment horizontal="center" vertical="center"/>
    </xf>
    <xf numFmtId="164" fontId="19" fillId="10" borderId="0" xfId="0" applyNumberFormat="1" applyFont="1" applyFill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164" fontId="10" fillId="13" borderId="1" xfId="1" applyNumberFormat="1" applyFont="1" applyFill="1" applyBorder="1" applyAlignment="1">
      <alignment horizontal="center" vertical="center"/>
    </xf>
    <xf numFmtId="43" fontId="5" fillId="13" borderId="1" xfId="1" applyFont="1" applyFill="1" applyBorder="1" applyAlignment="1">
      <alignment horizontal="center" vertical="center"/>
    </xf>
    <xf numFmtId="164" fontId="4" fillId="10" borderId="0" xfId="0" applyNumberFormat="1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44" fontId="4" fillId="5" borderId="1" xfId="8" applyFont="1" applyFill="1" applyBorder="1" applyAlignment="1" applyProtection="1">
      <alignment horizontal="center" vertical="center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10" borderId="0" xfId="0" applyFont="1" applyFill="1" applyAlignment="1">
      <alignment horizontal="center" vertical="center"/>
    </xf>
    <xf numFmtId="164" fontId="4" fillId="10" borderId="0" xfId="1" applyNumberFormat="1" applyFont="1" applyFill="1" applyBorder="1" applyAlignment="1">
      <alignment horizontal="center" vertical="center"/>
    </xf>
    <xf numFmtId="43" fontId="4" fillId="10" borderId="0" xfId="1" applyFont="1" applyFill="1" applyBorder="1" applyAlignment="1">
      <alignment horizontal="center" vertical="center"/>
    </xf>
    <xf numFmtId="165" fontId="5" fillId="10" borderId="30" xfId="2" applyNumberFormat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vertical="center" wrapText="1"/>
    </xf>
    <xf numFmtId="0" fontId="4" fillId="14" borderId="1" xfId="0" applyFont="1" applyFill="1" applyBorder="1" applyAlignment="1">
      <alignment horizontal="center" vertical="center" wrapText="1"/>
    </xf>
    <xf numFmtId="2" fontId="4" fillId="14" borderId="1" xfId="0" applyNumberFormat="1" applyFont="1" applyFill="1" applyBorder="1" applyAlignment="1">
      <alignment horizontal="center" vertical="center" wrapText="1"/>
    </xf>
    <xf numFmtId="164" fontId="4" fillId="14" borderId="1" xfId="0" applyNumberFormat="1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/>
    </xf>
    <xf numFmtId="43" fontId="4" fillId="9" borderId="1" xfId="1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left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2" fontId="10" fillId="11" borderId="1" xfId="2" applyNumberFormat="1" applyFont="1" applyFill="1" applyBorder="1" applyAlignment="1">
      <alignment horizontal="center" vertical="center"/>
    </xf>
    <xf numFmtId="0" fontId="18" fillId="0" borderId="31" xfId="0" applyFont="1" applyBorder="1"/>
    <xf numFmtId="0" fontId="0" fillId="0" borderId="2" xfId="0" applyBorder="1"/>
    <xf numFmtId="10" fontId="21" fillId="0" borderId="29" xfId="2" applyNumberFormat="1" applyFont="1" applyBorder="1"/>
    <xf numFmtId="44" fontId="19" fillId="10" borderId="0" xfId="8" applyFont="1" applyFill="1" applyAlignment="1">
      <alignment horizontal="left" vertical="center"/>
    </xf>
    <xf numFmtId="44" fontId="5" fillId="2" borderId="1" xfId="8" applyFont="1" applyFill="1" applyBorder="1" applyAlignment="1">
      <alignment horizontal="left" vertical="center" wrapText="1"/>
    </xf>
    <xf numFmtId="44" fontId="4" fillId="3" borderId="1" xfId="8" applyFont="1" applyFill="1" applyBorder="1" applyAlignment="1" applyProtection="1">
      <alignment horizontal="left" vertical="center"/>
    </xf>
    <xf numFmtId="44" fontId="4" fillId="5" borderId="1" xfId="8" applyFont="1" applyFill="1" applyBorder="1" applyAlignment="1" applyProtection="1">
      <alignment horizontal="left" vertical="center"/>
    </xf>
    <xf numFmtId="44" fontId="2" fillId="0" borderId="1" xfId="8" applyFont="1" applyFill="1" applyBorder="1" applyAlignment="1">
      <alignment horizontal="left" vertical="center"/>
    </xf>
    <xf numFmtId="44" fontId="4" fillId="4" borderId="1" xfId="8" applyFont="1" applyFill="1" applyBorder="1" applyAlignment="1" applyProtection="1">
      <alignment horizontal="left" vertical="center"/>
    </xf>
    <xf numFmtId="44" fontId="4" fillId="7" borderId="1" xfId="8" applyFont="1" applyFill="1" applyBorder="1" applyAlignment="1">
      <alignment horizontal="left" vertical="center"/>
    </xf>
    <xf numFmtId="44" fontId="4" fillId="4" borderId="1" xfId="8" applyFont="1" applyFill="1" applyBorder="1" applyAlignment="1">
      <alignment horizontal="left" vertical="center"/>
    </xf>
    <xf numFmtId="44" fontId="4" fillId="4" borderId="1" xfId="8" applyFont="1" applyFill="1" applyBorder="1" applyAlignment="1">
      <alignment horizontal="left" vertical="center" wrapText="1"/>
    </xf>
    <xf numFmtId="44" fontId="4" fillId="10" borderId="0" xfId="8" applyFont="1" applyFill="1" applyAlignment="1">
      <alignment horizontal="left" vertical="center"/>
    </xf>
    <xf numFmtId="44" fontId="4" fillId="8" borderId="1" xfId="8" applyFont="1" applyFill="1" applyBorder="1" applyAlignment="1" applyProtection="1">
      <alignment horizontal="left" vertical="center"/>
    </xf>
    <xf numFmtId="44" fontId="4" fillId="7" borderId="1" xfId="8" applyFont="1" applyFill="1" applyBorder="1" applyAlignment="1" applyProtection="1">
      <alignment horizontal="left" vertical="center"/>
    </xf>
    <xf numFmtId="44" fontId="4" fillId="14" borderId="1" xfId="8" applyFont="1" applyFill="1" applyBorder="1" applyAlignment="1">
      <alignment horizontal="left" vertical="center" wrapText="1"/>
    </xf>
    <xf numFmtId="44" fontId="9" fillId="11" borderId="1" xfId="8" applyFont="1" applyFill="1" applyBorder="1" applyAlignment="1">
      <alignment horizontal="left" vertical="center"/>
    </xf>
    <xf numFmtId="44" fontId="10" fillId="11" borderId="1" xfId="8" applyFont="1" applyFill="1" applyBorder="1" applyAlignment="1">
      <alignment horizontal="left" vertical="center"/>
    </xf>
    <xf numFmtId="44" fontId="3" fillId="0" borderId="0" xfId="8" applyFont="1" applyAlignment="1">
      <alignment horizontal="left" vertical="center" wrapText="1"/>
    </xf>
    <xf numFmtId="165" fontId="4" fillId="0" borderId="0" xfId="2" applyNumberFormat="1" applyFont="1" applyAlignment="1">
      <alignment horizontal="center" vertical="center" wrapText="1"/>
    </xf>
    <xf numFmtId="167" fontId="4" fillId="0" borderId="0" xfId="0" applyNumberFormat="1" applyFont="1" applyAlignment="1">
      <alignment horizontal="center" vertical="center" wrapText="1"/>
    </xf>
    <xf numFmtId="44" fontId="4" fillId="4" borderId="1" xfId="8" applyFont="1" applyFill="1" applyBorder="1" applyAlignment="1" applyProtection="1">
      <alignment horizontal="center" vertical="center"/>
    </xf>
    <xf numFmtId="44" fontId="4" fillId="7" borderId="1" xfId="8" applyFont="1" applyFill="1" applyBorder="1" applyAlignment="1">
      <alignment horizontal="center" vertical="center"/>
    </xf>
    <xf numFmtId="44" fontId="4" fillId="4" borderId="1" xfId="8" applyFont="1" applyFill="1" applyBorder="1" applyAlignment="1">
      <alignment horizontal="center" vertical="center"/>
    </xf>
    <xf numFmtId="44" fontId="4" fillId="3" borderId="1" xfId="8" applyFont="1" applyFill="1" applyBorder="1" applyAlignment="1" applyProtection="1">
      <alignment horizontal="center" vertical="center"/>
    </xf>
    <xf numFmtId="44" fontId="4" fillId="4" borderId="1" xfId="8" applyFont="1" applyFill="1" applyBorder="1" applyAlignment="1">
      <alignment horizontal="center" vertical="center" wrapText="1"/>
    </xf>
    <xf numFmtId="44" fontId="4" fillId="7" borderId="1" xfId="8" applyFont="1" applyFill="1" applyBorder="1" applyAlignment="1" applyProtection="1">
      <alignment horizontal="center" vertical="center"/>
    </xf>
    <xf numFmtId="44" fontId="9" fillId="11" borderId="1" xfId="8" applyFont="1" applyFill="1" applyBorder="1" applyAlignment="1">
      <alignment horizontal="center" vertical="center"/>
    </xf>
    <xf numFmtId="44" fontId="10" fillId="11" borderId="1" xfId="8" applyFont="1" applyFill="1" applyBorder="1" applyAlignment="1">
      <alignment horizontal="center" vertical="center"/>
    </xf>
    <xf numFmtId="10" fontId="12" fillId="15" borderId="1" xfId="5" applyNumberFormat="1" applyFont="1" applyFill="1" applyBorder="1" applyAlignment="1">
      <alignment horizontal="center" vertical="top" wrapText="1"/>
    </xf>
    <xf numFmtId="10" fontId="12" fillId="15" borderId="1" xfId="6" applyNumberFormat="1" applyFont="1" applyFill="1" applyBorder="1" applyAlignment="1">
      <alignment horizontal="center" vertical="top" wrapText="1"/>
    </xf>
    <xf numFmtId="10" fontId="13" fillId="15" borderId="19" xfId="6" applyNumberFormat="1" applyFont="1" applyFill="1" applyBorder="1"/>
    <xf numFmtId="166" fontId="2" fillId="0" borderId="1" xfId="0" applyNumberFormat="1" applyFont="1" applyBorder="1" applyAlignment="1">
      <alignment horizontal="center" vertical="center" wrapText="1"/>
    </xf>
    <xf numFmtId="43" fontId="22" fillId="2" borderId="18" xfId="1" applyFont="1" applyFill="1" applyBorder="1" applyAlignment="1">
      <alignment horizontal="center" vertical="center"/>
    </xf>
    <xf numFmtId="165" fontId="2" fillId="9" borderId="1" xfId="2" applyNumberFormat="1" applyFont="1" applyFill="1" applyBorder="1" applyAlignment="1">
      <alignment horizontal="center" vertical="center" wrapText="1"/>
    </xf>
    <xf numFmtId="44" fontId="4" fillId="9" borderId="1" xfId="8" applyFont="1" applyFill="1" applyBorder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 wrapText="1"/>
    </xf>
    <xf numFmtId="165" fontId="4" fillId="9" borderId="1" xfId="2" applyNumberFormat="1" applyFont="1" applyFill="1" applyBorder="1" applyAlignment="1">
      <alignment horizontal="center" vertical="center" wrapText="1"/>
    </xf>
    <xf numFmtId="44" fontId="2" fillId="9" borderId="1" xfId="8" applyFont="1" applyFill="1" applyBorder="1" applyAlignment="1">
      <alignment horizontal="center" vertical="center" wrapText="1"/>
    </xf>
    <xf numFmtId="169" fontId="5" fillId="6" borderId="1" xfId="2" applyNumberFormat="1" applyFont="1" applyFill="1" applyBorder="1" applyAlignment="1">
      <alignment horizontal="center" vertical="center" wrapText="1"/>
    </xf>
    <xf numFmtId="165" fontId="23" fillId="9" borderId="1" xfId="2" applyNumberFormat="1" applyFont="1" applyFill="1" applyBorder="1" applyAlignment="1">
      <alignment horizontal="center" vertical="center" wrapText="1"/>
    </xf>
    <xf numFmtId="44" fontId="23" fillId="9" borderId="1" xfId="8" applyFont="1" applyFill="1" applyBorder="1" applyAlignment="1">
      <alignment horizontal="center" vertical="center" wrapText="1"/>
    </xf>
    <xf numFmtId="165" fontId="24" fillId="9" borderId="1" xfId="2" applyNumberFormat="1" applyFont="1" applyFill="1" applyBorder="1" applyAlignment="1">
      <alignment horizontal="center" vertical="center" wrapText="1"/>
    </xf>
    <xf numFmtId="44" fontId="24" fillId="9" borderId="1" xfId="8" applyFont="1" applyFill="1" applyBorder="1" applyAlignment="1">
      <alignment horizontal="center" vertical="center" wrapText="1"/>
    </xf>
    <xf numFmtId="43" fontId="25" fillId="2" borderId="18" xfId="1" applyFont="1" applyFill="1" applyBorder="1" applyAlignment="1">
      <alignment horizontal="center" vertical="center"/>
    </xf>
    <xf numFmtId="165" fontId="26" fillId="9" borderId="1" xfId="2" applyNumberFormat="1" applyFont="1" applyFill="1" applyBorder="1" applyAlignment="1">
      <alignment horizontal="center" vertical="center" wrapText="1"/>
    </xf>
    <xf numFmtId="44" fontId="26" fillId="9" borderId="1" xfId="8" applyFont="1" applyFill="1" applyBorder="1" applyAlignment="1">
      <alignment horizontal="center" vertical="center" wrapText="1"/>
    </xf>
    <xf numFmtId="165" fontId="27" fillId="9" borderId="1" xfId="2" applyNumberFormat="1" applyFont="1" applyFill="1" applyBorder="1" applyAlignment="1">
      <alignment horizontal="center" vertical="center" wrapText="1"/>
    </xf>
    <xf numFmtId="44" fontId="27" fillId="9" borderId="1" xfId="8" applyFont="1" applyFill="1" applyBorder="1" applyAlignment="1">
      <alignment horizontal="center" vertical="center" wrapText="1"/>
    </xf>
    <xf numFmtId="43" fontId="28" fillId="2" borderId="18" xfId="1" applyFont="1" applyFill="1" applyBorder="1" applyAlignment="1">
      <alignment horizontal="center" vertical="center"/>
    </xf>
    <xf numFmtId="165" fontId="29" fillId="9" borderId="1" xfId="2" applyNumberFormat="1" applyFont="1" applyFill="1" applyBorder="1" applyAlignment="1">
      <alignment horizontal="center" vertical="center" wrapText="1"/>
    </xf>
    <xf numFmtId="44" fontId="29" fillId="9" borderId="1" xfId="8" applyFont="1" applyFill="1" applyBorder="1" applyAlignment="1">
      <alignment horizontal="center" vertical="center" wrapText="1"/>
    </xf>
    <xf numFmtId="165" fontId="30" fillId="9" borderId="1" xfId="2" applyNumberFormat="1" applyFont="1" applyFill="1" applyBorder="1" applyAlignment="1">
      <alignment horizontal="center" vertical="center" wrapText="1"/>
    </xf>
    <xf numFmtId="44" fontId="30" fillId="9" borderId="1" xfId="8" applyFont="1" applyFill="1" applyBorder="1" applyAlignment="1">
      <alignment horizontal="center" vertical="center" wrapText="1"/>
    </xf>
    <xf numFmtId="169" fontId="3" fillId="0" borderId="0" xfId="0" applyNumberFormat="1" applyFont="1" applyAlignment="1">
      <alignment horizontal="center" vertical="center" wrapText="1"/>
    </xf>
    <xf numFmtId="44" fontId="2" fillId="10" borderId="1" xfId="8" applyFont="1" applyFill="1" applyBorder="1" applyAlignment="1">
      <alignment horizontal="center" vertical="center"/>
    </xf>
    <xf numFmtId="44" fontId="8" fillId="10" borderId="1" xfId="8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10" fontId="13" fillId="15" borderId="19" xfId="6" applyNumberFormat="1" applyFont="1" applyFill="1" applyBorder="1" applyAlignment="1">
      <alignment horizontal="center" vertical="center"/>
    </xf>
    <xf numFmtId="0" fontId="13" fillId="10" borderId="1" xfId="4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right" vertical="center" wrapText="1"/>
    </xf>
    <xf numFmtId="0" fontId="13" fillId="10" borderId="18" xfId="4" applyFont="1" applyFill="1" applyBorder="1" applyAlignment="1">
      <alignment horizontal="center" vertical="center" wrapText="1"/>
    </xf>
    <xf numFmtId="10" fontId="13" fillId="0" borderId="1" xfId="5" applyNumberFormat="1" applyFont="1" applyFill="1" applyBorder="1" applyAlignment="1">
      <alignment horizontal="center" vertical="center" wrapText="1"/>
    </xf>
    <xf numFmtId="10" fontId="13" fillId="0" borderId="19" xfId="6" applyNumberFormat="1" applyFont="1" applyBorder="1" applyAlignment="1">
      <alignment horizontal="center" vertical="center"/>
    </xf>
    <xf numFmtId="10" fontId="13" fillId="0" borderId="1" xfId="6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2" fontId="31" fillId="0" borderId="0" xfId="0" applyNumberFormat="1" applyFont="1" applyAlignment="1">
      <alignment horizontal="left" vertical="center"/>
    </xf>
    <xf numFmtId="164" fontId="3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44" fontId="9" fillId="0" borderId="0" xfId="8" applyFont="1" applyFill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2" fillId="10" borderId="18" xfId="4" applyFont="1" applyFill="1" applyBorder="1" applyAlignment="1">
      <alignment horizontal="center" vertical="center" wrapText="1"/>
    </xf>
    <xf numFmtId="0" fontId="12" fillId="10" borderId="1" xfId="4" applyFont="1" applyFill="1" applyBorder="1" applyAlignment="1">
      <alignment vertical="center" wrapText="1"/>
    </xf>
    <xf numFmtId="2" fontId="13" fillId="15" borderId="19" xfId="6" applyNumberFormat="1" applyFont="1" applyFill="1" applyBorder="1" applyAlignment="1">
      <alignment horizontal="center" vertical="center"/>
    </xf>
    <xf numFmtId="2" fontId="13" fillId="0" borderId="19" xfId="6" applyNumberFormat="1" applyFont="1" applyBorder="1" applyAlignment="1">
      <alignment horizontal="center" vertical="center"/>
    </xf>
    <xf numFmtId="2" fontId="12" fillId="0" borderId="19" xfId="6" applyNumberFormat="1" applyFont="1" applyBorder="1" applyAlignment="1">
      <alignment horizontal="center" vertical="center"/>
    </xf>
    <xf numFmtId="169" fontId="12" fillId="0" borderId="1" xfId="5" applyNumberFormat="1" applyFont="1" applyFill="1" applyBorder="1" applyAlignment="1">
      <alignment horizontal="center" vertical="center" wrapText="1"/>
    </xf>
    <xf numFmtId="2" fontId="12" fillId="0" borderId="1" xfId="5" applyNumberFormat="1" applyFont="1" applyFill="1" applyBorder="1" applyAlignment="1">
      <alignment horizontal="center" vertical="center" wrapText="1"/>
    </xf>
    <xf numFmtId="0" fontId="12" fillId="10" borderId="1" xfId="4" applyFont="1" applyFill="1" applyBorder="1" applyAlignment="1">
      <alignment horizontal="left" vertical="center" wrapText="1"/>
    </xf>
    <xf numFmtId="170" fontId="13" fillId="0" borderId="19" xfId="6" applyNumberFormat="1" applyFont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vertical="center" wrapText="1"/>
    </xf>
    <xf numFmtId="0" fontId="10" fillId="17" borderId="1" xfId="0" applyFont="1" applyFill="1" applyBorder="1" applyAlignment="1">
      <alignment horizontal="center" vertical="center"/>
    </xf>
    <xf numFmtId="2" fontId="2" fillId="17" borderId="1" xfId="1" applyNumberFormat="1" applyFont="1" applyFill="1" applyBorder="1" applyAlignment="1">
      <alignment horizontal="center" vertical="center"/>
    </xf>
    <xf numFmtId="164" fontId="10" fillId="17" borderId="1" xfId="1" applyNumberFormat="1" applyFont="1" applyFill="1" applyBorder="1" applyAlignment="1">
      <alignment horizontal="center" vertical="center"/>
    </xf>
    <xf numFmtId="43" fontId="5" fillId="17" borderId="1" xfId="1" applyFont="1" applyFill="1" applyBorder="1" applyAlignment="1">
      <alignment horizontal="center" vertical="center"/>
    </xf>
    <xf numFmtId="169" fontId="10" fillId="17" borderId="1" xfId="2" applyNumberFormat="1" applyFont="1" applyFill="1" applyBorder="1" applyAlignment="1">
      <alignment horizontal="center" vertical="center"/>
    </xf>
    <xf numFmtId="44" fontId="4" fillId="0" borderId="0" xfId="0" applyNumberFormat="1" applyFont="1" applyAlignment="1">
      <alignment horizontal="center" vertical="center" wrapText="1"/>
    </xf>
    <xf numFmtId="44" fontId="19" fillId="0" borderId="0" xfId="8" applyFont="1" applyAlignment="1">
      <alignment horizontal="center" vertical="center" wrapText="1"/>
    </xf>
    <xf numFmtId="44" fontId="22" fillId="2" borderId="19" xfId="8" applyFont="1" applyFill="1" applyBorder="1" applyAlignment="1">
      <alignment horizontal="center" vertical="center"/>
    </xf>
    <xf numFmtId="44" fontId="4" fillId="0" borderId="0" xfId="8" applyFont="1" applyAlignment="1">
      <alignment horizontal="center" vertical="center" wrapText="1"/>
    </xf>
    <xf numFmtId="44" fontId="2" fillId="0" borderId="0" xfId="8" applyFont="1" applyAlignment="1">
      <alignment horizontal="center" vertical="center" wrapText="1"/>
    </xf>
    <xf numFmtId="44" fontId="25" fillId="2" borderId="19" xfId="8" applyFont="1" applyFill="1" applyBorder="1" applyAlignment="1">
      <alignment horizontal="center" vertical="center"/>
    </xf>
    <xf numFmtId="44" fontId="28" fillId="2" borderId="19" xfId="8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44" fontId="34" fillId="0" borderId="0" xfId="8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4" fontId="26" fillId="0" borderId="0" xfId="8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44" fontId="27" fillId="0" borderId="0" xfId="8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44" fontId="35" fillId="0" borderId="0" xfId="8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4" fontId="29" fillId="0" borderId="0" xfId="8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4" fontId="30" fillId="0" borderId="0" xfId="8" applyFont="1" applyAlignment="1">
      <alignment horizontal="center" vertical="center" wrapText="1"/>
    </xf>
    <xf numFmtId="43" fontId="36" fillId="2" borderId="18" xfId="1" applyFont="1" applyFill="1" applyBorder="1" applyAlignment="1">
      <alignment horizontal="center" vertical="center"/>
    </xf>
    <xf numFmtId="44" fontId="36" fillId="2" borderId="19" xfId="8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2" fontId="19" fillId="10" borderId="9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10" fillId="11" borderId="31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10" fillId="11" borderId="2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25" fillId="2" borderId="32" xfId="0" applyFont="1" applyFill="1" applyBorder="1" applyAlignment="1">
      <alignment horizontal="center" vertical="center" wrapText="1"/>
    </xf>
    <xf numFmtId="0" fontId="25" fillId="2" borderId="33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36" fillId="2" borderId="32" xfId="0" applyFont="1" applyFill="1" applyBorder="1" applyAlignment="1">
      <alignment horizontal="center" vertical="center" wrapText="1"/>
    </xf>
    <xf numFmtId="0" fontId="36" fillId="2" borderId="33" xfId="0" applyFont="1" applyFill="1" applyBorder="1" applyAlignment="1">
      <alignment horizontal="center" vertical="center" wrapText="1"/>
    </xf>
    <xf numFmtId="0" fontId="28" fillId="2" borderId="32" xfId="0" applyFont="1" applyFill="1" applyBorder="1" applyAlignment="1">
      <alignment horizontal="center" vertical="center" wrapText="1"/>
    </xf>
    <xf numFmtId="0" fontId="28" fillId="2" borderId="33" xfId="0" applyFont="1" applyFill="1" applyBorder="1" applyAlignment="1">
      <alignment horizontal="center" vertical="center" wrapText="1"/>
    </xf>
    <xf numFmtId="169" fontId="14" fillId="9" borderId="24" xfId="2" applyNumberFormat="1" applyFont="1" applyFill="1" applyBorder="1" applyAlignment="1">
      <alignment horizontal="center"/>
    </xf>
    <xf numFmtId="169" fontId="14" fillId="9" borderId="25" xfId="2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32" fillId="2" borderId="31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29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left" vertical="center"/>
    </xf>
    <xf numFmtId="0" fontId="12" fillId="10" borderId="22" xfId="4" applyFont="1" applyFill="1" applyBorder="1" applyAlignment="1">
      <alignment horizontal="center" vertical="center" wrapText="1"/>
    </xf>
    <xf numFmtId="0" fontId="12" fillId="10" borderId="2" xfId="4" applyFont="1" applyFill="1" applyBorder="1" applyAlignment="1">
      <alignment horizontal="center" vertical="center" wrapText="1"/>
    </xf>
    <xf numFmtId="0" fontId="12" fillId="10" borderId="23" xfId="4" applyFont="1" applyFill="1" applyBorder="1" applyAlignment="1">
      <alignment horizontal="center" vertical="center" wrapText="1"/>
    </xf>
    <xf numFmtId="0" fontId="12" fillId="10" borderId="12" xfId="4" applyFont="1" applyFill="1" applyBorder="1" applyAlignment="1">
      <alignment horizontal="center" vertical="center" wrapText="1"/>
    </xf>
    <xf numFmtId="0" fontId="12" fillId="10" borderId="16" xfId="4" applyFont="1" applyFill="1" applyBorder="1" applyAlignment="1">
      <alignment horizontal="center" vertical="center" wrapText="1"/>
    </xf>
    <xf numFmtId="0" fontId="37" fillId="9" borderId="3" xfId="4" applyFont="1" applyFill="1" applyBorder="1" applyAlignment="1">
      <alignment horizontal="center" vertical="center"/>
    </xf>
    <xf numFmtId="0" fontId="37" fillId="9" borderId="4" xfId="4" applyFont="1" applyFill="1" applyBorder="1" applyAlignment="1">
      <alignment horizontal="center" vertical="center"/>
    </xf>
    <xf numFmtId="0" fontId="37" fillId="9" borderId="5" xfId="4" applyFont="1" applyFill="1" applyBorder="1" applyAlignment="1">
      <alignment horizontal="center" vertical="center"/>
    </xf>
    <xf numFmtId="0" fontId="37" fillId="9" borderId="8" xfId="4" applyFont="1" applyFill="1" applyBorder="1" applyAlignment="1">
      <alignment horizontal="center" vertical="center"/>
    </xf>
    <xf numFmtId="0" fontId="37" fillId="9" borderId="9" xfId="4" applyFont="1" applyFill="1" applyBorder="1" applyAlignment="1">
      <alignment horizontal="center" vertical="center"/>
    </xf>
    <xf numFmtId="0" fontId="37" fillId="9" borderId="10" xfId="4" applyFont="1" applyFill="1" applyBorder="1" applyAlignment="1">
      <alignment horizontal="center" vertical="center"/>
    </xf>
    <xf numFmtId="0" fontId="12" fillId="10" borderId="11" xfId="4" applyFont="1" applyFill="1" applyBorder="1" applyAlignment="1">
      <alignment horizontal="center" vertical="center" wrapText="1"/>
    </xf>
    <xf numFmtId="0" fontId="12" fillId="10" borderId="15" xfId="4" applyFont="1" applyFill="1" applyBorder="1" applyAlignment="1">
      <alignment horizontal="center" vertical="center" wrapText="1"/>
    </xf>
    <xf numFmtId="0" fontId="12" fillId="10" borderId="13" xfId="4" applyFont="1" applyFill="1" applyBorder="1" applyAlignment="1">
      <alignment horizontal="center" vertical="center" wrapText="1"/>
    </xf>
    <xf numFmtId="0" fontId="12" fillId="10" borderId="14" xfId="4" applyFont="1" applyFill="1" applyBorder="1" applyAlignment="1">
      <alignment horizontal="center" vertical="center" wrapText="1"/>
    </xf>
    <xf numFmtId="0" fontId="12" fillId="10" borderId="17" xfId="4" applyFont="1" applyFill="1" applyBorder="1" applyAlignment="1">
      <alignment horizontal="center" vertical="center" wrapText="1"/>
    </xf>
    <xf numFmtId="0" fontId="12" fillId="10" borderId="10" xfId="4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10" fontId="14" fillId="9" borderId="24" xfId="4" applyNumberFormat="1" applyFont="1" applyFill="1" applyBorder="1" applyAlignment="1">
      <alignment horizontal="center"/>
    </xf>
    <xf numFmtId="10" fontId="14" fillId="9" borderId="25" xfId="4" applyNumberFormat="1" applyFont="1" applyFill="1" applyBorder="1" applyAlignment="1">
      <alignment horizontal="center"/>
    </xf>
    <xf numFmtId="0" fontId="12" fillId="9" borderId="3" xfId="4" applyFont="1" applyFill="1" applyBorder="1" applyAlignment="1">
      <alignment horizontal="center" vertical="center"/>
    </xf>
    <xf numFmtId="0" fontId="12" fillId="9" borderId="4" xfId="4" applyFont="1" applyFill="1" applyBorder="1" applyAlignment="1">
      <alignment horizontal="center" vertical="center"/>
    </xf>
    <xf numFmtId="0" fontId="12" fillId="9" borderId="5" xfId="4" applyFont="1" applyFill="1" applyBorder="1" applyAlignment="1">
      <alignment horizontal="center" vertical="center"/>
    </xf>
    <xf numFmtId="0" fontId="12" fillId="9" borderId="8" xfId="4" applyFont="1" applyFill="1" applyBorder="1" applyAlignment="1">
      <alignment horizontal="center" vertical="center"/>
    </xf>
    <xf numFmtId="0" fontId="12" fillId="9" borderId="9" xfId="4" applyFont="1" applyFill="1" applyBorder="1" applyAlignment="1">
      <alignment horizontal="center" vertical="center"/>
    </xf>
    <xf numFmtId="0" fontId="12" fillId="9" borderId="10" xfId="4" applyFont="1" applyFill="1" applyBorder="1" applyAlignment="1">
      <alignment horizontal="center" vertical="center"/>
    </xf>
  </cellXfs>
  <cellStyles count="9">
    <cellStyle name="Moeda" xfId="8" builtinId="4"/>
    <cellStyle name="Normal" xfId="0" builtinId="0"/>
    <cellStyle name="Normal 2" xfId="6" xr:uid="{1CEB27EC-CC6B-49D0-8EE5-376E5E7C3C05}"/>
    <cellStyle name="Normal 6 2 4" xfId="4" xr:uid="{3E599B2E-63CF-4FA7-B777-D612C3595605}"/>
    <cellStyle name="Normal_administração (CI 001-2006) 2" xfId="3" xr:uid="{55F9C632-2D84-4509-8029-70918B206640}"/>
    <cellStyle name="Porcentagem" xfId="2" builtinId="5"/>
    <cellStyle name="Porcentagem 2" xfId="5" xr:uid="{E0AE0028-6B1D-4AB8-A991-6C4ACBEBF7A6}"/>
    <cellStyle name="Porcentagem 7 2 4" xfId="7" xr:uid="{8CF059AE-01B1-4E6C-8534-5634E64009EA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22</xdr:row>
      <xdr:rowOff>114301</xdr:rowOff>
    </xdr:from>
    <xdr:to>
      <xdr:col>4</xdr:col>
      <xdr:colOff>533400</xdr:colOff>
      <xdr:row>26</xdr:row>
      <xdr:rowOff>103657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77DA47-7F80-8F96-FAB1-403F36D3A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4295776"/>
          <a:ext cx="3467100" cy="751356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28</xdr:row>
      <xdr:rowOff>9525</xdr:rowOff>
    </xdr:from>
    <xdr:to>
      <xdr:col>6</xdr:col>
      <xdr:colOff>597927</xdr:colOff>
      <xdr:row>31</xdr:row>
      <xdr:rowOff>85725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9833A74-ECE8-2FD2-4E87-AC1C4CF666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8642" b="7407"/>
        <a:stretch/>
      </xdr:blipFill>
      <xdr:spPr>
        <a:xfrm>
          <a:off x="581025" y="5334000"/>
          <a:ext cx="6379602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581025</xdr:colOff>
      <xdr:row>33</xdr:row>
      <xdr:rowOff>47625</xdr:rowOff>
    </xdr:from>
    <xdr:to>
      <xdr:col>6</xdr:col>
      <xdr:colOff>637405</xdr:colOff>
      <xdr:row>41</xdr:row>
      <xdr:rowOff>152196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71F6D45-CB5B-C1CD-F05D-9802DA471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0" y="6324600"/>
          <a:ext cx="6161905" cy="16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20</xdr:row>
      <xdr:rowOff>114301</xdr:rowOff>
    </xdr:from>
    <xdr:to>
      <xdr:col>5</xdr:col>
      <xdr:colOff>361950</xdr:colOff>
      <xdr:row>30</xdr:row>
      <xdr:rowOff>77375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FAD161-0C93-467F-9E4E-096E0B98F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152901"/>
          <a:ext cx="3771900" cy="1868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43B7B-FEAD-4E76-A7B9-00B8653E8700}">
  <dimension ref="A1:AE91"/>
  <sheetViews>
    <sheetView topLeftCell="M1" zoomScale="85" zoomScaleNormal="85" workbookViewId="0">
      <pane ySplit="4" topLeftCell="A5" activePane="bottomLeft" state="frozen"/>
      <selection activeCell="B4" sqref="B4"/>
      <selection pane="bottomLeft" activeCell="K61" sqref="K61:K64"/>
    </sheetView>
  </sheetViews>
  <sheetFormatPr defaultColWidth="11.42578125" defaultRowHeight="13.5" x14ac:dyDescent="0.25"/>
  <cols>
    <col min="1" max="1" width="7.28515625" style="3" customWidth="1"/>
    <col min="2" max="2" width="67.42578125" style="1" customWidth="1"/>
    <col min="3" max="3" width="5.28515625" style="3" customWidth="1"/>
    <col min="4" max="4" width="10" style="46" bestFit="1" customWidth="1"/>
    <col min="5" max="5" width="17.28515625" style="148" hidden="1" customWidth="1"/>
    <col min="6" max="7" width="16" style="46" hidden="1" customWidth="1"/>
    <col min="8" max="8" width="22.5703125" style="47" bestFit="1" customWidth="1"/>
    <col min="9" max="9" width="24.28515625" style="47" customWidth="1"/>
    <col min="10" max="10" width="17.85546875" style="47" customWidth="1"/>
    <col min="11" max="11" width="19.85546875" style="47" customWidth="1"/>
    <col min="12" max="12" width="20.42578125" style="47" customWidth="1"/>
    <col min="13" max="13" width="26.7109375" style="2" bestFit="1" customWidth="1"/>
    <col min="14" max="14" width="10" style="2" bestFit="1" customWidth="1"/>
    <col min="15" max="15" width="14.5703125" style="2" bestFit="1" customWidth="1"/>
    <col min="16" max="16" width="18.5703125" style="3" bestFit="1" customWidth="1"/>
    <col min="17" max="17" width="15.42578125" style="3" bestFit="1" customWidth="1"/>
    <col min="18" max="18" width="18.42578125" style="224" bestFit="1" customWidth="1"/>
    <col min="19" max="19" width="13.7109375" style="3" bestFit="1" customWidth="1"/>
    <col min="20" max="20" width="18.42578125" style="224" bestFit="1" customWidth="1"/>
    <col min="21" max="21" width="13.85546875" style="231" customWidth="1"/>
    <col min="22" max="22" width="18.42578125" style="232" bestFit="1" customWidth="1"/>
    <col min="23" max="23" width="14.42578125" style="237" customWidth="1"/>
    <col min="24" max="24" width="18.42578125" style="238" bestFit="1" customWidth="1"/>
    <col min="25" max="25" width="13.7109375" style="3" bestFit="1" customWidth="1"/>
    <col min="26" max="26" width="18.42578125" style="224" bestFit="1" customWidth="1"/>
    <col min="27" max="27" width="13.7109375" style="231" bestFit="1" customWidth="1"/>
    <col min="28" max="28" width="18.42578125" style="232" bestFit="1" customWidth="1"/>
    <col min="29" max="30" width="11.42578125" style="3"/>
    <col min="31" max="31" width="21.42578125" style="3" bestFit="1" customWidth="1"/>
    <col min="32" max="261" width="11.42578125" style="3"/>
    <col min="262" max="262" width="7.28515625" style="3" customWidth="1"/>
    <col min="263" max="263" width="65.42578125" style="3" customWidth="1"/>
    <col min="264" max="264" width="5.28515625" style="3" customWidth="1"/>
    <col min="265" max="265" width="10" style="3" bestFit="1" customWidth="1"/>
    <col min="266" max="266" width="22.28515625" style="3" bestFit="1" customWidth="1"/>
    <col min="267" max="267" width="19.85546875" style="3" bestFit="1" customWidth="1"/>
    <col min="268" max="268" width="19.85546875" style="3" customWidth="1"/>
    <col min="269" max="269" width="16" style="3" bestFit="1" customWidth="1"/>
    <col min="270" max="270" width="12" style="3" customWidth="1"/>
    <col min="271" max="271" width="15.140625" style="3" customWidth="1"/>
    <col min="272" max="272" width="18.5703125" style="3" bestFit="1" customWidth="1"/>
    <col min="273" max="273" width="14.7109375" style="3" bestFit="1" customWidth="1"/>
    <col min="274" max="277" width="11.5703125" style="3" bestFit="1" customWidth="1"/>
    <col min="278" max="278" width="11.42578125" style="3"/>
    <col min="279" max="279" width="14.42578125" style="3" customWidth="1"/>
    <col min="280" max="517" width="11.42578125" style="3"/>
    <col min="518" max="518" width="7.28515625" style="3" customWidth="1"/>
    <col min="519" max="519" width="65.42578125" style="3" customWidth="1"/>
    <col min="520" max="520" width="5.28515625" style="3" customWidth="1"/>
    <col min="521" max="521" width="10" style="3" bestFit="1" customWidth="1"/>
    <col min="522" max="522" width="22.28515625" style="3" bestFit="1" customWidth="1"/>
    <col min="523" max="523" width="19.85546875" style="3" bestFit="1" customWidth="1"/>
    <col min="524" max="524" width="19.85546875" style="3" customWidth="1"/>
    <col min="525" max="525" width="16" style="3" bestFit="1" customWidth="1"/>
    <col min="526" max="526" width="12" style="3" customWidth="1"/>
    <col min="527" max="527" width="15.140625" style="3" customWidth="1"/>
    <col min="528" max="528" width="18.5703125" style="3" bestFit="1" customWidth="1"/>
    <col min="529" max="529" width="14.7109375" style="3" bestFit="1" customWidth="1"/>
    <col min="530" max="533" width="11.5703125" style="3" bestFit="1" customWidth="1"/>
    <col min="534" max="534" width="11.42578125" style="3"/>
    <col min="535" max="535" width="14.42578125" style="3" customWidth="1"/>
    <col min="536" max="773" width="11.42578125" style="3"/>
    <col min="774" max="774" width="7.28515625" style="3" customWidth="1"/>
    <col min="775" max="775" width="65.42578125" style="3" customWidth="1"/>
    <col min="776" max="776" width="5.28515625" style="3" customWidth="1"/>
    <col min="777" max="777" width="10" style="3" bestFit="1" customWidth="1"/>
    <col min="778" max="778" width="22.28515625" style="3" bestFit="1" customWidth="1"/>
    <col min="779" max="779" width="19.85546875" style="3" bestFit="1" customWidth="1"/>
    <col min="780" max="780" width="19.85546875" style="3" customWidth="1"/>
    <col min="781" max="781" width="16" style="3" bestFit="1" customWidth="1"/>
    <col min="782" max="782" width="12" style="3" customWidth="1"/>
    <col min="783" max="783" width="15.140625" style="3" customWidth="1"/>
    <col min="784" max="784" width="18.5703125" style="3" bestFit="1" customWidth="1"/>
    <col min="785" max="785" width="14.7109375" style="3" bestFit="1" customWidth="1"/>
    <col min="786" max="789" width="11.5703125" style="3" bestFit="1" customWidth="1"/>
    <col min="790" max="790" width="11.42578125" style="3"/>
    <col min="791" max="791" width="14.42578125" style="3" customWidth="1"/>
    <col min="792" max="1029" width="11.42578125" style="3"/>
    <col min="1030" max="1030" width="7.28515625" style="3" customWidth="1"/>
    <col min="1031" max="1031" width="65.42578125" style="3" customWidth="1"/>
    <col min="1032" max="1032" width="5.28515625" style="3" customWidth="1"/>
    <col min="1033" max="1033" width="10" style="3" bestFit="1" customWidth="1"/>
    <col min="1034" max="1034" width="22.28515625" style="3" bestFit="1" customWidth="1"/>
    <col min="1035" max="1035" width="19.85546875" style="3" bestFit="1" customWidth="1"/>
    <col min="1036" max="1036" width="19.85546875" style="3" customWidth="1"/>
    <col min="1037" max="1037" width="16" style="3" bestFit="1" customWidth="1"/>
    <col min="1038" max="1038" width="12" style="3" customWidth="1"/>
    <col min="1039" max="1039" width="15.140625" style="3" customWidth="1"/>
    <col min="1040" max="1040" width="18.5703125" style="3" bestFit="1" customWidth="1"/>
    <col min="1041" max="1041" width="14.7109375" style="3" bestFit="1" customWidth="1"/>
    <col min="1042" max="1045" width="11.5703125" style="3" bestFit="1" customWidth="1"/>
    <col min="1046" max="1046" width="11.42578125" style="3"/>
    <col min="1047" max="1047" width="14.42578125" style="3" customWidth="1"/>
    <col min="1048" max="1285" width="11.42578125" style="3"/>
    <col min="1286" max="1286" width="7.28515625" style="3" customWidth="1"/>
    <col min="1287" max="1287" width="65.42578125" style="3" customWidth="1"/>
    <col min="1288" max="1288" width="5.28515625" style="3" customWidth="1"/>
    <col min="1289" max="1289" width="10" style="3" bestFit="1" customWidth="1"/>
    <col min="1290" max="1290" width="22.28515625" style="3" bestFit="1" customWidth="1"/>
    <col min="1291" max="1291" width="19.85546875" style="3" bestFit="1" customWidth="1"/>
    <col min="1292" max="1292" width="19.85546875" style="3" customWidth="1"/>
    <col min="1293" max="1293" width="16" style="3" bestFit="1" customWidth="1"/>
    <col min="1294" max="1294" width="12" style="3" customWidth="1"/>
    <col min="1295" max="1295" width="15.140625" style="3" customWidth="1"/>
    <col min="1296" max="1296" width="18.5703125" style="3" bestFit="1" customWidth="1"/>
    <col min="1297" max="1297" width="14.7109375" style="3" bestFit="1" customWidth="1"/>
    <col min="1298" max="1301" width="11.5703125" style="3" bestFit="1" customWidth="1"/>
    <col min="1302" max="1302" width="11.42578125" style="3"/>
    <col min="1303" max="1303" width="14.42578125" style="3" customWidth="1"/>
    <col min="1304" max="1541" width="11.42578125" style="3"/>
    <col min="1542" max="1542" width="7.28515625" style="3" customWidth="1"/>
    <col min="1543" max="1543" width="65.42578125" style="3" customWidth="1"/>
    <col min="1544" max="1544" width="5.28515625" style="3" customWidth="1"/>
    <col min="1545" max="1545" width="10" style="3" bestFit="1" customWidth="1"/>
    <col min="1546" max="1546" width="22.28515625" style="3" bestFit="1" customWidth="1"/>
    <col min="1547" max="1547" width="19.85546875" style="3" bestFit="1" customWidth="1"/>
    <col min="1548" max="1548" width="19.85546875" style="3" customWidth="1"/>
    <col min="1549" max="1549" width="16" style="3" bestFit="1" customWidth="1"/>
    <col min="1550" max="1550" width="12" style="3" customWidth="1"/>
    <col min="1551" max="1551" width="15.140625" style="3" customWidth="1"/>
    <col min="1552" max="1552" width="18.5703125" style="3" bestFit="1" customWidth="1"/>
    <col min="1553" max="1553" width="14.7109375" style="3" bestFit="1" customWidth="1"/>
    <col min="1554" max="1557" width="11.5703125" style="3" bestFit="1" customWidth="1"/>
    <col min="1558" max="1558" width="11.42578125" style="3"/>
    <col min="1559" max="1559" width="14.42578125" style="3" customWidth="1"/>
    <col min="1560" max="1797" width="11.42578125" style="3"/>
    <col min="1798" max="1798" width="7.28515625" style="3" customWidth="1"/>
    <col min="1799" max="1799" width="65.42578125" style="3" customWidth="1"/>
    <col min="1800" max="1800" width="5.28515625" style="3" customWidth="1"/>
    <col min="1801" max="1801" width="10" style="3" bestFit="1" customWidth="1"/>
    <col min="1802" max="1802" width="22.28515625" style="3" bestFit="1" customWidth="1"/>
    <col min="1803" max="1803" width="19.85546875" style="3" bestFit="1" customWidth="1"/>
    <col min="1804" max="1804" width="19.85546875" style="3" customWidth="1"/>
    <col min="1805" max="1805" width="16" style="3" bestFit="1" customWidth="1"/>
    <col min="1806" max="1806" width="12" style="3" customWidth="1"/>
    <col min="1807" max="1807" width="15.140625" style="3" customWidth="1"/>
    <col min="1808" max="1808" width="18.5703125" style="3" bestFit="1" customWidth="1"/>
    <col min="1809" max="1809" width="14.7109375" style="3" bestFit="1" customWidth="1"/>
    <col min="1810" max="1813" width="11.5703125" style="3" bestFit="1" customWidth="1"/>
    <col min="1814" max="1814" width="11.42578125" style="3"/>
    <col min="1815" max="1815" width="14.42578125" style="3" customWidth="1"/>
    <col min="1816" max="2053" width="11.42578125" style="3"/>
    <col min="2054" max="2054" width="7.28515625" style="3" customWidth="1"/>
    <col min="2055" max="2055" width="65.42578125" style="3" customWidth="1"/>
    <col min="2056" max="2056" width="5.28515625" style="3" customWidth="1"/>
    <col min="2057" max="2057" width="10" style="3" bestFit="1" customWidth="1"/>
    <col min="2058" max="2058" width="22.28515625" style="3" bestFit="1" customWidth="1"/>
    <col min="2059" max="2059" width="19.85546875" style="3" bestFit="1" customWidth="1"/>
    <col min="2060" max="2060" width="19.85546875" style="3" customWidth="1"/>
    <col min="2061" max="2061" width="16" style="3" bestFit="1" customWidth="1"/>
    <col min="2062" max="2062" width="12" style="3" customWidth="1"/>
    <col min="2063" max="2063" width="15.140625" style="3" customWidth="1"/>
    <col min="2064" max="2064" width="18.5703125" style="3" bestFit="1" customWidth="1"/>
    <col min="2065" max="2065" width="14.7109375" style="3" bestFit="1" customWidth="1"/>
    <col min="2066" max="2069" width="11.5703125" style="3" bestFit="1" customWidth="1"/>
    <col min="2070" max="2070" width="11.42578125" style="3"/>
    <col min="2071" max="2071" width="14.42578125" style="3" customWidth="1"/>
    <col min="2072" max="2309" width="11.42578125" style="3"/>
    <col min="2310" max="2310" width="7.28515625" style="3" customWidth="1"/>
    <col min="2311" max="2311" width="65.42578125" style="3" customWidth="1"/>
    <col min="2312" max="2312" width="5.28515625" style="3" customWidth="1"/>
    <col min="2313" max="2313" width="10" style="3" bestFit="1" customWidth="1"/>
    <col min="2314" max="2314" width="22.28515625" style="3" bestFit="1" customWidth="1"/>
    <col min="2315" max="2315" width="19.85546875" style="3" bestFit="1" customWidth="1"/>
    <col min="2316" max="2316" width="19.85546875" style="3" customWidth="1"/>
    <col min="2317" max="2317" width="16" style="3" bestFit="1" customWidth="1"/>
    <col min="2318" max="2318" width="12" style="3" customWidth="1"/>
    <col min="2319" max="2319" width="15.140625" style="3" customWidth="1"/>
    <col min="2320" max="2320" width="18.5703125" style="3" bestFit="1" customWidth="1"/>
    <col min="2321" max="2321" width="14.7109375" style="3" bestFit="1" customWidth="1"/>
    <col min="2322" max="2325" width="11.5703125" style="3" bestFit="1" customWidth="1"/>
    <col min="2326" max="2326" width="11.42578125" style="3"/>
    <col min="2327" max="2327" width="14.42578125" style="3" customWidth="1"/>
    <col min="2328" max="2565" width="11.42578125" style="3"/>
    <col min="2566" max="2566" width="7.28515625" style="3" customWidth="1"/>
    <col min="2567" max="2567" width="65.42578125" style="3" customWidth="1"/>
    <col min="2568" max="2568" width="5.28515625" style="3" customWidth="1"/>
    <col min="2569" max="2569" width="10" style="3" bestFit="1" customWidth="1"/>
    <col min="2570" max="2570" width="22.28515625" style="3" bestFit="1" customWidth="1"/>
    <col min="2571" max="2571" width="19.85546875" style="3" bestFit="1" customWidth="1"/>
    <col min="2572" max="2572" width="19.85546875" style="3" customWidth="1"/>
    <col min="2573" max="2573" width="16" style="3" bestFit="1" customWidth="1"/>
    <col min="2574" max="2574" width="12" style="3" customWidth="1"/>
    <col min="2575" max="2575" width="15.140625" style="3" customWidth="1"/>
    <col min="2576" max="2576" width="18.5703125" style="3" bestFit="1" customWidth="1"/>
    <col min="2577" max="2577" width="14.7109375" style="3" bestFit="1" customWidth="1"/>
    <col min="2578" max="2581" width="11.5703125" style="3" bestFit="1" customWidth="1"/>
    <col min="2582" max="2582" width="11.42578125" style="3"/>
    <col min="2583" max="2583" width="14.42578125" style="3" customWidth="1"/>
    <col min="2584" max="2821" width="11.42578125" style="3"/>
    <col min="2822" max="2822" width="7.28515625" style="3" customWidth="1"/>
    <col min="2823" max="2823" width="65.42578125" style="3" customWidth="1"/>
    <col min="2824" max="2824" width="5.28515625" style="3" customWidth="1"/>
    <col min="2825" max="2825" width="10" style="3" bestFit="1" customWidth="1"/>
    <col min="2826" max="2826" width="22.28515625" style="3" bestFit="1" customWidth="1"/>
    <col min="2827" max="2827" width="19.85546875" style="3" bestFit="1" customWidth="1"/>
    <col min="2828" max="2828" width="19.85546875" style="3" customWidth="1"/>
    <col min="2829" max="2829" width="16" style="3" bestFit="1" customWidth="1"/>
    <col min="2830" max="2830" width="12" style="3" customWidth="1"/>
    <col min="2831" max="2831" width="15.140625" style="3" customWidth="1"/>
    <col min="2832" max="2832" width="18.5703125" style="3" bestFit="1" customWidth="1"/>
    <col min="2833" max="2833" width="14.7109375" style="3" bestFit="1" customWidth="1"/>
    <col min="2834" max="2837" width="11.5703125" style="3" bestFit="1" customWidth="1"/>
    <col min="2838" max="2838" width="11.42578125" style="3"/>
    <col min="2839" max="2839" width="14.42578125" style="3" customWidth="1"/>
    <col min="2840" max="3077" width="11.42578125" style="3"/>
    <col min="3078" max="3078" width="7.28515625" style="3" customWidth="1"/>
    <col min="3079" max="3079" width="65.42578125" style="3" customWidth="1"/>
    <col min="3080" max="3080" width="5.28515625" style="3" customWidth="1"/>
    <col min="3081" max="3081" width="10" style="3" bestFit="1" customWidth="1"/>
    <col min="3082" max="3082" width="22.28515625" style="3" bestFit="1" customWidth="1"/>
    <col min="3083" max="3083" width="19.85546875" style="3" bestFit="1" customWidth="1"/>
    <col min="3084" max="3084" width="19.85546875" style="3" customWidth="1"/>
    <col min="3085" max="3085" width="16" style="3" bestFit="1" customWidth="1"/>
    <col min="3086" max="3086" width="12" style="3" customWidth="1"/>
    <col min="3087" max="3087" width="15.140625" style="3" customWidth="1"/>
    <col min="3088" max="3088" width="18.5703125" style="3" bestFit="1" customWidth="1"/>
    <col min="3089" max="3089" width="14.7109375" style="3" bestFit="1" customWidth="1"/>
    <col min="3090" max="3093" width="11.5703125" style="3" bestFit="1" customWidth="1"/>
    <col min="3094" max="3094" width="11.42578125" style="3"/>
    <col min="3095" max="3095" width="14.42578125" style="3" customWidth="1"/>
    <col min="3096" max="3333" width="11.42578125" style="3"/>
    <col min="3334" max="3334" width="7.28515625" style="3" customWidth="1"/>
    <col min="3335" max="3335" width="65.42578125" style="3" customWidth="1"/>
    <col min="3336" max="3336" width="5.28515625" style="3" customWidth="1"/>
    <col min="3337" max="3337" width="10" style="3" bestFit="1" customWidth="1"/>
    <col min="3338" max="3338" width="22.28515625" style="3" bestFit="1" customWidth="1"/>
    <col min="3339" max="3339" width="19.85546875" style="3" bestFit="1" customWidth="1"/>
    <col min="3340" max="3340" width="19.85546875" style="3" customWidth="1"/>
    <col min="3341" max="3341" width="16" style="3" bestFit="1" customWidth="1"/>
    <col min="3342" max="3342" width="12" style="3" customWidth="1"/>
    <col min="3343" max="3343" width="15.140625" style="3" customWidth="1"/>
    <col min="3344" max="3344" width="18.5703125" style="3" bestFit="1" customWidth="1"/>
    <col min="3345" max="3345" width="14.7109375" style="3" bestFit="1" customWidth="1"/>
    <col min="3346" max="3349" width="11.5703125" style="3" bestFit="1" customWidth="1"/>
    <col min="3350" max="3350" width="11.42578125" style="3"/>
    <col min="3351" max="3351" width="14.42578125" style="3" customWidth="1"/>
    <col min="3352" max="3589" width="11.42578125" style="3"/>
    <col min="3590" max="3590" width="7.28515625" style="3" customWidth="1"/>
    <col min="3591" max="3591" width="65.42578125" style="3" customWidth="1"/>
    <col min="3592" max="3592" width="5.28515625" style="3" customWidth="1"/>
    <col min="3593" max="3593" width="10" style="3" bestFit="1" customWidth="1"/>
    <col min="3594" max="3594" width="22.28515625" style="3" bestFit="1" customWidth="1"/>
    <col min="3595" max="3595" width="19.85546875" style="3" bestFit="1" customWidth="1"/>
    <col min="3596" max="3596" width="19.85546875" style="3" customWidth="1"/>
    <col min="3597" max="3597" width="16" style="3" bestFit="1" customWidth="1"/>
    <col min="3598" max="3598" width="12" style="3" customWidth="1"/>
    <col min="3599" max="3599" width="15.140625" style="3" customWidth="1"/>
    <col min="3600" max="3600" width="18.5703125" style="3" bestFit="1" customWidth="1"/>
    <col min="3601" max="3601" width="14.7109375" style="3" bestFit="1" customWidth="1"/>
    <col min="3602" max="3605" width="11.5703125" style="3" bestFit="1" customWidth="1"/>
    <col min="3606" max="3606" width="11.42578125" style="3"/>
    <col min="3607" max="3607" width="14.42578125" style="3" customWidth="1"/>
    <col min="3608" max="3845" width="11.42578125" style="3"/>
    <col min="3846" max="3846" width="7.28515625" style="3" customWidth="1"/>
    <col min="3847" max="3847" width="65.42578125" style="3" customWidth="1"/>
    <col min="3848" max="3848" width="5.28515625" style="3" customWidth="1"/>
    <col min="3849" max="3849" width="10" style="3" bestFit="1" customWidth="1"/>
    <col min="3850" max="3850" width="22.28515625" style="3" bestFit="1" customWidth="1"/>
    <col min="3851" max="3851" width="19.85546875" style="3" bestFit="1" customWidth="1"/>
    <col min="3852" max="3852" width="19.85546875" style="3" customWidth="1"/>
    <col min="3853" max="3853" width="16" style="3" bestFit="1" customWidth="1"/>
    <col min="3854" max="3854" width="12" style="3" customWidth="1"/>
    <col min="3855" max="3855" width="15.140625" style="3" customWidth="1"/>
    <col min="3856" max="3856" width="18.5703125" style="3" bestFit="1" customWidth="1"/>
    <col min="3857" max="3857" width="14.7109375" style="3" bestFit="1" customWidth="1"/>
    <col min="3858" max="3861" width="11.5703125" style="3" bestFit="1" customWidth="1"/>
    <col min="3862" max="3862" width="11.42578125" style="3"/>
    <col min="3863" max="3863" width="14.42578125" style="3" customWidth="1"/>
    <col min="3864" max="4101" width="11.42578125" style="3"/>
    <col min="4102" max="4102" width="7.28515625" style="3" customWidth="1"/>
    <col min="4103" max="4103" width="65.42578125" style="3" customWidth="1"/>
    <col min="4104" max="4104" width="5.28515625" style="3" customWidth="1"/>
    <col min="4105" max="4105" width="10" style="3" bestFit="1" customWidth="1"/>
    <col min="4106" max="4106" width="22.28515625" style="3" bestFit="1" customWidth="1"/>
    <col min="4107" max="4107" width="19.85546875" style="3" bestFit="1" customWidth="1"/>
    <col min="4108" max="4108" width="19.85546875" style="3" customWidth="1"/>
    <col min="4109" max="4109" width="16" style="3" bestFit="1" customWidth="1"/>
    <col min="4110" max="4110" width="12" style="3" customWidth="1"/>
    <col min="4111" max="4111" width="15.140625" style="3" customWidth="1"/>
    <col min="4112" max="4112" width="18.5703125" style="3" bestFit="1" customWidth="1"/>
    <col min="4113" max="4113" width="14.7109375" style="3" bestFit="1" customWidth="1"/>
    <col min="4114" max="4117" width="11.5703125" style="3" bestFit="1" customWidth="1"/>
    <col min="4118" max="4118" width="11.42578125" style="3"/>
    <col min="4119" max="4119" width="14.42578125" style="3" customWidth="1"/>
    <col min="4120" max="4357" width="11.42578125" style="3"/>
    <col min="4358" max="4358" width="7.28515625" style="3" customWidth="1"/>
    <col min="4359" max="4359" width="65.42578125" style="3" customWidth="1"/>
    <col min="4360" max="4360" width="5.28515625" style="3" customWidth="1"/>
    <col min="4361" max="4361" width="10" style="3" bestFit="1" customWidth="1"/>
    <col min="4362" max="4362" width="22.28515625" style="3" bestFit="1" customWidth="1"/>
    <col min="4363" max="4363" width="19.85546875" style="3" bestFit="1" customWidth="1"/>
    <col min="4364" max="4364" width="19.85546875" style="3" customWidth="1"/>
    <col min="4365" max="4365" width="16" style="3" bestFit="1" customWidth="1"/>
    <col min="4366" max="4366" width="12" style="3" customWidth="1"/>
    <col min="4367" max="4367" width="15.140625" style="3" customWidth="1"/>
    <col min="4368" max="4368" width="18.5703125" style="3" bestFit="1" customWidth="1"/>
    <col min="4369" max="4369" width="14.7109375" style="3" bestFit="1" customWidth="1"/>
    <col min="4370" max="4373" width="11.5703125" style="3" bestFit="1" customWidth="1"/>
    <col min="4374" max="4374" width="11.42578125" style="3"/>
    <col min="4375" max="4375" width="14.42578125" style="3" customWidth="1"/>
    <col min="4376" max="4613" width="11.42578125" style="3"/>
    <col min="4614" max="4614" width="7.28515625" style="3" customWidth="1"/>
    <col min="4615" max="4615" width="65.42578125" style="3" customWidth="1"/>
    <col min="4616" max="4616" width="5.28515625" style="3" customWidth="1"/>
    <col min="4617" max="4617" width="10" style="3" bestFit="1" customWidth="1"/>
    <col min="4618" max="4618" width="22.28515625" style="3" bestFit="1" customWidth="1"/>
    <col min="4619" max="4619" width="19.85546875" style="3" bestFit="1" customWidth="1"/>
    <col min="4620" max="4620" width="19.85546875" style="3" customWidth="1"/>
    <col min="4621" max="4621" width="16" style="3" bestFit="1" customWidth="1"/>
    <col min="4622" max="4622" width="12" style="3" customWidth="1"/>
    <col min="4623" max="4623" width="15.140625" style="3" customWidth="1"/>
    <col min="4624" max="4624" width="18.5703125" style="3" bestFit="1" customWidth="1"/>
    <col min="4625" max="4625" width="14.7109375" style="3" bestFit="1" customWidth="1"/>
    <col min="4626" max="4629" width="11.5703125" style="3" bestFit="1" customWidth="1"/>
    <col min="4630" max="4630" width="11.42578125" style="3"/>
    <col min="4631" max="4631" width="14.42578125" style="3" customWidth="1"/>
    <col min="4632" max="4869" width="11.42578125" style="3"/>
    <col min="4870" max="4870" width="7.28515625" style="3" customWidth="1"/>
    <col min="4871" max="4871" width="65.42578125" style="3" customWidth="1"/>
    <col min="4872" max="4872" width="5.28515625" style="3" customWidth="1"/>
    <col min="4873" max="4873" width="10" style="3" bestFit="1" customWidth="1"/>
    <col min="4874" max="4874" width="22.28515625" style="3" bestFit="1" customWidth="1"/>
    <col min="4875" max="4875" width="19.85546875" style="3" bestFit="1" customWidth="1"/>
    <col min="4876" max="4876" width="19.85546875" style="3" customWidth="1"/>
    <col min="4877" max="4877" width="16" style="3" bestFit="1" customWidth="1"/>
    <col min="4878" max="4878" width="12" style="3" customWidth="1"/>
    <col min="4879" max="4879" width="15.140625" style="3" customWidth="1"/>
    <col min="4880" max="4880" width="18.5703125" style="3" bestFit="1" customWidth="1"/>
    <col min="4881" max="4881" width="14.7109375" style="3" bestFit="1" customWidth="1"/>
    <col min="4882" max="4885" width="11.5703125" style="3" bestFit="1" customWidth="1"/>
    <col min="4886" max="4886" width="11.42578125" style="3"/>
    <col min="4887" max="4887" width="14.42578125" style="3" customWidth="1"/>
    <col min="4888" max="5125" width="11.42578125" style="3"/>
    <col min="5126" max="5126" width="7.28515625" style="3" customWidth="1"/>
    <col min="5127" max="5127" width="65.42578125" style="3" customWidth="1"/>
    <col min="5128" max="5128" width="5.28515625" style="3" customWidth="1"/>
    <col min="5129" max="5129" width="10" style="3" bestFit="1" customWidth="1"/>
    <col min="5130" max="5130" width="22.28515625" style="3" bestFit="1" customWidth="1"/>
    <col min="5131" max="5131" width="19.85546875" style="3" bestFit="1" customWidth="1"/>
    <col min="5132" max="5132" width="19.85546875" style="3" customWidth="1"/>
    <col min="5133" max="5133" width="16" style="3" bestFit="1" customWidth="1"/>
    <col min="5134" max="5134" width="12" style="3" customWidth="1"/>
    <col min="5135" max="5135" width="15.140625" style="3" customWidth="1"/>
    <col min="5136" max="5136" width="18.5703125" style="3" bestFit="1" customWidth="1"/>
    <col min="5137" max="5137" width="14.7109375" style="3" bestFit="1" customWidth="1"/>
    <col min="5138" max="5141" width="11.5703125" style="3" bestFit="1" customWidth="1"/>
    <col min="5142" max="5142" width="11.42578125" style="3"/>
    <col min="5143" max="5143" width="14.42578125" style="3" customWidth="1"/>
    <col min="5144" max="5381" width="11.42578125" style="3"/>
    <col min="5382" max="5382" width="7.28515625" style="3" customWidth="1"/>
    <col min="5383" max="5383" width="65.42578125" style="3" customWidth="1"/>
    <col min="5384" max="5384" width="5.28515625" style="3" customWidth="1"/>
    <col min="5385" max="5385" width="10" style="3" bestFit="1" customWidth="1"/>
    <col min="5386" max="5386" width="22.28515625" style="3" bestFit="1" customWidth="1"/>
    <col min="5387" max="5387" width="19.85546875" style="3" bestFit="1" customWidth="1"/>
    <col min="5388" max="5388" width="19.85546875" style="3" customWidth="1"/>
    <col min="5389" max="5389" width="16" style="3" bestFit="1" customWidth="1"/>
    <col min="5390" max="5390" width="12" style="3" customWidth="1"/>
    <col min="5391" max="5391" width="15.140625" style="3" customWidth="1"/>
    <col min="5392" max="5392" width="18.5703125" style="3" bestFit="1" customWidth="1"/>
    <col min="5393" max="5393" width="14.7109375" style="3" bestFit="1" customWidth="1"/>
    <col min="5394" max="5397" width="11.5703125" style="3" bestFit="1" customWidth="1"/>
    <col min="5398" max="5398" width="11.42578125" style="3"/>
    <col min="5399" max="5399" width="14.42578125" style="3" customWidth="1"/>
    <col min="5400" max="5637" width="11.42578125" style="3"/>
    <col min="5638" max="5638" width="7.28515625" style="3" customWidth="1"/>
    <col min="5639" max="5639" width="65.42578125" style="3" customWidth="1"/>
    <col min="5640" max="5640" width="5.28515625" style="3" customWidth="1"/>
    <col min="5641" max="5641" width="10" style="3" bestFit="1" customWidth="1"/>
    <col min="5642" max="5642" width="22.28515625" style="3" bestFit="1" customWidth="1"/>
    <col min="5643" max="5643" width="19.85546875" style="3" bestFit="1" customWidth="1"/>
    <col min="5644" max="5644" width="19.85546875" style="3" customWidth="1"/>
    <col min="5645" max="5645" width="16" style="3" bestFit="1" customWidth="1"/>
    <col min="5646" max="5646" width="12" style="3" customWidth="1"/>
    <col min="5647" max="5647" width="15.140625" style="3" customWidth="1"/>
    <col min="5648" max="5648" width="18.5703125" style="3" bestFit="1" customWidth="1"/>
    <col min="5649" max="5649" width="14.7109375" style="3" bestFit="1" customWidth="1"/>
    <col min="5650" max="5653" width="11.5703125" style="3" bestFit="1" customWidth="1"/>
    <col min="5654" max="5654" width="11.42578125" style="3"/>
    <col min="5655" max="5655" width="14.42578125" style="3" customWidth="1"/>
    <col min="5656" max="5893" width="11.42578125" style="3"/>
    <col min="5894" max="5894" width="7.28515625" style="3" customWidth="1"/>
    <col min="5895" max="5895" width="65.42578125" style="3" customWidth="1"/>
    <col min="5896" max="5896" width="5.28515625" style="3" customWidth="1"/>
    <col min="5897" max="5897" width="10" style="3" bestFit="1" customWidth="1"/>
    <col min="5898" max="5898" width="22.28515625" style="3" bestFit="1" customWidth="1"/>
    <col min="5899" max="5899" width="19.85546875" style="3" bestFit="1" customWidth="1"/>
    <col min="5900" max="5900" width="19.85546875" style="3" customWidth="1"/>
    <col min="5901" max="5901" width="16" style="3" bestFit="1" customWidth="1"/>
    <col min="5902" max="5902" width="12" style="3" customWidth="1"/>
    <col min="5903" max="5903" width="15.140625" style="3" customWidth="1"/>
    <col min="5904" max="5904" width="18.5703125" style="3" bestFit="1" customWidth="1"/>
    <col min="5905" max="5905" width="14.7109375" style="3" bestFit="1" customWidth="1"/>
    <col min="5906" max="5909" width="11.5703125" style="3" bestFit="1" customWidth="1"/>
    <col min="5910" max="5910" width="11.42578125" style="3"/>
    <col min="5911" max="5911" width="14.42578125" style="3" customWidth="1"/>
    <col min="5912" max="6149" width="11.42578125" style="3"/>
    <col min="6150" max="6150" width="7.28515625" style="3" customWidth="1"/>
    <col min="6151" max="6151" width="65.42578125" style="3" customWidth="1"/>
    <col min="6152" max="6152" width="5.28515625" style="3" customWidth="1"/>
    <col min="6153" max="6153" width="10" style="3" bestFit="1" customWidth="1"/>
    <col min="6154" max="6154" width="22.28515625" style="3" bestFit="1" customWidth="1"/>
    <col min="6155" max="6155" width="19.85546875" style="3" bestFit="1" customWidth="1"/>
    <col min="6156" max="6156" width="19.85546875" style="3" customWidth="1"/>
    <col min="6157" max="6157" width="16" style="3" bestFit="1" customWidth="1"/>
    <col min="6158" max="6158" width="12" style="3" customWidth="1"/>
    <col min="6159" max="6159" width="15.140625" style="3" customWidth="1"/>
    <col min="6160" max="6160" width="18.5703125" style="3" bestFit="1" customWidth="1"/>
    <col min="6161" max="6161" width="14.7109375" style="3" bestFit="1" customWidth="1"/>
    <col min="6162" max="6165" width="11.5703125" style="3" bestFit="1" customWidth="1"/>
    <col min="6166" max="6166" width="11.42578125" style="3"/>
    <col min="6167" max="6167" width="14.42578125" style="3" customWidth="1"/>
    <col min="6168" max="6405" width="11.42578125" style="3"/>
    <col min="6406" max="6406" width="7.28515625" style="3" customWidth="1"/>
    <col min="6407" max="6407" width="65.42578125" style="3" customWidth="1"/>
    <col min="6408" max="6408" width="5.28515625" style="3" customWidth="1"/>
    <col min="6409" max="6409" width="10" style="3" bestFit="1" customWidth="1"/>
    <col min="6410" max="6410" width="22.28515625" style="3" bestFit="1" customWidth="1"/>
    <col min="6411" max="6411" width="19.85546875" style="3" bestFit="1" customWidth="1"/>
    <col min="6412" max="6412" width="19.85546875" style="3" customWidth="1"/>
    <col min="6413" max="6413" width="16" style="3" bestFit="1" customWidth="1"/>
    <col min="6414" max="6414" width="12" style="3" customWidth="1"/>
    <col min="6415" max="6415" width="15.140625" style="3" customWidth="1"/>
    <col min="6416" max="6416" width="18.5703125" style="3" bestFit="1" customWidth="1"/>
    <col min="6417" max="6417" width="14.7109375" style="3" bestFit="1" customWidth="1"/>
    <col min="6418" max="6421" width="11.5703125" style="3" bestFit="1" customWidth="1"/>
    <col min="6422" max="6422" width="11.42578125" style="3"/>
    <col min="6423" max="6423" width="14.42578125" style="3" customWidth="1"/>
    <col min="6424" max="6661" width="11.42578125" style="3"/>
    <col min="6662" max="6662" width="7.28515625" style="3" customWidth="1"/>
    <col min="6663" max="6663" width="65.42578125" style="3" customWidth="1"/>
    <col min="6664" max="6664" width="5.28515625" style="3" customWidth="1"/>
    <col min="6665" max="6665" width="10" style="3" bestFit="1" customWidth="1"/>
    <col min="6666" max="6666" width="22.28515625" style="3" bestFit="1" customWidth="1"/>
    <col min="6667" max="6667" width="19.85546875" style="3" bestFit="1" customWidth="1"/>
    <col min="6668" max="6668" width="19.85546875" style="3" customWidth="1"/>
    <col min="6669" max="6669" width="16" style="3" bestFit="1" customWidth="1"/>
    <col min="6670" max="6670" width="12" style="3" customWidth="1"/>
    <col min="6671" max="6671" width="15.140625" style="3" customWidth="1"/>
    <col min="6672" max="6672" width="18.5703125" style="3" bestFit="1" customWidth="1"/>
    <col min="6673" max="6673" width="14.7109375" style="3" bestFit="1" customWidth="1"/>
    <col min="6674" max="6677" width="11.5703125" style="3" bestFit="1" customWidth="1"/>
    <col min="6678" max="6678" width="11.42578125" style="3"/>
    <col min="6679" max="6679" width="14.42578125" style="3" customWidth="1"/>
    <col min="6680" max="6917" width="11.42578125" style="3"/>
    <col min="6918" max="6918" width="7.28515625" style="3" customWidth="1"/>
    <col min="6919" max="6919" width="65.42578125" style="3" customWidth="1"/>
    <col min="6920" max="6920" width="5.28515625" style="3" customWidth="1"/>
    <col min="6921" max="6921" width="10" style="3" bestFit="1" customWidth="1"/>
    <col min="6922" max="6922" width="22.28515625" style="3" bestFit="1" customWidth="1"/>
    <col min="6923" max="6923" width="19.85546875" style="3" bestFit="1" customWidth="1"/>
    <col min="6924" max="6924" width="19.85546875" style="3" customWidth="1"/>
    <col min="6925" max="6925" width="16" style="3" bestFit="1" customWidth="1"/>
    <col min="6926" max="6926" width="12" style="3" customWidth="1"/>
    <col min="6927" max="6927" width="15.140625" style="3" customWidth="1"/>
    <col min="6928" max="6928" width="18.5703125" style="3" bestFit="1" customWidth="1"/>
    <col min="6929" max="6929" width="14.7109375" style="3" bestFit="1" customWidth="1"/>
    <col min="6930" max="6933" width="11.5703125" style="3" bestFit="1" customWidth="1"/>
    <col min="6934" max="6934" width="11.42578125" style="3"/>
    <col min="6935" max="6935" width="14.42578125" style="3" customWidth="1"/>
    <col min="6936" max="7173" width="11.42578125" style="3"/>
    <col min="7174" max="7174" width="7.28515625" style="3" customWidth="1"/>
    <col min="7175" max="7175" width="65.42578125" style="3" customWidth="1"/>
    <col min="7176" max="7176" width="5.28515625" style="3" customWidth="1"/>
    <col min="7177" max="7177" width="10" style="3" bestFit="1" customWidth="1"/>
    <col min="7178" max="7178" width="22.28515625" style="3" bestFit="1" customWidth="1"/>
    <col min="7179" max="7179" width="19.85546875" style="3" bestFit="1" customWidth="1"/>
    <col min="7180" max="7180" width="19.85546875" style="3" customWidth="1"/>
    <col min="7181" max="7181" width="16" style="3" bestFit="1" customWidth="1"/>
    <col min="7182" max="7182" width="12" style="3" customWidth="1"/>
    <col min="7183" max="7183" width="15.140625" style="3" customWidth="1"/>
    <col min="7184" max="7184" width="18.5703125" style="3" bestFit="1" customWidth="1"/>
    <col min="7185" max="7185" width="14.7109375" style="3" bestFit="1" customWidth="1"/>
    <col min="7186" max="7189" width="11.5703125" style="3" bestFit="1" customWidth="1"/>
    <col min="7190" max="7190" width="11.42578125" style="3"/>
    <col min="7191" max="7191" width="14.42578125" style="3" customWidth="1"/>
    <col min="7192" max="7429" width="11.42578125" style="3"/>
    <col min="7430" max="7430" width="7.28515625" style="3" customWidth="1"/>
    <col min="7431" max="7431" width="65.42578125" style="3" customWidth="1"/>
    <col min="7432" max="7432" width="5.28515625" style="3" customWidth="1"/>
    <col min="7433" max="7433" width="10" style="3" bestFit="1" customWidth="1"/>
    <col min="7434" max="7434" width="22.28515625" style="3" bestFit="1" customWidth="1"/>
    <col min="7435" max="7435" width="19.85546875" style="3" bestFit="1" customWidth="1"/>
    <col min="7436" max="7436" width="19.85546875" style="3" customWidth="1"/>
    <col min="7437" max="7437" width="16" style="3" bestFit="1" customWidth="1"/>
    <col min="7438" max="7438" width="12" style="3" customWidth="1"/>
    <col min="7439" max="7439" width="15.140625" style="3" customWidth="1"/>
    <col min="7440" max="7440" width="18.5703125" style="3" bestFit="1" customWidth="1"/>
    <col min="7441" max="7441" width="14.7109375" style="3" bestFit="1" customWidth="1"/>
    <col min="7442" max="7445" width="11.5703125" style="3" bestFit="1" customWidth="1"/>
    <col min="7446" max="7446" width="11.42578125" style="3"/>
    <col min="7447" max="7447" width="14.42578125" style="3" customWidth="1"/>
    <col min="7448" max="7685" width="11.42578125" style="3"/>
    <col min="7686" max="7686" width="7.28515625" style="3" customWidth="1"/>
    <col min="7687" max="7687" width="65.42578125" style="3" customWidth="1"/>
    <col min="7688" max="7688" width="5.28515625" style="3" customWidth="1"/>
    <col min="7689" max="7689" width="10" style="3" bestFit="1" customWidth="1"/>
    <col min="7690" max="7690" width="22.28515625" style="3" bestFit="1" customWidth="1"/>
    <col min="7691" max="7691" width="19.85546875" style="3" bestFit="1" customWidth="1"/>
    <col min="7692" max="7692" width="19.85546875" style="3" customWidth="1"/>
    <col min="7693" max="7693" width="16" style="3" bestFit="1" customWidth="1"/>
    <col min="7694" max="7694" width="12" style="3" customWidth="1"/>
    <col min="7695" max="7695" width="15.140625" style="3" customWidth="1"/>
    <col min="7696" max="7696" width="18.5703125" style="3" bestFit="1" customWidth="1"/>
    <col min="7697" max="7697" width="14.7109375" style="3" bestFit="1" customWidth="1"/>
    <col min="7698" max="7701" width="11.5703125" style="3" bestFit="1" customWidth="1"/>
    <col min="7702" max="7702" width="11.42578125" style="3"/>
    <col min="7703" max="7703" width="14.42578125" style="3" customWidth="1"/>
    <col min="7704" max="7941" width="11.42578125" style="3"/>
    <col min="7942" max="7942" width="7.28515625" style="3" customWidth="1"/>
    <col min="7943" max="7943" width="65.42578125" style="3" customWidth="1"/>
    <col min="7944" max="7944" width="5.28515625" style="3" customWidth="1"/>
    <col min="7945" max="7945" width="10" style="3" bestFit="1" customWidth="1"/>
    <col min="7946" max="7946" width="22.28515625" style="3" bestFit="1" customWidth="1"/>
    <col min="7947" max="7947" width="19.85546875" style="3" bestFit="1" customWidth="1"/>
    <col min="7948" max="7948" width="19.85546875" style="3" customWidth="1"/>
    <col min="7949" max="7949" width="16" style="3" bestFit="1" customWidth="1"/>
    <col min="7950" max="7950" width="12" style="3" customWidth="1"/>
    <col min="7951" max="7951" width="15.140625" style="3" customWidth="1"/>
    <col min="7952" max="7952" width="18.5703125" style="3" bestFit="1" customWidth="1"/>
    <col min="7953" max="7953" width="14.7109375" style="3" bestFit="1" customWidth="1"/>
    <col min="7954" max="7957" width="11.5703125" style="3" bestFit="1" customWidth="1"/>
    <col min="7958" max="7958" width="11.42578125" style="3"/>
    <col min="7959" max="7959" width="14.42578125" style="3" customWidth="1"/>
    <col min="7960" max="8197" width="11.42578125" style="3"/>
    <col min="8198" max="8198" width="7.28515625" style="3" customWidth="1"/>
    <col min="8199" max="8199" width="65.42578125" style="3" customWidth="1"/>
    <col min="8200" max="8200" width="5.28515625" style="3" customWidth="1"/>
    <col min="8201" max="8201" width="10" style="3" bestFit="1" customWidth="1"/>
    <col min="8202" max="8202" width="22.28515625" style="3" bestFit="1" customWidth="1"/>
    <col min="8203" max="8203" width="19.85546875" style="3" bestFit="1" customWidth="1"/>
    <col min="8204" max="8204" width="19.85546875" style="3" customWidth="1"/>
    <col min="8205" max="8205" width="16" style="3" bestFit="1" customWidth="1"/>
    <col min="8206" max="8206" width="12" style="3" customWidth="1"/>
    <col min="8207" max="8207" width="15.140625" style="3" customWidth="1"/>
    <col min="8208" max="8208" width="18.5703125" style="3" bestFit="1" customWidth="1"/>
    <col min="8209" max="8209" width="14.7109375" style="3" bestFit="1" customWidth="1"/>
    <col min="8210" max="8213" width="11.5703125" style="3" bestFit="1" customWidth="1"/>
    <col min="8214" max="8214" width="11.42578125" style="3"/>
    <col min="8215" max="8215" width="14.42578125" style="3" customWidth="1"/>
    <col min="8216" max="8453" width="11.42578125" style="3"/>
    <col min="8454" max="8454" width="7.28515625" style="3" customWidth="1"/>
    <col min="8455" max="8455" width="65.42578125" style="3" customWidth="1"/>
    <col min="8456" max="8456" width="5.28515625" style="3" customWidth="1"/>
    <col min="8457" max="8457" width="10" style="3" bestFit="1" customWidth="1"/>
    <col min="8458" max="8458" width="22.28515625" style="3" bestFit="1" customWidth="1"/>
    <col min="8459" max="8459" width="19.85546875" style="3" bestFit="1" customWidth="1"/>
    <col min="8460" max="8460" width="19.85546875" style="3" customWidth="1"/>
    <col min="8461" max="8461" width="16" style="3" bestFit="1" customWidth="1"/>
    <col min="8462" max="8462" width="12" style="3" customWidth="1"/>
    <col min="8463" max="8463" width="15.140625" style="3" customWidth="1"/>
    <col min="8464" max="8464" width="18.5703125" style="3" bestFit="1" customWidth="1"/>
    <col min="8465" max="8465" width="14.7109375" style="3" bestFit="1" customWidth="1"/>
    <col min="8466" max="8469" width="11.5703125" style="3" bestFit="1" customWidth="1"/>
    <col min="8470" max="8470" width="11.42578125" style="3"/>
    <col min="8471" max="8471" width="14.42578125" style="3" customWidth="1"/>
    <col min="8472" max="8709" width="11.42578125" style="3"/>
    <col min="8710" max="8710" width="7.28515625" style="3" customWidth="1"/>
    <col min="8711" max="8711" width="65.42578125" style="3" customWidth="1"/>
    <col min="8712" max="8712" width="5.28515625" style="3" customWidth="1"/>
    <col min="8713" max="8713" width="10" style="3" bestFit="1" customWidth="1"/>
    <col min="8714" max="8714" width="22.28515625" style="3" bestFit="1" customWidth="1"/>
    <col min="8715" max="8715" width="19.85546875" style="3" bestFit="1" customWidth="1"/>
    <col min="8716" max="8716" width="19.85546875" style="3" customWidth="1"/>
    <col min="8717" max="8717" width="16" style="3" bestFit="1" customWidth="1"/>
    <col min="8718" max="8718" width="12" style="3" customWidth="1"/>
    <col min="8719" max="8719" width="15.140625" style="3" customWidth="1"/>
    <col min="8720" max="8720" width="18.5703125" style="3" bestFit="1" customWidth="1"/>
    <col min="8721" max="8721" width="14.7109375" style="3" bestFit="1" customWidth="1"/>
    <col min="8722" max="8725" width="11.5703125" style="3" bestFit="1" customWidth="1"/>
    <col min="8726" max="8726" width="11.42578125" style="3"/>
    <col min="8727" max="8727" width="14.42578125" style="3" customWidth="1"/>
    <col min="8728" max="8965" width="11.42578125" style="3"/>
    <col min="8966" max="8966" width="7.28515625" style="3" customWidth="1"/>
    <col min="8967" max="8967" width="65.42578125" style="3" customWidth="1"/>
    <col min="8968" max="8968" width="5.28515625" style="3" customWidth="1"/>
    <col min="8969" max="8969" width="10" style="3" bestFit="1" customWidth="1"/>
    <col min="8970" max="8970" width="22.28515625" style="3" bestFit="1" customWidth="1"/>
    <col min="8971" max="8971" width="19.85546875" style="3" bestFit="1" customWidth="1"/>
    <col min="8972" max="8972" width="19.85546875" style="3" customWidth="1"/>
    <col min="8973" max="8973" width="16" style="3" bestFit="1" customWidth="1"/>
    <col min="8974" max="8974" width="12" style="3" customWidth="1"/>
    <col min="8975" max="8975" width="15.140625" style="3" customWidth="1"/>
    <col min="8976" max="8976" width="18.5703125" style="3" bestFit="1" customWidth="1"/>
    <col min="8977" max="8977" width="14.7109375" style="3" bestFit="1" customWidth="1"/>
    <col min="8978" max="8981" width="11.5703125" style="3" bestFit="1" customWidth="1"/>
    <col min="8982" max="8982" width="11.42578125" style="3"/>
    <col min="8983" max="8983" width="14.42578125" style="3" customWidth="1"/>
    <col min="8984" max="9221" width="11.42578125" style="3"/>
    <col min="9222" max="9222" width="7.28515625" style="3" customWidth="1"/>
    <col min="9223" max="9223" width="65.42578125" style="3" customWidth="1"/>
    <col min="9224" max="9224" width="5.28515625" style="3" customWidth="1"/>
    <col min="9225" max="9225" width="10" style="3" bestFit="1" customWidth="1"/>
    <col min="9226" max="9226" width="22.28515625" style="3" bestFit="1" customWidth="1"/>
    <col min="9227" max="9227" width="19.85546875" style="3" bestFit="1" customWidth="1"/>
    <col min="9228" max="9228" width="19.85546875" style="3" customWidth="1"/>
    <col min="9229" max="9229" width="16" style="3" bestFit="1" customWidth="1"/>
    <col min="9230" max="9230" width="12" style="3" customWidth="1"/>
    <col min="9231" max="9231" width="15.140625" style="3" customWidth="1"/>
    <col min="9232" max="9232" width="18.5703125" style="3" bestFit="1" customWidth="1"/>
    <col min="9233" max="9233" width="14.7109375" style="3" bestFit="1" customWidth="1"/>
    <col min="9234" max="9237" width="11.5703125" style="3" bestFit="1" customWidth="1"/>
    <col min="9238" max="9238" width="11.42578125" style="3"/>
    <col min="9239" max="9239" width="14.42578125" style="3" customWidth="1"/>
    <col min="9240" max="9477" width="11.42578125" style="3"/>
    <col min="9478" max="9478" width="7.28515625" style="3" customWidth="1"/>
    <col min="9479" max="9479" width="65.42578125" style="3" customWidth="1"/>
    <col min="9480" max="9480" width="5.28515625" style="3" customWidth="1"/>
    <col min="9481" max="9481" width="10" style="3" bestFit="1" customWidth="1"/>
    <col min="9482" max="9482" width="22.28515625" style="3" bestFit="1" customWidth="1"/>
    <col min="9483" max="9483" width="19.85546875" style="3" bestFit="1" customWidth="1"/>
    <col min="9484" max="9484" width="19.85546875" style="3" customWidth="1"/>
    <col min="9485" max="9485" width="16" style="3" bestFit="1" customWidth="1"/>
    <col min="9486" max="9486" width="12" style="3" customWidth="1"/>
    <col min="9487" max="9487" width="15.140625" style="3" customWidth="1"/>
    <col min="9488" max="9488" width="18.5703125" style="3" bestFit="1" customWidth="1"/>
    <col min="9489" max="9489" width="14.7109375" style="3" bestFit="1" customWidth="1"/>
    <col min="9490" max="9493" width="11.5703125" style="3" bestFit="1" customWidth="1"/>
    <col min="9494" max="9494" width="11.42578125" style="3"/>
    <col min="9495" max="9495" width="14.42578125" style="3" customWidth="1"/>
    <col min="9496" max="9733" width="11.42578125" style="3"/>
    <col min="9734" max="9734" width="7.28515625" style="3" customWidth="1"/>
    <col min="9735" max="9735" width="65.42578125" style="3" customWidth="1"/>
    <col min="9736" max="9736" width="5.28515625" style="3" customWidth="1"/>
    <col min="9737" max="9737" width="10" style="3" bestFit="1" customWidth="1"/>
    <col min="9738" max="9738" width="22.28515625" style="3" bestFit="1" customWidth="1"/>
    <col min="9739" max="9739" width="19.85546875" style="3" bestFit="1" customWidth="1"/>
    <col min="9740" max="9740" width="19.85546875" style="3" customWidth="1"/>
    <col min="9741" max="9741" width="16" style="3" bestFit="1" customWidth="1"/>
    <col min="9742" max="9742" width="12" style="3" customWidth="1"/>
    <col min="9743" max="9743" width="15.140625" style="3" customWidth="1"/>
    <col min="9744" max="9744" width="18.5703125" style="3" bestFit="1" customWidth="1"/>
    <col min="9745" max="9745" width="14.7109375" style="3" bestFit="1" customWidth="1"/>
    <col min="9746" max="9749" width="11.5703125" style="3" bestFit="1" customWidth="1"/>
    <col min="9750" max="9750" width="11.42578125" style="3"/>
    <col min="9751" max="9751" width="14.42578125" style="3" customWidth="1"/>
    <col min="9752" max="9989" width="11.42578125" style="3"/>
    <col min="9990" max="9990" width="7.28515625" style="3" customWidth="1"/>
    <col min="9991" max="9991" width="65.42578125" style="3" customWidth="1"/>
    <col min="9992" max="9992" width="5.28515625" style="3" customWidth="1"/>
    <col min="9993" max="9993" width="10" style="3" bestFit="1" customWidth="1"/>
    <col min="9994" max="9994" width="22.28515625" style="3" bestFit="1" customWidth="1"/>
    <col min="9995" max="9995" width="19.85546875" style="3" bestFit="1" customWidth="1"/>
    <col min="9996" max="9996" width="19.85546875" style="3" customWidth="1"/>
    <col min="9997" max="9997" width="16" style="3" bestFit="1" customWidth="1"/>
    <col min="9998" max="9998" width="12" style="3" customWidth="1"/>
    <col min="9999" max="9999" width="15.140625" style="3" customWidth="1"/>
    <col min="10000" max="10000" width="18.5703125" style="3" bestFit="1" customWidth="1"/>
    <col min="10001" max="10001" width="14.7109375" style="3" bestFit="1" customWidth="1"/>
    <col min="10002" max="10005" width="11.5703125" style="3" bestFit="1" customWidth="1"/>
    <col min="10006" max="10006" width="11.42578125" style="3"/>
    <col min="10007" max="10007" width="14.42578125" style="3" customWidth="1"/>
    <col min="10008" max="10245" width="11.42578125" style="3"/>
    <col min="10246" max="10246" width="7.28515625" style="3" customWidth="1"/>
    <col min="10247" max="10247" width="65.42578125" style="3" customWidth="1"/>
    <col min="10248" max="10248" width="5.28515625" style="3" customWidth="1"/>
    <col min="10249" max="10249" width="10" style="3" bestFit="1" customWidth="1"/>
    <col min="10250" max="10250" width="22.28515625" style="3" bestFit="1" customWidth="1"/>
    <col min="10251" max="10251" width="19.85546875" style="3" bestFit="1" customWidth="1"/>
    <col min="10252" max="10252" width="19.85546875" style="3" customWidth="1"/>
    <col min="10253" max="10253" width="16" style="3" bestFit="1" customWidth="1"/>
    <col min="10254" max="10254" width="12" style="3" customWidth="1"/>
    <col min="10255" max="10255" width="15.140625" style="3" customWidth="1"/>
    <col min="10256" max="10256" width="18.5703125" style="3" bestFit="1" customWidth="1"/>
    <col min="10257" max="10257" width="14.7109375" style="3" bestFit="1" customWidth="1"/>
    <col min="10258" max="10261" width="11.5703125" style="3" bestFit="1" customWidth="1"/>
    <col min="10262" max="10262" width="11.42578125" style="3"/>
    <col min="10263" max="10263" width="14.42578125" style="3" customWidth="1"/>
    <col min="10264" max="10501" width="11.42578125" style="3"/>
    <col min="10502" max="10502" width="7.28515625" style="3" customWidth="1"/>
    <col min="10503" max="10503" width="65.42578125" style="3" customWidth="1"/>
    <col min="10504" max="10504" width="5.28515625" style="3" customWidth="1"/>
    <col min="10505" max="10505" width="10" style="3" bestFit="1" customWidth="1"/>
    <col min="10506" max="10506" width="22.28515625" style="3" bestFit="1" customWidth="1"/>
    <col min="10507" max="10507" width="19.85546875" style="3" bestFit="1" customWidth="1"/>
    <col min="10508" max="10508" width="19.85546875" style="3" customWidth="1"/>
    <col min="10509" max="10509" width="16" style="3" bestFit="1" customWidth="1"/>
    <col min="10510" max="10510" width="12" style="3" customWidth="1"/>
    <col min="10511" max="10511" width="15.140625" style="3" customWidth="1"/>
    <col min="10512" max="10512" width="18.5703125" style="3" bestFit="1" customWidth="1"/>
    <col min="10513" max="10513" width="14.7109375" style="3" bestFit="1" customWidth="1"/>
    <col min="10514" max="10517" width="11.5703125" style="3" bestFit="1" customWidth="1"/>
    <col min="10518" max="10518" width="11.42578125" style="3"/>
    <col min="10519" max="10519" width="14.42578125" style="3" customWidth="1"/>
    <col min="10520" max="10757" width="11.42578125" style="3"/>
    <col min="10758" max="10758" width="7.28515625" style="3" customWidth="1"/>
    <col min="10759" max="10759" width="65.42578125" style="3" customWidth="1"/>
    <col min="10760" max="10760" width="5.28515625" style="3" customWidth="1"/>
    <col min="10761" max="10761" width="10" style="3" bestFit="1" customWidth="1"/>
    <col min="10762" max="10762" width="22.28515625" style="3" bestFit="1" customWidth="1"/>
    <col min="10763" max="10763" width="19.85546875" style="3" bestFit="1" customWidth="1"/>
    <col min="10764" max="10764" width="19.85546875" style="3" customWidth="1"/>
    <col min="10765" max="10765" width="16" style="3" bestFit="1" customWidth="1"/>
    <col min="10766" max="10766" width="12" style="3" customWidth="1"/>
    <col min="10767" max="10767" width="15.140625" style="3" customWidth="1"/>
    <col min="10768" max="10768" width="18.5703125" style="3" bestFit="1" customWidth="1"/>
    <col min="10769" max="10769" width="14.7109375" style="3" bestFit="1" customWidth="1"/>
    <col min="10770" max="10773" width="11.5703125" style="3" bestFit="1" customWidth="1"/>
    <col min="10774" max="10774" width="11.42578125" style="3"/>
    <col min="10775" max="10775" width="14.42578125" style="3" customWidth="1"/>
    <col min="10776" max="11013" width="11.42578125" style="3"/>
    <col min="11014" max="11014" width="7.28515625" style="3" customWidth="1"/>
    <col min="11015" max="11015" width="65.42578125" style="3" customWidth="1"/>
    <col min="11016" max="11016" width="5.28515625" style="3" customWidth="1"/>
    <col min="11017" max="11017" width="10" style="3" bestFit="1" customWidth="1"/>
    <col min="11018" max="11018" width="22.28515625" style="3" bestFit="1" customWidth="1"/>
    <col min="11019" max="11019" width="19.85546875" style="3" bestFit="1" customWidth="1"/>
    <col min="11020" max="11020" width="19.85546875" style="3" customWidth="1"/>
    <col min="11021" max="11021" width="16" style="3" bestFit="1" customWidth="1"/>
    <col min="11022" max="11022" width="12" style="3" customWidth="1"/>
    <col min="11023" max="11023" width="15.140625" style="3" customWidth="1"/>
    <col min="11024" max="11024" width="18.5703125" style="3" bestFit="1" customWidth="1"/>
    <col min="11025" max="11025" width="14.7109375" style="3" bestFit="1" customWidth="1"/>
    <col min="11026" max="11029" width="11.5703125" style="3" bestFit="1" customWidth="1"/>
    <col min="11030" max="11030" width="11.42578125" style="3"/>
    <col min="11031" max="11031" width="14.42578125" style="3" customWidth="1"/>
    <col min="11032" max="11269" width="11.42578125" style="3"/>
    <col min="11270" max="11270" width="7.28515625" style="3" customWidth="1"/>
    <col min="11271" max="11271" width="65.42578125" style="3" customWidth="1"/>
    <col min="11272" max="11272" width="5.28515625" style="3" customWidth="1"/>
    <col min="11273" max="11273" width="10" style="3" bestFit="1" customWidth="1"/>
    <col min="11274" max="11274" width="22.28515625" style="3" bestFit="1" customWidth="1"/>
    <col min="11275" max="11275" width="19.85546875" style="3" bestFit="1" customWidth="1"/>
    <col min="11276" max="11276" width="19.85546875" style="3" customWidth="1"/>
    <col min="11277" max="11277" width="16" style="3" bestFit="1" customWidth="1"/>
    <col min="11278" max="11278" width="12" style="3" customWidth="1"/>
    <col min="11279" max="11279" width="15.140625" style="3" customWidth="1"/>
    <col min="11280" max="11280" width="18.5703125" style="3" bestFit="1" customWidth="1"/>
    <col min="11281" max="11281" width="14.7109375" style="3" bestFit="1" customWidth="1"/>
    <col min="11282" max="11285" width="11.5703125" style="3" bestFit="1" customWidth="1"/>
    <col min="11286" max="11286" width="11.42578125" style="3"/>
    <col min="11287" max="11287" width="14.42578125" style="3" customWidth="1"/>
    <col min="11288" max="11525" width="11.42578125" style="3"/>
    <col min="11526" max="11526" width="7.28515625" style="3" customWidth="1"/>
    <col min="11527" max="11527" width="65.42578125" style="3" customWidth="1"/>
    <col min="11528" max="11528" width="5.28515625" style="3" customWidth="1"/>
    <col min="11529" max="11529" width="10" style="3" bestFit="1" customWidth="1"/>
    <col min="11530" max="11530" width="22.28515625" style="3" bestFit="1" customWidth="1"/>
    <col min="11531" max="11531" width="19.85546875" style="3" bestFit="1" customWidth="1"/>
    <col min="11532" max="11532" width="19.85546875" style="3" customWidth="1"/>
    <col min="11533" max="11533" width="16" style="3" bestFit="1" customWidth="1"/>
    <col min="11534" max="11534" width="12" style="3" customWidth="1"/>
    <col min="11535" max="11535" width="15.140625" style="3" customWidth="1"/>
    <col min="11536" max="11536" width="18.5703125" style="3" bestFit="1" customWidth="1"/>
    <col min="11537" max="11537" width="14.7109375" style="3" bestFit="1" customWidth="1"/>
    <col min="11538" max="11541" width="11.5703125" style="3" bestFit="1" customWidth="1"/>
    <col min="11542" max="11542" width="11.42578125" style="3"/>
    <col min="11543" max="11543" width="14.42578125" style="3" customWidth="1"/>
    <col min="11544" max="11781" width="11.42578125" style="3"/>
    <col min="11782" max="11782" width="7.28515625" style="3" customWidth="1"/>
    <col min="11783" max="11783" width="65.42578125" style="3" customWidth="1"/>
    <col min="11784" max="11784" width="5.28515625" style="3" customWidth="1"/>
    <col min="11785" max="11785" width="10" style="3" bestFit="1" customWidth="1"/>
    <col min="11786" max="11786" width="22.28515625" style="3" bestFit="1" customWidth="1"/>
    <col min="11787" max="11787" width="19.85546875" style="3" bestFit="1" customWidth="1"/>
    <col min="11788" max="11788" width="19.85546875" style="3" customWidth="1"/>
    <col min="11789" max="11789" width="16" style="3" bestFit="1" customWidth="1"/>
    <col min="11790" max="11790" width="12" style="3" customWidth="1"/>
    <col min="11791" max="11791" width="15.140625" style="3" customWidth="1"/>
    <col min="11792" max="11792" width="18.5703125" style="3" bestFit="1" customWidth="1"/>
    <col min="11793" max="11793" width="14.7109375" style="3" bestFit="1" customWidth="1"/>
    <col min="11794" max="11797" width="11.5703125" style="3" bestFit="1" customWidth="1"/>
    <col min="11798" max="11798" width="11.42578125" style="3"/>
    <col min="11799" max="11799" width="14.42578125" style="3" customWidth="1"/>
    <col min="11800" max="12037" width="11.42578125" style="3"/>
    <col min="12038" max="12038" width="7.28515625" style="3" customWidth="1"/>
    <col min="12039" max="12039" width="65.42578125" style="3" customWidth="1"/>
    <col min="12040" max="12040" width="5.28515625" style="3" customWidth="1"/>
    <col min="12041" max="12041" width="10" style="3" bestFit="1" customWidth="1"/>
    <col min="12042" max="12042" width="22.28515625" style="3" bestFit="1" customWidth="1"/>
    <col min="12043" max="12043" width="19.85546875" style="3" bestFit="1" customWidth="1"/>
    <col min="12044" max="12044" width="19.85546875" style="3" customWidth="1"/>
    <col min="12045" max="12045" width="16" style="3" bestFit="1" customWidth="1"/>
    <col min="12046" max="12046" width="12" style="3" customWidth="1"/>
    <col min="12047" max="12047" width="15.140625" style="3" customWidth="1"/>
    <col min="12048" max="12048" width="18.5703125" style="3" bestFit="1" customWidth="1"/>
    <col min="12049" max="12049" width="14.7109375" style="3" bestFit="1" customWidth="1"/>
    <col min="12050" max="12053" width="11.5703125" style="3" bestFit="1" customWidth="1"/>
    <col min="12054" max="12054" width="11.42578125" style="3"/>
    <col min="12055" max="12055" width="14.42578125" style="3" customWidth="1"/>
    <col min="12056" max="12293" width="11.42578125" style="3"/>
    <col min="12294" max="12294" width="7.28515625" style="3" customWidth="1"/>
    <col min="12295" max="12295" width="65.42578125" style="3" customWidth="1"/>
    <col min="12296" max="12296" width="5.28515625" style="3" customWidth="1"/>
    <col min="12297" max="12297" width="10" style="3" bestFit="1" customWidth="1"/>
    <col min="12298" max="12298" width="22.28515625" style="3" bestFit="1" customWidth="1"/>
    <col min="12299" max="12299" width="19.85546875" style="3" bestFit="1" customWidth="1"/>
    <col min="12300" max="12300" width="19.85546875" style="3" customWidth="1"/>
    <col min="12301" max="12301" width="16" style="3" bestFit="1" customWidth="1"/>
    <col min="12302" max="12302" width="12" style="3" customWidth="1"/>
    <col min="12303" max="12303" width="15.140625" style="3" customWidth="1"/>
    <col min="12304" max="12304" width="18.5703125" style="3" bestFit="1" customWidth="1"/>
    <col min="12305" max="12305" width="14.7109375" style="3" bestFit="1" customWidth="1"/>
    <col min="12306" max="12309" width="11.5703125" style="3" bestFit="1" customWidth="1"/>
    <col min="12310" max="12310" width="11.42578125" style="3"/>
    <col min="12311" max="12311" width="14.42578125" style="3" customWidth="1"/>
    <col min="12312" max="12549" width="11.42578125" style="3"/>
    <col min="12550" max="12550" width="7.28515625" style="3" customWidth="1"/>
    <col min="12551" max="12551" width="65.42578125" style="3" customWidth="1"/>
    <col min="12552" max="12552" width="5.28515625" style="3" customWidth="1"/>
    <col min="12553" max="12553" width="10" style="3" bestFit="1" customWidth="1"/>
    <col min="12554" max="12554" width="22.28515625" style="3" bestFit="1" customWidth="1"/>
    <col min="12555" max="12555" width="19.85546875" style="3" bestFit="1" customWidth="1"/>
    <col min="12556" max="12556" width="19.85546875" style="3" customWidth="1"/>
    <col min="12557" max="12557" width="16" style="3" bestFit="1" customWidth="1"/>
    <col min="12558" max="12558" width="12" style="3" customWidth="1"/>
    <col min="12559" max="12559" width="15.140625" style="3" customWidth="1"/>
    <col min="12560" max="12560" width="18.5703125" style="3" bestFit="1" customWidth="1"/>
    <col min="12561" max="12561" width="14.7109375" style="3" bestFit="1" customWidth="1"/>
    <col min="12562" max="12565" width="11.5703125" style="3" bestFit="1" customWidth="1"/>
    <col min="12566" max="12566" width="11.42578125" style="3"/>
    <col min="12567" max="12567" width="14.42578125" style="3" customWidth="1"/>
    <col min="12568" max="12805" width="11.42578125" style="3"/>
    <col min="12806" max="12806" width="7.28515625" style="3" customWidth="1"/>
    <col min="12807" max="12807" width="65.42578125" style="3" customWidth="1"/>
    <col min="12808" max="12808" width="5.28515625" style="3" customWidth="1"/>
    <col min="12809" max="12809" width="10" style="3" bestFit="1" customWidth="1"/>
    <col min="12810" max="12810" width="22.28515625" style="3" bestFit="1" customWidth="1"/>
    <col min="12811" max="12811" width="19.85546875" style="3" bestFit="1" customWidth="1"/>
    <col min="12812" max="12812" width="19.85546875" style="3" customWidth="1"/>
    <col min="12813" max="12813" width="16" style="3" bestFit="1" customWidth="1"/>
    <col min="12814" max="12814" width="12" style="3" customWidth="1"/>
    <col min="12815" max="12815" width="15.140625" style="3" customWidth="1"/>
    <col min="12816" max="12816" width="18.5703125" style="3" bestFit="1" customWidth="1"/>
    <col min="12817" max="12817" width="14.7109375" style="3" bestFit="1" customWidth="1"/>
    <col min="12818" max="12821" width="11.5703125" style="3" bestFit="1" customWidth="1"/>
    <col min="12822" max="12822" width="11.42578125" style="3"/>
    <col min="12823" max="12823" width="14.42578125" style="3" customWidth="1"/>
    <col min="12824" max="13061" width="11.42578125" style="3"/>
    <col min="13062" max="13062" width="7.28515625" style="3" customWidth="1"/>
    <col min="13063" max="13063" width="65.42578125" style="3" customWidth="1"/>
    <col min="13064" max="13064" width="5.28515625" style="3" customWidth="1"/>
    <col min="13065" max="13065" width="10" style="3" bestFit="1" customWidth="1"/>
    <col min="13066" max="13066" width="22.28515625" style="3" bestFit="1" customWidth="1"/>
    <col min="13067" max="13067" width="19.85546875" style="3" bestFit="1" customWidth="1"/>
    <col min="13068" max="13068" width="19.85546875" style="3" customWidth="1"/>
    <col min="13069" max="13069" width="16" style="3" bestFit="1" customWidth="1"/>
    <col min="13070" max="13070" width="12" style="3" customWidth="1"/>
    <col min="13071" max="13071" width="15.140625" style="3" customWidth="1"/>
    <col min="13072" max="13072" width="18.5703125" style="3" bestFit="1" customWidth="1"/>
    <col min="13073" max="13073" width="14.7109375" style="3" bestFit="1" customWidth="1"/>
    <col min="13074" max="13077" width="11.5703125" style="3" bestFit="1" customWidth="1"/>
    <col min="13078" max="13078" width="11.42578125" style="3"/>
    <col min="13079" max="13079" width="14.42578125" style="3" customWidth="1"/>
    <col min="13080" max="13317" width="11.42578125" style="3"/>
    <col min="13318" max="13318" width="7.28515625" style="3" customWidth="1"/>
    <col min="13319" max="13319" width="65.42578125" style="3" customWidth="1"/>
    <col min="13320" max="13320" width="5.28515625" style="3" customWidth="1"/>
    <col min="13321" max="13321" width="10" style="3" bestFit="1" customWidth="1"/>
    <col min="13322" max="13322" width="22.28515625" style="3" bestFit="1" customWidth="1"/>
    <col min="13323" max="13323" width="19.85546875" style="3" bestFit="1" customWidth="1"/>
    <col min="13324" max="13324" width="19.85546875" style="3" customWidth="1"/>
    <col min="13325" max="13325" width="16" style="3" bestFit="1" customWidth="1"/>
    <col min="13326" max="13326" width="12" style="3" customWidth="1"/>
    <col min="13327" max="13327" width="15.140625" style="3" customWidth="1"/>
    <col min="13328" max="13328" width="18.5703125" style="3" bestFit="1" customWidth="1"/>
    <col min="13329" max="13329" width="14.7109375" style="3" bestFit="1" customWidth="1"/>
    <col min="13330" max="13333" width="11.5703125" style="3" bestFit="1" customWidth="1"/>
    <col min="13334" max="13334" width="11.42578125" style="3"/>
    <col min="13335" max="13335" width="14.42578125" style="3" customWidth="1"/>
    <col min="13336" max="13573" width="11.42578125" style="3"/>
    <col min="13574" max="13574" width="7.28515625" style="3" customWidth="1"/>
    <col min="13575" max="13575" width="65.42578125" style="3" customWidth="1"/>
    <col min="13576" max="13576" width="5.28515625" style="3" customWidth="1"/>
    <col min="13577" max="13577" width="10" style="3" bestFit="1" customWidth="1"/>
    <col min="13578" max="13578" width="22.28515625" style="3" bestFit="1" customWidth="1"/>
    <col min="13579" max="13579" width="19.85546875" style="3" bestFit="1" customWidth="1"/>
    <col min="13580" max="13580" width="19.85546875" style="3" customWidth="1"/>
    <col min="13581" max="13581" width="16" style="3" bestFit="1" customWidth="1"/>
    <col min="13582" max="13582" width="12" style="3" customWidth="1"/>
    <col min="13583" max="13583" width="15.140625" style="3" customWidth="1"/>
    <col min="13584" max="13584" width="18.5703125" style="3" bestFit="1" customWidth="1"/>
    <col min="13585" max="13585" width="14.7109375" style="3" bestFit="1" customWidth="1"/>
    <col min="13586" max="13589" width="11.5703125" style="3" bestFit="1" customWidth="1"/>
    <col min="13590" max="13590" width="11.42578125" style="3"/>
    <col min="13591" max="13591" width="14.42578125" style="3" customWidth="1"/>
    <col min="13592" max="13829" width="11.42578125" style="3"/>
    <col min="13830" max="13830" width="7.28515625" style="3" customWidth="1"/>
    <col min="13831" max="13831" width="65.42578125" style="3" customWidth="1"/>
    <col min="13832" max="13832" width="5.28515625" style="3" customWidth="1"/>
    <col min="13833" max="13833" width="10" style="3" bestFit="1" customWidth="1"/>
    <col min="13834" max="13834" width="22.28515625" style="3" bestFit="1" customWidth="1"/>
    <col min="13835" max="13835" width="19.85546875" style="3" bestFit="1" customWidth="1"/>
    <col min="13836" max="13836" width="19.85546875" style="3" customWidth="1"/>
    <col min="13837" max="13837" width="16" style="3" bestFit="1" customWidth="1"/>
    <col min="13838" max="13838" width="12" style="3" customWidth="1"/>
    <col min="13839" max="13839" width="15.140625" style="3" customWidth="1"/>
    <col min="13840" max="13840" width="18.5703125" style="3" bestFit="1" customWidth="1"/>
    <col min="13841" max="13841" width="14.7109375" style="3" bestFit="1" customWidth="1"/>
    <col min="13842" max="13845" width="11.5703125" style="3" bestFit="1" customWidth="1"/>
    <col min="13846" max="13846" width="11.42578125" style="3"/>
    <col min="13847" max="13847" width="14.42578125" style="3" customWidth="1"/>
    <col min="13848" max="14085" width="11.42578125" style="3"/>
    <col min="14086" max="14086" width="7.28515625" style="3" customWidth="1"/>
    <col min="14087" max="14087" width="65.42578125" style="3" customWidth="1"/>
    <col min="14088" max="14088" width="5.28515625" style="3" customWidth="1"/>
    <col min="14089" max="14089" width="10" style="3" bestFit="1" customWidth="1"/>
    <col min="14090" max="14090" width="22.28515625" style="3" bestFit="1" customWidth="1"/>
    <col min="14091" max="14091" width="19.85546875" style="3" bestFit="1" customWidth="1"/>
    <col min="14092" max="14092" width="19.85546875" style="3" customWidth="1"/>
    <col min="14093" max="14093" width="16" style="3" bestFit="1" customWidth="1"/>
    <col min="14094" max="14094" width="12" style="3" customWidth="1"/>
    <col min="14095" max="14095" width="15.140625" style="3" customWidth="1"/>
    <col min="14096" max="14096" width="18.5703125" style="3" bestFit="1" customWidth="1"/>
    <col min="14097" max="14097" width="14.7109375" style="3" bestFit="1" customWidth="1"/>
    <col min="14098" max="14101" width="11.5703125" style="3" bestFit="1" customWidth="1"/>
    <col min="14102" max="14102" width="11.42578125" style="3"/>
    <col min="14103" max="14103" width="14.42578125" style="3" customWidth="1"/>
    <col min="14104" max="14341" width="11.42578125" style="3"/>
    <col min="14342" max="14342" width="7.28515625" style="3" customWidth="1"/>
    <col min="14343" max="14343" width="65.42578125" style="3" customWidth="1"/>
    <col min="14344" max="14344" width="5.28515625" style="3" customWidth="1"/>
    <col min="14345" max="14345" width="10" style="3" bestFit="1" customWidth="1"/>
    <col min="14346" max="14346" width="22.28515625" style="3" bestFit="1" customWidth="1"/>
    <col min="14347" max="14347" width="19.85546875" style="3" bestFit="1" customWidth="1"/>
    <col min="14348" max="14348" width="19.85546875" style="3" customWidth="1"/>
    <col min="14349" max="14349" width="16" style="3" bestFit="1" customWidth="1"/>
    <col min="14350" max="14350" width="12" style="3" customWidth="1"/>
    <col min="14351" max="14351" width="15.140625" style="3" customWidth="1"/>
    <col min="14352" max="14352" width="18.5703125" style="3" bestFit="1" customWidth="1"/>
    <col min="14353" max="14353" width="14.7109375" style="3" bestFit="1" customWidth="1"/>
    <col min="14354" max="14357" width="11.5703125" style="3" bestFit="1" customWidth="1"/>
    <col min="14358" max="14358" width="11.42578125" style="3"/>
    <col min="14359" max="14359" width="14.42578125" style="3" customWidth="1"/>
    <col min="14360" max="14597" width="11.42578125" style="3"/>
    <col min="14598" max="14598" width="7.28515625" style="3" customWidth="1"/>
    <col min="14599" max="14599" width="65.42578125" style="3" customWidth="1"/>
    <col min="14600" max="14600" width="5.28515625" style="3" customWidth="1"/>
    <col min="14601" max="14601" width="10" style="3" bestFit="1" customWidth="1"/>
    <col min="14602" max="14602" width="22.28515625" style="3" bestFit="1" customWidth="1"/>
    <col min="14603" max="14603" width="19.85546875" style="3" bestFit="1" customWidth="1"/>
    <col min="14604" max="14604" width="19.85546875" style="3" customWidth="1"/>
    <col min="14605" max="14605" width="16" style="3" bestFit="1" customWidth="1"/>
    <col min="14606" max="14606" width="12" style="3" customWidth="1"/>
    <col min="14607" max="14607" width="15.140625" style="3" customWidth="1"/>
    <col min="14608" max="14608" width="18.5703125" style="3" bestFit="1" customWidth="1"/>
    <col min="14609" max="14609" width="14.7109375" style="3" bestFit="1" customWidth="1"/>
    <col min="14610" max="14613" width="11.5703125" style="3" bestFit="1" customWidth="1"/>
    <col min="14614" max="14614" width="11.42578125" style="3"/>
    <col min="14615" max="14615" width="14.42578125" style="3" customWidth="1"/>
    <col min="14616" max="14853" width="11.42578125" style="3"/>
    <col min="14854" max="14854" width="7.28515625" style="3" customWidth="1"/>
    <col min="14855" max="14855" width="65.42578125" style="3" customWidth="1"/>
    <col min="14856" max="14856" width="5.28515625" style="3" customWidth="1"/>
    <col min="14857" max="14857" width="10" style="3" bestFit="1" customWidth="1"/>
    <col min="14858" max="14858" width="22.28515625" style="3" bestFit="1" customWidth="1"/>
    <col min="14859" max="14859" width="19.85546875" style="3" bestFit="1" customWidth="1"/>
    <col min="14860" max="14860" width="19.85546875" style="3" customWidth="1"/>
    <col min="14861" max="14861" width="16" style="3" bestFit="1" customWidth="1"/>
    <col min="14862" max="14862" width="12" style="3" customWidth="1"/>
    <col min="14863" max="14863" width="15.140625" style="3" customWidth="1"/>
    <col min="14864" max="14864" width="18.5703125" style="3" bestFit="1" customWidth="1"/>
    <col min="14865" max="14865" width="14.7109375" style="3" bestFit="1" customWidth="1"/>
    <col min="14866" max="14869" width="11.5703125" style="3" bestFit="1" customWidth="1"/>
    <col min="14870" max="14870" width="11.42578125" style="3"/>
    <col min="14871" max="14871" width="14.42578125" style="3" customWidth="1"/>
    <col min="14872" max="15109" width="11.42578125" style="3"/>
    <col min="15110" max="15110" width="7.28515625" style="3" customWidth="1"/>
    <col min="15111" max="15111" width="65.42578125" style="3" customWidth="1"/>
    <col min="15112" max="15112" width="5.28515625" style="3" customWidth="1"/>
    <col min="15113" max="15113" width="10" style="3" bestFit="1" customWidth="1"/>
    <col min="15114" max="15114" width="22.28515625" style="3" bestFit="1" customWidth="1"/>
    <col min="15115" max="15115" width="19.85546875" style="3" bestFit="1" customWidth="1"/>
    <col min="15116" max="15116" width="19.85546875" style="3" customWidth="1"/>
    <col min="15117" max="15117" width="16" style="3" bestFit="1" customWidth="1"/>
    <col min="15118" max="15118" width="12" style="3" customWidth="1"/>
    <col min="15119" max="15119" width="15.140625" style="3" customWidth="1"/>
    <col min="15120" max="15120" width="18.5703125" style="3" bestFit="1" customWidth="1"/>
    <col min="15121" max="15121" width="14.7109375" style="3" bestFit="1" customWidth="1"/>
    <col min="15122" max="15125" width="11.5703125" style="3" bestFit="1" customWidth="1"/>
    <col min="15126" max="15126" width="11.42578125" style="3"/>
    <col min="15127" max="15127" width="14.42578125" style="3" customWidth="1"/>
    <col min="15128" max="15365" width="11.42578125" style="3"/>
    <col min="15366" max="15366" width="7.28515625" style="3" customWidth="1"/>
    <col min="15367" max="15367" width="65.42578125" style="3" customWidth="1"/>
    <col min="15368" max="15368" width="5.28515625" style="3" customWidth="1"/>
    <col min="15369" max="15369" width="10" style="3" bestFit="1" customWidth="1"/>
    <col min="15370" max="15370" width="22.28515625" style="3" bestFit="1" customWidth="1"/>
    <col min="15371" max="15371" width="19.85546875" style="3" bestFit="1" customWidth="1"/>
    <col min="15372" max="15372" width="19.85546875" style="3" customWidth="1"/>
    <col min="15373" max="15373" width="16" style="3" bestFit="1" customWidth="1"/>
    <col min="15374" max="15374" width="12" style="3" customWidth="1"/>
    <col min="15375" max="15375" width="15.140625" style="3" customWidth="1"/>
    <col min="15376" max="15376" width="18.5703125" style="3" bestFit="1" customWidth="1"/>
    <col min="15377" max="15377" width="14.7109375" style="3" bestFit="1" customWidth="1"/>
    <col min="15378" max="15381" width="11.5703125" style="3" bestFit="1" customWidth="1"/>
    <col min="15382" max="15382" width="11.42578125" style="3"/>
    <col min="15383" max="15383" width="14.42578125" style="3" customWidth="1"/>
    <col min="15384" max="15621" width="11.42578125" style="3"/>
    <col min="15622" max="15622" width="7.28515625" style="3" customWidth="1"/>
    <col min="15623" max="15623" width="65.42578125" style="3" customWidth="1"/>
    <col min="15624" max="15624" width="5.28515625" style="3" customWidth="1"/>
    <col min="15625" max="15625" width="10" style="3" bestFit="1" customWidth="1"/>
    <col min="15626" max="15626" width="22.28515625" style="3" bestFit="1" customWidth="1"/>
    <col min="15627" max="15627" width="19.85546875" style="3" bestFit="1" customWidth="1"/>
    <col min="15628" max="15628" width="19.85546875" style="3" customWidth="1"/>
    <col min="15629" max="15629" width="16" style="3" bestFit="1" customWidth="1"/>
    <col min="15630" max="15630" width="12" style="3" customWidth="1"/>
    <col min="15631" max="15631" width="15.140625" style="3" customWidth="1"/>
    <col min="15632" max="15632" width="18.5703125" style="3" bestFit="1" customWidth="1"/>
    <col min="15633" max="15633" width="14.7109375" style="3" bestFit="1" customWidth="1"/>
    <col min="15634" max="15637" width="11.5703125" style="3" bestFit="1" customWidth="1"/>
    <col min="15638" max="15638" width="11.42578125" style="3"/>
    <col min="15639" max="15639" width="14.42578125" style="3" customWidth="1"/>
    <col min="15640" max="15877" width="11.42578125" style="3"/>
    <col min="15878" max="15878" width="7.28515625" style="3" customWidth="1"/>
    <col min="15879" max="15879" width="65.42578125" style="3" customWidth="1"/>
    <col min="15880" max="15880" width="5.28515625" style="3" customWidth="1"/>
    <col min="15881" max="15881" width="10" style="3" bestFit="1" customWidth="1"/>
    <col min="15882" max="15882" width="22.28515625" style="3" bestFit="1" customWidth="1"/>
    <col min="15883" max="15883" width="19.85546875" style="3" bestFit="1" customWidth="1"/>
    <col min="15884" max="15884" width="19.85546875" style="3" customWidth="1"/>
    <col min="15885" max="15885" width="16" style="3" bestFit="1" customWidth="1"/>
    <col min="15886" max="15886" width="12" style="3" customWidth="1"/>
    <col min="15887" max="15887" width="15.140625" style="3" customWidth="1"/>
    <col min="15888" max="15888" width="18.5703125" style="3" bestFit="1" customWidth="1"/>
    <col min="15889" max="15889" width="14.7109375" style="3" bestFit="1" customWidth="1"/>
    <col min="15890" max="15893" width="11.5703125" style="3" bestFit="1" customWidth="1"/>
    <col min="15894" max="15894" width="11.42578125" style="3"/>
    <col min="15895" max="15895" width="14.42578125" style="3" customWidth="1"/>
    <col min="15896" max="16133" width="11.42578125" style="3"/>
    <col min="16134" max="16134" width="7.28515625" style="3" customWidth="1"/>
    <col min="16135" max="16135" width="65.42578125" style="3" customWidth="1"/>
    <col min="16136" max="16136" width="5.28515625" style="3" customWidth="1"/>
    <col min="16137" max="16137" width="10" style="3" bestFit="1" customWidth="1"/>
    <col min="16138" max="16138" width="22.28515625" style="3" bestFit="1" customWidth="1"/>
    <col min="16139" max="16139" width="19.85546875" style="3" bestFit="1" customWidth="1"/>
    <col min="16140" max="16140" width="19.85546875" style="3" customWidth="1"/>
    <col min="16141" max="16141" width="16" style="3" bestFit="1" customWidth="1"/>
    <col min="16142" max="16142" width="12" style="3" customWidth="1"/>
    <col min="16143" max="16143" width="15.140625" style="3" customWidth="1"/>
    <col min="16144" max="16144" width="18.5703125" style="3" bestFit="1" customWidth="1"/>
    <col min="16145" max="16145" width="14.7109375" style="3" bestFit="1" customWidth="1"/>
    <col min="16146" max="16149" width="11.5703125" style="3" bestFit="1" customWidth="1"/>
    <col min="16150" max="16150" width="11.42578125" style="3"/>
    <col min="16151" max="16151" width="14.42578125" style="3" customWidth="1"/>
    <col min="16152" max="16384" width="11.42578125" style="3"/>
  </cols>
  <sheetData>
    <row r="1" spans="1:28" s="103" customFormat="1" ht="16.5" x14ac:dyDescent="0.25">
      <c r="A1" s="104" t="s">
        <v>0</v>
      </c>
      <c r="B1" s="105"/>
      <c r="C1" s="106"/>
      <c r="D1" s="107"/>
      <c r="E1" s="133"/>
      <c r="F1" s="107"/>
      <c r="G1" s="107"/>
      <c r="H1" s="108"/>
      <c r="I1" s="108"/>
      <c r="J1" s="108"/>
      <c r="K1" s="102"/>
      <c r="L1" s="102"/>
      <c r="M1" s="101"/>
      <c r="R1" s="221"/>
      <c r="T1" s="221"/>
      <c r="U1" s="227"/>
      <c r="V1" s="228"/>
      <c r="W1" s="233"/>
      <c r="X1" s="234"/>
      <c r="Z1" s="221"/>
      <c r="AA1" s="227"/>
      <c r="AB1" s="228"/>
    </row>
    <row r="2" spans="1:28" s="103" customFormat="1" ht="16.5" x14ac:dyDescent="0.25">
      <c r="A2" s="104" t="s">
        <v>1</v>
      </c>
      <c r="B2" s="105"/>
      <c r="C2" s="106"/>
      <c r="D2" s="107"/>
      <c r="E2" s="133"/>
      <c r="F2" s="107"/>
      <c r="G2" s="107"/>
      <c r="H2" s="108"/>
      <c r="I2" s="108"/>
      <c r="J2" s="108"/>
      <c r="K2" s="102"/>
      <c r="L2" s="102"/>
      <c r="M2" s="101"/>
      <c r="R2" s="221"/>
      <c r="T2" s="221"/>
      <c r="U2" s="227"/>
      <c r="V2" s="228"/>
      <c r="W2" s="233"/>
      <c r="X2" s="234"/>
      <c r="Z2" s="221"/>
      <c r="AA2" s="227"/>
      <c r="AB2" s="228"/>
    </row>
    <row r="3" spans="1:28" s="103" customFormat="1" ht="17.25" thickBot="1" x14ac:dyDescent="0.3">
      <c r="A3" s="104" t="s">
        <v>2</v>
      </c>
      <c r="B3" s="105"/>
      <c r="C3" s="106"/>
      <c r="D3" s="107"/>
      <c r="E3" s="243"/>
      <c r="F3" s="243"/>
      <c r="G3" s="243"/>
      <c r="H3" s="108"/>
      <c r="I3" s="108"/>
      <c r="J3" s="108"/>
      <c r="K3" s="102"/>
      <c r="L3" s="102"/>
      <c r="M3" s="101"/>
      <c r="R3" s="221"/>
      <c r="T3" s="221"/>
      <c r="U3" s="227"/>
      <c r="V3" s="228"/>
      <c r="W3" s="233"/>
      <c r="X3" s="234"/>
      <c r="Z3" s="221"/>
      <c r="AA3" s="227"/>
      <c r="AB3" s="228"/>
    </row>
    <row r="4" spans="1:28" ht="37.5" customHeight="1" x14ac:dyDescent="0.25">
      <c r="A4" s="4" t="s">
        <v>3</v>
      </c>
      <c r="B4" s="5" t="s">
        <v>4</v>
      </c>
      <c r="C4" s="4" t="s">
        <v>5</v>
      </c>
      <c r="D4" s="6" t="s">
        <v>6</v>
      </c>
      <c r="E4" s="134" t="s">
        <v>163</v>
      </c>
      <c r="F4" s="6" t="s">
        <v>164</v>
      </c>
      <c r="G4" s="6" t="s">
        <v>165</v>
      </c>
      <c r="H4" s="7" t="s">
        <v>184</v>
      </c>
      <c r="I4" s="7" t="s">
        <v>187</v>
      </c>
      <c r="J4" s="7" t="s">
        <v>185</v>
      </c>
      <c r="K4" s="7" t="s">
        <v>186</v>
      </c>
      <c r="L4" s="7" t="s">
        <v>183</v>
      </c>
      <c r="M4" s="8" t="s">
        <v>7</v>
      </c>
      <c r="N4" s="8" t="s">
        <v>8</v>
      </c>
      <c r="O4" s="8" t="s">
        <v>9</v>
      </c>
      <c r="Q4" s="256" t="s">
        <v>189</v>
      </c>
      <c r="R4" s="257"/>
      <c r="S4" s="258" t="s">
        <v>190</v>
      </c>
      <c r="T4" s="259"/>
      <c r="U4" s="254" t="s">
        <v>191</v>
      </c>
      <c r="V4" s="255"/>
      <c r="W4" s="260" t="s">
        <v>195</v>
      </c>
      <c r="X4" s="261"/>
      <c r="Y4" s="258" t="s">
        <v>196</v>
      </c>
      <c r="Z4" s="259"/>
      <c r="AA4" s="254" t="s">
        <v>197</v>
      </c>
      <c r="AB4" s="255"/>
    </row>
    <row r="5" spans="1:28" s="12" customFormat="1" x14ac:dyDescent="0.25">
      <c r="A5" s="87" t="s">
        <v>10</v>
      </c>
      <c r="B5" s="88" t="s">
        <v>11</v>
      </c>
      <c r="C5" s="87"/>
      <c r="D5" s="89"/>
      <c r="E5" s="135"/>
      <c r="F5" s="89"/>
      <c r="G5" s="89"/>
      <c r="H5" s="89"/>
      <c r="I5" s="89"/>
      <c r="J5" s="89"/>
      <c r="K5" s="89"/>
      <c r="L5" s="9"/>
      <c r="M5" s="10"/>
      <c r="N5" s="10"/>
      <c r="O5" s="11"/>
      <c r="Q5" s="163" t="s">
        <v>192</v>
      </c>
      <c r="R5" s="222" t="s">
        <v>193</v>
      </c>
      <c r="S5" s="239" t="s">
        <v>192</v>
      </c>
      <c r="T5" s="240" t="s">
        <v>193</v>
      </c>
      <c r="U5" s="174" t="s">
        <v>192</v>
      </c>
      <c r="V5" s="225" t="s">
        <v>193</v>
      </c>
      <c r="W5" s="179" t="s">
        <v>192</v>
      </c>
      <c r="X5" s="226" t="s">
        <v>193</v>
      </c>
      <c r="Y5" s="239" t="s">
        <v>192</v>
      </c>
      <c r="Z5" s="240" t="s">
        <v>193</v>
      </c>
      <c r="AA5" s="174" t="s">
        <v>192</v>
      </c>
      <c r="AB5" s="225" t="s">
        <v>193</v>
      </c>
    </row>
    <row r="6" spans="1:28" s="12" customFormat="1" x14ac:dyDescent="0.25">
      <c r="A6" s="41" t="s">
        <v>12</v>
      </c>
      <c r="B6" s="13" t="s">
        <v>172</v>
      </c>
      <c r="C6" s="14"/>
      <c r="D6" s="15"/>
      <c r="E6" s="136"/>
      <c r="F6" s="15"/>
      <c r="G6" s="15"/>
      <c r="H6" s="114">
        <f>SUM(H7:H21)</f>
        <v>0</v>
      </c>
      <c r="I6" s="114">
        <f>SUM(I7:I21)</f>
        <v>0</v>
      </c>
      <c r="J6" s="114">
        <f>SUM(J7:J21)</f>
        <v>0</v>
      </c>
      <c r="K6" s="114">
        <f>SUM(K7:K21)</f>
        <v>0</v>
      </c>
      <c r="L6" s="16">
        <f>SUM(L7:L21)</f>
        <v>0</v>
      </c>
      <c r="M6" s="17"/>
      <c r="N6" s="17"/>
      <c r="O6" s="169" t="e">
        <f t="shared" ref="O6:O50" si="0">L6/$L$83</f>
        <v>#DIV/0!</v>
      </c>
      <c r="P6" s="18"/>
      <c r="Q6" s="170" t="s">
        <v>194</v>
      </c>
      <c r="R6" s="171" t="s">
        <v>194</v>
      </c>
      <c r="S6" s="167" t="s">
        <v>194</v>
      </c>
      <c r="T6" s="165" t="s">
        <v>194</v>
      </c>
      <c r="U6" s="175" t="s">
        <v>194</v>
      </c>
      <c r="V6" s="176" t="s">
        <v>194</v>
      </c>
      <c r="W6" s="180" t="s">
        <v>194</v>
      </c>
      <c r="X6" s="181" t="s">
        <v>194</v>
      </c>
      <c r="Y6" s="167" t="s">
        <v>194</v>
      </c>
      <c r="Z6" s="165" t="s">
        <v>194</v>
      </c>
      <c r="AA6" s="175" t="s">
        <v>194</v>
      </c>
      <c r="AB6" s="176" t="s">
        <v>194</v>
      </c>
    </row>
    <row r="7" spans="1:28" ht="25.5" customHeight="1" x14ac:dyDescent="0.25">
      <c r="A7" s="19" t="s">
        <v>13</v>
      </c>
      <c r="B7" s="20" t="s">
        <v>14</v>
      </c>
      <c r="C7" s="21" t="s">
        <v>15</v>
      </c>
      <c r="D7" s="22">
        <f>(1.43+3.24+3.24)*2.7</f>
        <v>21.357000000000003</v>
      </c>
      <c r="E7" s="137"/>
      <c r="F7" s="100"/>
      <c r="G7" s="100"/>
      <c r="H7" s="98"/>
      <c r="I7" s="98">
        <f t="shared" ref="I7:I21" si="1">(H7*D7)</f>
        <v>0</v>
      </c>
      <c r="J7" s="99"/>
      <c r="K7" s="23"/>
      <c r="L7" s="23">
        <f>D7*(H7+J7+K7)</f>
        <v>0</v>
      </c>
      <c r="M7" s="24" t="s">
        <v>166</v>
      </c>
      <c r="N7" s="21">
        <v>97638</v>
      </c>
      <c r="O7" s="169" t="e">
        <f t="shared" si="0"/>
        <v>#DIV/0!</v>
      </c>
      <c r="P7" s="149"/>
      <c r="Q7" s="172" t="e">
        <f>O7/2</f>
        <v>#DIV/0!</v>
      </c>
      <c r="R7" s="173">
        <f>L7/2</f>
        <v>0</v>
      </c>
      <c r="S7" s="164" t="e">
        <f>O7/2</f>
        <v>#DIV/0!</v>
      </c>
      <c r="T7" s="168">
        <f>L7/2</f>
        <v>0</v>
      </c>
      <c r="U7" s="177"/>
      <c r="V7" s="178"/>
      <c r="W7" s="182"/>
      <c r="X7" s="183"/>
      <c r="Y7" s="164"/>
      <c r="Z7" s="168"/>
      <c r="AA7" s="177"/>
      <c r="AB7" s="178"/>
    </row>
    <row r="8" spans="1:28" ht="27" x14ac:dyDescent="0.25">
      <c r="A8" s="19" t="s">
        <v>16</v>
      </c>
      <c r="B8" s="20" t="s">
        <v>17</v>
      </c>
      <c r="C8" s="21" t="s">
        <v>15</v>
      </c>
      <c r="D8" s="22">
        <f>9.63*2.7</f>
        <v>26.001000000000005</v>
      </c>
      <c r="E8" s="137"/>
      <c r="F8" s="100"/>
      <c r="G8" s="100"/>
      <c r="H8" s="98"/>
      <c r="I8" s="98">
        <f t="shared" si="1"/>
        <v>0</v>
      </c>
      <c r="J8" s="99"/>
      <c r="K8" s="23"/>
      <c r="L8" s="23">
        <f>D8*(H8+J8+K8)</f>
        <v>0</v>
      </c>
      <c r="M8" s="24" t="s">
        <v>166</v>
      </c>
      <c r="N8" s="21">
        <v>102192</v>
      </c>
      <c r="O8" s="169" t="e">
        <f t="shared" si="0"/>
        <v>#DIV/0!</v>
      </c>
      <c r="P8" s="150"/>
      <c r="Q8" s="172" t="e">
        <f t="shared" ref="Q8:Q21" si="2">O8/2</f>
        <v>#DIV/0!</v>
      </c>
      <c r="R8" s="173">
        <f t="shared" ref="R8:R21" si="3">L8/2</f>
        <v>0</v>
      </c>
      <c r="S8" s="164" t="e">
        <f t="shared" ref="S8:S21" si="4">O8/2</f>
        <v>#DIV/0!</v>
      </c>
      <c r="T8" s="168">
        <f t="shared" ref="T8:T21" si="5">L8/2</f>
        <v>0</v>
      </c>
      <c r="U8" s="177"/>
      <c r="V8" s="178"/>
      <c r="W8" s="182"/>
      <c r="X8" s="183"/>
      <c r="Y8" s="164"/>
      <c r="Z8" s="168"/>
      <c r="AA8" s="177"/>
      <c r="AB8" s="178"/>
    </row>
    <row r="9" spans="1:28" ht="40.5" x14ac:dyDescent="0.25">
      <c r="A9" s="19" t="s">
        <v>18</v>
      </c>
      <c r="B9" s="20" t="s">
        <v>19</v>
      </c>
      <c r="C9" s="21" t="s">
        <v>20</v>
      </c>
      <c r="D9" s="22">
        <f>(0.2*0.08*2.8)*19</f>
        <v>0.85119999999999996</v>
      </c>
      <c r="E9" s="137"/>
      <c r="F9" s="100"/>
      <c r="G9" s="100"/>
      <c r="H9" s="98"/>
      <c r="I9" s="98">
        <f t="shared" si="1"/>
        <v>0</v>
      </c>
      <c r="J9" s="99"/>
      <c r="K9" s="23"/>
      <c r="L9" s="23">
        <f>D9*(H9+J9+K9)</f>
        <v>0</v>
      </c>
      <c r="M9" s="24" t="s">
        <v>166</v>
      </c>
      <c r="N9" s="21">
        <v>97625</v>
      </c>
      <c r="O9" s="169" t="e">
        <f t="shared" si="0"/>
        <v>#DIV/0!</v>
      </c>
      <c r="P9" s="18"/>
      <c r="Q9" s="172" t="e">
        <f t="shared" si="2"/>
        <v>#DIV/0!</v>
      </c>
      <c r="R9" s="173">
        <f t="shared" si="3"/>
        <v>0</v>
      </c>
      <c r="S9" s="164" t="e">
        <f t="shared" si="4"/>
        <v>#DIV/0!</v>
      </c>
      <c r="T9" s="168">
        <f t="shared" si="5"/>
        <v>0</v>
      </c>
      <c r="U9" s="177"/>
      <c r="V9" s="178"/>
      <c r="W9" s="182"/>
      <c r="X9" s="183"/>
      <c r="Y9" s="164"/>
      <c r="Z9" s="168"/>
      <c r="AA9" s="177"/>
      <c r="AB9" s="178"/>
    </row>
    <row r="10" spans="1:28" ht="25.5" customHeight="1" x14ac:dyDescent="0.25">
      <c r="A10" s="19" t="s">
        <v>21</v>
      </c>
      <c r="B10" s="20" t="s">
        <v>22</v>
      </c>
      <c r="C10" s="21" t="s">
        <v>23</v>
      </c>
      <c r="D10" s="22">
        <v>19</v>
      </c>
      <c r="E10" s="137"/>
      <c r="F10" s="100"/>
      <c r="G10" s="100"/>
      <c r="H10" s="98"/>
      <c r="I10" s="98">
        <f t="shared" si="1"/>
        <v>0</v>
      </c>
      <c r="J10" s="99"/>
      <c r="K10" s="23"/>
      <c r="L10" s="23">
        <f>D10*(H10+J10+K10)</f>
        <v>0</v>
      </c>
      <c r="M10" s="24" t="s">
        <v>166</v>
      </c>
      <c r="N10" s="21">
        <v>97665</v>
      </c>
      <c r="O10" s="169" t="e">
        <f t="shared" si="0"/>
        <v>#DIV/0!</v>
      </c>
      <c r="P10" s="18"/>
      <c r="Q10" s="172" t="e">
        <f t="shared" si="2"/>
        <v>#DIV/0!</v>
      </c>
      <c r="R10" s="173">
        <f t="shared" si="3"/>
        <v>0</v>
      </c>
      <c r="S10" s="164" t="e">
        <f t="shared" si="4"/>
        <v>#DIV/0!</v>
      </c>
      <c r="T10" s="168">
        <f t="shared" si="5"/>
        <v>0</v>
      </c>
      <c r="U10" s="177"/>
      <c r="V10" s="178"/>
      <c r="W10" s="182"/>
      <c r="X10" s="183"/>
      <c r="Y10" s="164"/>
      <c r="Z10" s="168"/>
      <c r="AA10" s="177"/>
      <c r="AB10" s="178"/>
    </row>
    <row r="11" spans="1:28" ht="25.5" customHeight="1" x14ac:dyDescent="0.25">
      <c r="A11" s="19" t="s">
        <v>24</v>
      </c>
      <c r="B11" s="20" t="s">
        <v>25</v>
      </c>
      <c r="C11" s="21" t="s">
        <v>23</v>
      </c>
      <c r="D11" s="25">
        <f>(511/0.36)</f>
        <v>1419.4444444444446</v>
      </c>
      <c r="E11" s="137"/>
      <c r="F11" s="100"/>
      <c r="G11" s="100"/>
      <c r="H11" s="98"/>
      <c r="I11" s="98">
        <f t="shared" si="1"/>
        <v>0</v>
      </c>
      <c r="J11" s="99"/>
      <c r="K11" s="23"/>
      <c r="L11" s="23">
        <f>D11*(H11+J11+K11)</f>
        <v>0</v>
      </c>
      <c r="M11" s="24" t="s">
        <v>166</v>
      </c>
      <c r="N11" s="21">
        <v>97664</v>
      </c>
      <c r="O11" s="169" t="e">
        <f t="shared" si="0"/>
        <v>#DIV/0!</v>
      </c>
      <c r="P11" s="18"/>
      <c r="Q11" s="172" t="e">
        <f t="shared" si="2"/>
        <v>#DIV/0!</v>
      </c>
      <c r="R11" s="173">
        <f t="shared" si="3"/>
        <v>0</v>
      </c>
      <c r="S11" s="164" t="e">
        <f t="shared" si="4"/>
        <v>#DIV/0!</v>
      </c>
      <c r="T11" s="168">
        <f t="shared" si="5"/>
        <v>0</v>
      </c>
      <c r="U11" s="177"/>
      <c r="V11" s="178"/>
      <c r="W11" s="182"/>
      <c r="X11" s="183"/>
      <c r="Y11" s="164"/>
      <c r="Z11" s="168"/>
      <c r="AA11" s="177"/>
      <c r="AB11" s="178"/>
    </row>
    <row r="12" spans="1:28" ht="27" x14ac:dyDescent="0.25">
      <c r="A12" s="19" t="s">
        <v>26</v>
      </c>
      <c r="B12" s="20" t="s">
        <v>27</v>
      </c>
      <c r="C12" s="26" t="s">
        <v>23</v>
      </c>
      <c r="D12" s="27">
        <v>4</v>
      </c>
      <c r="E12" s="137"/>
      <c r="F12" s="100"/>
      <c r="G12" s="100"/>
      <c r="H12" s="98"/>
      <c r="I12" s="98">
        <f t="shared" si="1"/>
        <v>0</v>
      </c>
      <c r="J12" s="99"/>
      <c r="K12" s="23"/>
      <c r="L12" s="23">
        <f>D12*(H12+J12+K12)</f>
        <v>0</v>
      </c>
      <c r="M12" s="24" t="s">
        <v>166</v>
      </c>
      <c r="N12" s="21">
        <v>97664</v>
      </c>
      <c r="O12" s="169" t="e">
        <f t="shared" si="0"/>
        <v>#DIV/0!</v>
      </c>
      <c r="Q12" s="172" t="e">
        <f t="shared" si="2"/>
        <v>#DIV/0!</v>
      </c>
      <c r="R12" s="173">
        <f t="shared" si="3"/>
        <v>0</v>
      </c>
      <c r="S12" s="164" t="e">
        <f t="shared" si="4"/>
        <v>#DIV/0!</v>
      </c>
      <c r="T12" s="168">
        <f t="shared" si="5"/>
        <v>0</v>
      </c>
      <c r="U12" s="177"/>
      <c r="V12" s="178"/>
      <c r="W12" s="182"/>
      <c r="X12" s="183"/>
      <c r="Y12" s="164"/>
      <c r="Z12" s="168"/>
      <c r="AA12" s="177"/>
      <c r="AB12" s="178"/>
    </row>
    <row r="13" spans="1:28" ht="27" x14ac:dyDescent="0.25">
      <c r="A13" s="19" t="s">
        <v>28</v>
      </c>
      <c r="B13" s="20" t="s">
        <v>29</v>
      </c>
      <c r="C13" s="26" t="s">
        <v>23</v>
      </c>
      <c r="D13" s="22">
        <v>1</v>
      </c>
      <c r="E13" s="137"/>
      <c r="F13" s="100"/>
      <c r="G13" s="100"/>
      <c r="H13" s="98"/>
      <c r="I13" s="98">
        <f t="shared" si="1"/>
        <v>0</v>
      </c>
      <c r="J13" s="99"/>
      <c r="K13" s="23"/>
      <c r="L13" s="23">
        <f>D13*(H13+J13+K13)</f>
        <v>0</v>
      </c>
      <c r="M13" s="24" t="s">
        <v>166</v>
      </c>
      <c r="N13" s="21">
        <v>97664</v>
      </c>
      <c r="O13" s="169" t="e">
        <f t="shared" si="0"/>
        <v>#DIV/0!</v>
      </c>
      <c r="P13" s="18"/>
      <c r="Q13" s="172" t="e">
        <f t="shared" si="2"/>
        <v>#DIV/0!</v>
      </c>
      <c r="R13" s="173">
        <f t="shared" si="3"/>
        <v>0</v>
      </c>
      <c r="S13" s="164" t="e">
        <f t="shared" si="4"/>
        <v>#DIV/0!</v>
      </c>
      <c r="T13" s="168">
        <f t="shared" si="5"/>
        <v>0</v>
      </c>
      <c r="U13" s="177"/>
      <c r="V13" s="178"/>
      <c r="W13" s="182"/>
      <c r="X13" s="183"/>
      <c r="Y13" s="164"/>
      <c r="Z13" s="168"/>
      <c r="AA13" s="177"/>
      <c r="AB13" s="178"/>
    </row>
    <row r="14" spans="1:28" ht="40.5" x14ac:dyDescent="0.25">
      <c r="A14" s="19" t="s">
        <v>30</v>
      </c>
      <c r="B14" s="20" t="s">
        <v>31</v>
      </c>
      <c r="C14" s="26" t="s">
        <v>23</v>
      </c>
      <c r="D14" s="22">
        <v>20</v>
      </c>
      <c r="E14" s="137"/>
      <c r="F14" s="100"/>
      <c r="G14" s="100"/>
      <c r="H14" s="98"/>
      <c r="I14" s="98">
        <f t="shared" si="1"/>
        <v>0</v>
      </c>
      <c r="J14" s="99"/>
      <c r="K14" s="23"/>
      <c r="L14" s="23">
        <f>D14*(H14+J14+K14)</f>
        <v>0</v>
      </c>
      <c r="M14" s="24" t="s">
        <v>166</v>
      </c>
      <c r="N14" s="21">
        <v>97664</v>
      </c>
      <c r="O14" s="169" t="e">
        <f t="shared" si="0"/>
        <v>#DIV/0!</v>
      </c>
      <c r="P14" s="18"/>
      <c r="Q14" s="172" t="e">
        <f t="shared" si="2"/>
        <v>#DIV/0!</v>
      </c>
      <c r="R14" s="173">
        <f t="shared" si="3"/>
        <v>0</v>
      </c>
      <c r="S14" s="164" t="e">
        <f t="shared" si="4"/>
        <v>#DIV/0!</v>
      </c>
      <c r="T14" s="168">
        <f t="shared" si="5"/>
        <v>0</v>
      </c>
      <c r="U14" s="177"/>
      <c r="V14" s="178"/>
      <c r="W14" s="182"/>
      <c r="X14" s="183"/>
      <c r="Y14" s="164"/>
      <c r="Z14" s="168"/>
      <c r="AA14" s="177"/>
      <c r="AB14" s="178"/>
    </row>
    <row r="15" spans="1:28" ht="27" x14ac:dyDescent="0.25">
      <c r="A15" s="19" t="s">
        <v>32</v>
      </c>
      <c r="B15" s="20" t="s">
        <v>33</v>
      </c>
      <c r="C15" s="26" t="s">
        <v>23</v>
      </c>
      <c r="D15" s="22">
        <v>10</v>
      </c>
      <c r="E15" s="137"/>
      <c r="F15" s="100"/>
      <c r="G15" s="100"/>
      <c r="H15" s="98"/>
      <c r="I15" s="98">
        <f t="shared" si="1"/>
        <v>0</v>
      </c>
      <c r="J15" s="99"/>
      <c r="K15" s="23"/>
      <c r="L15" s="23">
        <f>D15*(H15+J15+K15)</f>
        <v>0</v>
      </c>
      <c r="M15" s="24" t="s">
        <v>166</v>
      </c>
      <c r="N15" s="21">
        <v>97664</v>
      </c>
      <c r="O15" s="169" t="e">
        <f t="shared" si="0"/>
        <v>#DIV/0!</v>
      </c>
      <c r="P15" s="18"/>
      <c r="Q15" s="172" t="e">
        <f t="shared" si="2"/>
        <v>#DIV/0!</v>
      </c>
      <c r="R15" s="173">
        <f t="shared" si="3"/>
        <v>0</v>
      </c>
      <c r="S15" s="164" t="e">
        <f t="shared" si="4"/>
        <v>#DIV/0!</v>
      </c>
      <c r="T15" s="168">
        <f t="shared" si="5"/>
        <v>0</v>
      </c>
      <c r="U15" s="177"/>
      <c r="V15" s="178"/>
      <c r="W15" s="182"/>
      <c r="X15" s="183"/>
      <c r="Y15" s="164"/>
      <c r="Z15" s="168"/>
      <c r="AA15" s="177"/>
      <c r="AB15" s="178"/>
    </row>
    <row r="16" spans="1:28" ht="27" x14ac:dyDescent="0.25">
      <c r="A16" s="19" t="s">
        <v>34</v>
      </c>
      <c r="B16" s="20" t="s">
        <v>35</v>
      </c>
      <c r="C16" s="26" t="s">
        <v>23</v>
      </c>
      <c r="D16" s="22">
        <v>1</v>
      </c>
      <c r="E16" s="137"/>
      <c r="F16" s="100"/>
      <c r="G16" s="100"/>
      <c r="H16" s="98"/>
      <c r="I16" s="98">
        <f t="shared" si="1"/>
        <v>0</v>
      </c>
      <c r="J16" s="99"/>
      <c r="K16" s="23"/>
      <c r="L16" s="23">
        <f>D16*(H16+J16+K16)</f>
        <v>0</v>
      </c>
      <c r="M16" s="24" t="s">
        <v>166</v>
      </c>
      <c r="N16" s="21">
        <v>97663</v>
      </c>
      <c r="O16" s="169" t="e">
        <f t="shared" si="0"/>
        <v>#DIV/0!</v>
      </c>
      <c r="P16" s="18"/>
      <c r="Q16" s="172" t="e">
        <f t="shared" si="2"/>
        <v>#DIV/0!</v>
      </c>
      <c r="R16" s="173">
        <f t="shared" si="3"/>
        <v>0</v>
      </c>
      <c r="S16" s="164" t="e">
        <f t="shared" si="4"/>
        <v>#DIV/0!</v>
      </c>
      <c r="T16" s="168">
        <f t="shared" si="5"/>
        <v>0</v>
      </c>
      <c r="U16" s="177"/>
      <c r="V16" s="178"/>
      <c r="W16" s="182"/>
      <c r="X16" s="183"/>
      <c r="Y16" s="164"/>
      <c r="Z16" s="168"/>
      <c r="AA16" s="177"/>
      <c r="AB16" s="178"/>
    </row>
    <row r="17" spans="1:28" ht="54" x14ac:dyDescent="0.25">
      <c r="A17" s="19" t="s">
        <v>36</v>
      </c>
      <c r="B17" s="20" t="s">
        <v>37</v>
      </c>
      <c r="C17" s="21" t="s">
        <v>38</v>
      </c>
      <c r="D17" s="22">
        <v>2600</v>
      </c>
      <c r="E17" s="137"/>
      <c r="F17" s="100"/>
      <c r="G17" s="100"/>
      <c r="H17" s="98"/>
      <c r="I17" s="98">
        <f t="shared" si="1"/>
        <v>0</v>
      </c>
      <c r="J17" s="99"/>
      <c r="K17" s="23"/>
      <c r="L17" s="23">
        <f>D17*(H17+J17+K17)</f>
        <v>0</v>
      </c>
      <c r="M17" s="24" t="s">
        <v>166</v>
      </c>
      <c r="N17" s="21">
        <v>104793</v>
      </c>
      <c r="O17" s="169" t="e">
        <f t="shared" si="0"/>
        <v>#DIV/0!</v>
      </c>
      <c r="P17" s="18"/>
      <c r="Q17" s="172" t="e">
        <f t="shared" si="2"/>
        <v>#DIV/0!</v>
      </c>
      <c r="R17" s="173">
        <f t="shared" si="3"/>
        <v>0</v>
      </c>
      <c r="S17" s="164" t="e">
        <f t="shared" si="4"/>
        <v>#DIV/0!</v>
      </c>
      <c r="T17" s="168">
        <f t="shared" si="5"/>
        <v>0</v>
      </c>
      <c r="U17" s="177"/>
      <c r="V17" s="178"/>
      <c r="W17" s="182"/>
      <c r="X17" s="183"/>
      <c r="Y17" s="164"/>
      <c r="Z17" s="168"/>
      <c r="AA17" s="177"/>
      <c r="AB17" s="178"/>
    </row>
    <row r="18" spans="1:28" ht="27" x14ac:dyDescent="0.25">
      <c r="A18" s="19" t="s">
        <v>42</v>
      </c>
      <c r="B18" s="20" t="s">
        <v>40</v>
      </c>
      <c r="C18" s="21" t="s">
        <v>41</v>
      </c>
      <c r="D18" s="22">
        <v>8</v>
      </c>
      <c r="E18" s="137"/>
      <c r="F18" s="100"/>
      <c r="G18" s="100"/>
      <c r="H18" s="98"/>
      <c r="I18" s="98">
        <f t="shared" si="1"/>
        <v>0</v>
      </c>
      <c r="J18" s="99"/>
      <c r="K18" s="23"/>
      <c r="L18" s="23">
        <f>D18*(H18+J18+K18)</f>
        <v>0</v>
      </c>
      <c r="M18" s="24" t="s">
        <v>166</v>
      </c>
      <c r="N18" s="21">
        <v>88273</v>
      </c>
      <c r="O18" s="169" t="e">
        <f t="shared" si="0"/>
        <v>#DIV/0!</v>
      </c>
      <c r="P18" s="18"/>
      <c r="Q18" s="172" t="e">
        <f t="shared" si="2"/>
        <v>#DIV/0!</v>
      </c>
      <c r="R18" s="173">
        <f t="shared" si="3"/>
        <v>0</v>
      </c>
      <c r="S18" s="164" t="e">
        <f t="shared" si="4"/>
        <v>#DIV/0!</v>
      </c>
      <c r="T18" s="168">
        <f t="shared" si="5"/>
        <v>0</v>
      </c>
      <c r="U18" s="177"/>
      <c r="V18" s="178"/>
      <c r="W18" s="182"/>
      <c r="X18" s="183"/>
      <c r="Y18" s="164"/>
      <c r="Z18" s="168"/>
      <c r="AA18" s="177"/>
      <c r="AB18" s="178"/>
    </row>
    <row r="19" spans="1:28" ht="54" x14ac:dyDescent="0.25">
      <c r="A19" s="19" t="s">
        <v>39</v>
      </c>
      <c r="B19" s="20" t="s">
        <v>43</v>
      </c>
      <c r="C19" s="21" t="s">
        <v>20</v>
      </c>
      <c r="D19" s="22">
        <v>30</v>
      </c>
      <c r="E19" s="137">
        <v>150</v>
      </c>
      <c r="F19" s="100">
        <v>12.6</v>
      </c>
      <c r="G19" s="100">
        <v>119.2</v>
      </c>
      <c r="H19" s="98"/>
      <c r="I19" s="98">
        <f t="shared" si="1"/>
        <v>0</v>
      </c>
      <c r="J19" s="100"/>
      <c r="K19" s="100"/>
      <c r="L19" s="23">
        <f>D19*(H19+J19+K19)</f>
        <v>0</v>
      </c>
      <c r="M19" s="24" t="s">
        <v>67</v>
      </c>
      <c r="N19" s="162" t="str">
        <f>A19</f>
        <v>1.1.13</v>
      </c>
      <c r="O19" s="169" t="e">
        <f t="shared" si="0"/>
        <v>#DIV/0!</v>
      </c>
      <c r="P19" s="18"/>
      <c r="Q19" s="172" t="e">
        <f t="shared" si="2"/>
        <v>#DIV/0!</v>
      </c>
      <c r="R19" s="173">
        <f t="shared" si="3"/>
        <v>0</v>
      </c>
      <c r="S19" s="164" t="e">
        <f t="shared" si="4"/>
        <v>#DIV/0!</v>
      </c>
      <c r="T19" s="168">
        <f t="shared" si="5"/>
        <v>0</v>
      </c>
      <c r="U19" s="177"/>
      <c r="V19" s="178"/>
      <c r="W19" s="182"/>
      <c r="X19" s="183"/>
      <c r="Y19" s="164"/>
      <c r="Z19" s="168"/>
      <c r="AA19" s="177"/>
      <c r="AB19" s="178"/>
    </row>
    <row r="20" spans="1:28" ht="27" x14ac:dyDescent="0.25">
      <c r="A20" s="19" t="s">
        <v>174</v>
      </c>
      <c r="B20" s="20" t="s">
        <v>176</v>
      </c>
      <c r="C20" s="21" t="s">
        <v>15</v>
      </c>
      <c r="D20" s="22">
        <v>31</v>
      </c>
      <c r="E20" s="137">
        <v>40</v>
      </c>
      <c r="F20" s="100">
        <v>15.23</v>
      </c>
      <c r="G20" s="100">
        <v>23.9</v>
      </c>
      <c r="H20" s="98"/>
      <c r="I20" s="98">
        <f>(H20*D20)</f>
        <v>0</v>
      </c>
      <c r="J20" s="100"/>
      <c r="K20" s="100"/>
      <c r="L20" s="23">
        <f>D20*(H20+J20+K20)</f>
        <v>0</v>
      </c>
      <c r="M20" s="24" t="s">
        <v>67</v>
      </c>
      <c r="N20" s="162" t="str">
        <f>A20</f>
        <v>1.1.14</v>
      </c>
      <c r="O20" s="169" t="e">
        <f t="shared" si="0"/>
        <v>#DIV/0!</v>
      </c>
      <c r="P20" s="18"/>
      <c r="Q20" s="172" t="e">
        <f t="shared" si="2"/>
        <v>#DIV/0!</v>
      </c>
      <c r="R20" s="173">
        <f t="shared" si="3"/>
        <v>0</v>
      </c>
      <c r="S20" s="164" t="e">
        <f t="shared" si="4"/>
        <v>#DIV/0!</v>
      </c>
      <c r="T20" s="168">
        <f t="shared" si="5"/>
        <v>0</v>
      </c>
      <c r="U20" s="177"/>
      <c r="V20" s="178"/>
      <c r="W20" s="182"/>
      <c r="X20" s="183"/>
      <c r="Y20" s="164"/>
      <c r="Z20" s="168"/>
      <c r="AA20" s="177"/>
      <c r="AB20" s="178"/>
    </row>
    <row r="21" spans="1:28" ht="27" x14ac:dyDescent="0.25">
      <c r="A21" s="19" t="s">
        <v>175</v>
      </c>
      <c r="B21" s="20" t="s">
        <v>177</v>
      </c>
      <c r="C21" s="21" t="s">
        <v>38</v>
      </c>
      <c r="D21" s="22">
        <v>29.07</v>
      </c>
      <c r="E21" s="137">
        <v>40</v>
      </c>
      <c r="F21" s="100">
        <v>11.17</v>
      </c>
      <c r="G21" s="100">
        <v>31.8</v>
      </c>
      <c r="H21" s="98"/>
      <c r="I21" s="98">
        <f t="shared" si="1"/>
        <v>0</v>
      </c>
      <c r="J21" s="100"/>
      <c r="K21" s="100"/>
      <c r="L21" s="23">
        <f>D21*(H21+J21+K21)</f>
        <v>0</v>
      </c>
      <c r="M21" s="24" t="s">
        <v>67</v>
      </c>
      <c r="N21" s="162" t="str">
        <f>A21</f>
        <v>1.1.15</v>
      </c>
      <c r="O21" s="169" t="e">
        <f t="shared" si="0"/>
        <v>#DIV/0!</v>
      </c>
      <c r="P21" s="18"/>
      <c r="Q21" s="172" t="e">
        <f t="shared" si="2"/>
        <v>#DIV/0!</v>
      </c>
      <c r="R21" s="173">
        <f t="shared" si="3"/>
        <v>0</v>
      </c>
      <c r="S21" s="164" t="e">
        <f t="shared" si="4"/>
        <v>#DIV/0!</v>
      </c>
      <c r="T21" s="168">
        <f t="shared" si="5"/>
        <v>0</v>
      </c>
      <c r="U21" s="177"/>
      <c r="V21" s="178"/>
      <c r="W21" s="182"/>
      <c r="X21" s="183"/>
      <c r="Y21" s="164"/>
      <c r="Z21" s="168"/>
      <c r="AA21" s="177"/>
      <c r="AB21" s="178"/>
    </row>
    <row r="22" spans="1:28" s="12" customFormat="1" x14ac:dyDescent="0.25">
      <c r="A22" s="41" t="s">
        <v>44</v>
      </c>
      <c r="B22" s="28" t="s">
        <v>171</v>
      </c>
      <c r="C22" s="29"/>
      <c r="D22" s="30"/>
      <c r="E22" s="138"/>
      <c r="F22" s="151"/>
      <c r="G22" s="151"/>
      <c r="H22" s="31">
        <f>SUM(H23:H32)</f>
        <v>0</v>
      </c>
      <c r="I22" s="114">
        <f>SUM(I23:I32)</f>
        <v>0</v>
      </c>
      <c r="J22" s="31">
        <f>SUM(J23:J32)</f>
        <v>0</v>
      </c>
      <c r="K22" s="31">
        <f>SUM(K23:K32)</f>
        <v>0</v>
      </c>
      <c r="L22" s="31">
        <f>SUM(L23:L32)</f>
        <v>0</v>
      </c>
      <c r="M22" s="29"/>
      <c r="N22" s="29"/>
      <c r="O22" s="169" t="e">
        <f t="shared" si="0"/>
        <v>#DIV/0!</v>
      </c>
      <c r="P22" s="18"/>
      <c r="Q22" s="170" t="s">
        <v>194</v>
      </c>
      <c r="R22" s="171" t="s">
        <v>194</v>
      </c>
      <c r="S22" s="167" t="s">
        <v>194</v>
      </c>
      <c r="T22" s="165" t="s">
        <v>194</v>
      </c>
      <c r="U22" s="175" t="s">
        <v>194</v>
      </c>
      <c r="V22" s="176" t="s">
        <v>194</v>
      </c>
      <c r="W22" s="180" t="s">
        <v>194</v>
      </c>
      <c r="X22" s="181" t="s">
        <v>194</v>
      </c>
      <c r="Y22" s="167" t="s">
        <v>194</v>
      </c>
      <c r="Z22" s="165" t="s">
        <v>194</v>
      </c>
      <c r="AA22" s="175" t="s">
        <v>194</v>
      </c>
      <c r="AB22" s="176" t="s">
        <v>194</v>
      </c>
    </row>
    <row r="23" spans="1:28" ht="40.5" x14ac:dyDescent="0.25">
      <c r="A23" s="19" t="s">
        <v>45</v>
      </c>
      <c r="B23" s="20" t="s">
        <v>46</v>
      </c>
      <c r="C23" s="21" t="s">
        <v>15</v>
      </c>
      <c r="D23" s="22">
        <f>(3.06*2.7)+(9.63*0.5)</f>
        <v>13.077000000000002</v>
      </c>
      <c r="E23" s="137"/>
      <c r="F23" s="100"/>
      <c r="G23" s="100"/>
      <c r="H23" s="99"/>
      <c r="I23" s="98">
        <f t="shared" ref="I23:I32" si="6">(H23*D23)</f>
        <v>0</v>
      </c>
      <c r="J23" s="99"/>
      <c r="K23" s="100"/>
      <c r="L23" s="100">
        <f>D23*(H23+J23+K23)</f>
        <v>0</v>
      </c>
      <c r="M23" s="24" t="s">
        <v>166</v>
      </c>
      <c r="N23" s="21">
        <v>96358</v>
      </c>
      <c r="O23" s="169" t="e">
        <f t="shared" si="0"/>
        <v>#DIV/0!</v>
      </c>
      <c r="P23" s="18"/>
      <c r="Q23" s="172" t="e">
        <f t="shared" ref="Q23" si="7">O23/2</f>
        <v>#DIV/0!</v>
      </c>
      <c r="R23" s="173">
        <f t="shared" ref="R23" si="8">L23/2</f>
        <v>0</v>
      </c>
      <c r="S23" s="164" t="e">
        <f t="shared" ref="S23" si="9">O23/2</f>
        <v>#DIV/0!</v>
      </c>
      <c r="T23" s="168">
        <f t="shared" ref="T23" si="10">L23/2</f>
        <v>0</v>
      </c>
      <c r="U23" s="177"/>
      <c r="V23" s="178"/>
      <c r="W23" s="182"/>
      <c r="X23" s="183"/>
      <c r="Y23" s="164"/>
      <c r="Z23" s="168"/>
      <c r="AA23" s="177"/>
      <c r="AB23" s="178"/>
    </row>
    <row r="24" spans="1:28" ht="27" x14ac:dyDescent="0.25">
      <c r="A24" s="19" t="s">
        <v>47</v>
      </c>
      <c r="B24" s="20" t="s">
        <v>48</v>
      </c>
      <c r="C24" s="21" t="s">
        <v>15</v>
      </c>
      <c r="D24" s="22">
        <f>(D23*2)+(0.15*2.7)</f>
        <v>26.559000000000005</v>
      </c>
      <c r="E24" s="137"/>
      <c r="F24" s="100"/>
      <c r="G24" s="100"/>
      <c r="H24" s="99"/>
      <c r="I24" s="98">
        <f t="shared" si="6"/>
        <v>0</v>
      </c>
      <c r="J24" s="99"/>
      <c r="K24" s="100"/>
      <c r="L24" s="100">
        <f>D24*(H24+J24+K24)</f>
        <v>0</v>
      </c>
      <c r="M24" s="24" t="s">
        <v>166</v>
      </c>
      <c r="N24" s="21">
        <v>88495</v>
      </c>
      <c r="O24" s="169" t="e">
        <f t="shared" si="0"/>
        <v>#DIV/0!</v>
      </c>
      <c r="P24" s="18"/>
      <c r="Q24" s="172" t="e">
        <f t="shared" ref="Q24:Q32" si="11">O24/2</f>
        <v>#DIV/0!</v>
      </c>
      <c r="R24" s="173">
        <f t="shared" ref="R24:R32" si="12">L24/2</f>
        <v>0</v>
      </c>
      <c r="S24" s="164" t="e">
        <f t="shared" ref="S24:S32" si="13">O24/2</f>
        <v>#DIV/0!</v>
      </c>
      <c r="T24" s="168">
        <f t="shared" ref="T24:T32" si="14">L24/2</f>
        <v>0</v>
      </c>
      <c r="U24" s="177"/>
      <c r="V24" s="178"/>
      <c r="W24" s="182"/>
      <c r="X24" s="183"/>
      <c r="Y24" s="164"/>
      <c r="Z24" s="168"/>
      <c r="AA24" s="177"/>
      <c r="AB24" s="178"/>
    </row>
    <row r="25" spans="1:28" ht="27" x14ac:dyDescent="0.25">
      <c r="A25" s="19" t="s">
        <v>49</v>
      </c>
      <c r="B25" s="20" t="s">
        <v>50</v>
      </c>
      <c r="C25" s="21" t="s">
        <v>15</v>
      </c>
      <c r="D25" s="22">
        <f>(D23*2)+(0.15*2.7)</f>
        <v>26.559000000000005</v>
      </c>
      <c r="E25" s="137"/>
      <c r="F25" s="100"/>
      <c r="G25" s="100"/>
      <c r="H25" s="99"/>
      <c r="I25" s="98">
        <f t="shared" si="6"/>
        <v>0</v>
      </c>
      <c r="J25" s="99"/>
      <c r="K25" s="100"/>
      <c r="L25" s="100">
        <f>D25*(H25+J25+K25)</f>
        <v>0</v>
      </c>
      <c r="M25" s="24" t="s">
        <v>166</v>
      </c>
      <c r="N25" s="21">
        <v>88485</v>
      </c>
      <c r="O25" s="169" t="e">
        <f t="shared" si="0"/>
        <v>#DIV/0!</v>
      </c>
      <c r="P25" s="18"/>
      <c r="Q25" s="172" t="e">
        <f t="shared" si="11"/>
        <v>#DIV/0!</v>
      </c>
      <c r="R25" s="173">
        <f t="shared" si="12"/>
        <v>0</v>
      </c>
      <c r="S25" s="164" t="e">
        <f t="shared" si="13"/>
        <v>#DIV/0!</v>
      </c>
      <c r="T25" s="168">
        <f t="shared" si="14"/>
        <v>0</v>
      </c>
      <c r="U25" s="177"/>
      <c r="V25" s="178"/>
      <c r="W25" s="182"/>
      <c r="X25" s="183"/>
      <c r="Y25" s="164"/>
      <c r="Z25" s="168"/>
      <c r="AA25" s="177"/>
      <c r="AB25" s="178"/>
    </row>
    <row r="26" spans="1:28" ht="54" x14ac:dyDescent="0.25">
      <c r="A26" s="19" t="s">
        <v>51</v>
      </c>
      <c r="B26" s="20" t="s">
        <v>52</v>
      </c>
      <c r="C26" s="21" t="s">
        <v>15</v>
      </c>
      <c r="D26" s="22">
        <v>450</v>
      </c>
      <c r="E26" s="137"/>
      <c r="F26" s="100"/>
      <c r="G26" s="100"/>
      <c r="H26" s="99"/>
      <c r="I26" s="98">
        <f t="shared" si="6"/>
        <v>0</v>
      </c>
      <c r="J26" s="99"/>
      <c r="K26" s="100"/>
      <c r="L26" s="100">
        <f>D26*(H26+J26+K26)</f>
        <v>0</v>
      </c>
      <c r="M26" s="24" t="s">
        <v>166</v>
      </c>
      <c r="N26" s="21">
        <v>88489</v>
      </c>
      <c r="O26" s="169" t="e">
        <f t="shared" si="0"/>
        <v>#DIV/0!</v>
      </c>
      <c r="P26" s="18"/>
      <c r="Q26" s="172" t="e">
        <f t="shared" si="11"/>
        <v>#DIV/0!</v>
      </c>
      <c r="R26" s="173">
        <f t="shared" si="12"/>
        <v>0</v>
      </c>
      <c r="S26" s="164" t="e">
        <f t="shared" si="13"/>
        <v>#DIV/0!</v>
      </c>
      <c r="T26" s="168">
        <f t="shared" si="14"/>
        <v>0</v>
      </c>
      <c r="U26" s="177"/>
      <c r="V26" s="178"/>
      <c r="W26" s="182"/>
      <c r="X26" s="183"/>
      <c r="Y26" s="164"/>
      <c r="Z26" s="168"/>
      <c r="AA26" s="177"/>
      <c r="AB26" s="178"/>
    </row>
    <row r="27" spans="1:28" ht="40.5" x14ac:dyDescent="0.25">
      <c r="A27" s="19" t="s">
        <v>53</v>
      </c>
      <c r="B27" s="20" t="s">
        <v>54</v>
      </c>
      <c r="C27" s="21" t="s">
        <v>15</v>
      </c>
      <c r="D27" s="22">
        <v>30</v>
      </c>
      <c r="E27" s="137"/>
      <c r="F27" s="100"/>
      <c r="G27" s="100"/>
      <c r="H27" s="99"/>
      <c r="I27" s="98">
        <f t="shared" si="6"/>
        <v>0</v>
      </c>
      <c r="J27" s="99"/>
      <c r="K27" s="100"/>
      <c r="L27" s="100">
        <f>D27*(H27+J27+K27)</f>
        <v>0</v>
      </c>
      <c r="M27" s="24" t="s">
        <v>166</v>
      </c>
      <c r="N27" s="21">
        <v>88489</v>
      </c>
      <c r="O27" s="169" t="e">
        <f t="shared" si="0"/>
        <v>#DIV/0!</v>
      </c>
      <c r="P27" s="18"/>
      <c r="Q27" s="172" t="e">
        <f t="shared" si="11"/>
        <v>#DIV/0!</v>
      </c>
      <c r="R27" s="173">
        <f t="shared" si="12"/>
        <v>0</v>
      </c>
      <c r="S27" s="164" t="e">
        <f t="shared" si="13"/>
        <v>#DIV/0!</v>
      </c>
      <c r="T27" s="168">
        <f t="shared" si="14"/>
        <v>0</v>
      </c>
      <c r="U27" s="177"/>
      <c r="V27" s="178"/>
      <c r="W27" s="182"/>
      <c r="X27" s="183"/>
      <c r="Y27" s="164"/>
      <c r="Z27" s="168"/>
      <c r="AA27" s="177"/>
      <c r="AB27" s="178"/>
    </row>
    <row r="28" spans="1:28" ht="40.5" x14ac:dyDescent="0.25">
      <c r="A28" s="19" t="s">
        <v>55</v>
      </c>
      <c r="B28" s="20" t="s">
        <v>56</v>
      </c>
      <c r="C28" s="21" t="s">
        <v>15</v>
      </c>
      <c r="D28" s="22">
        <v>2</v>
      </c>
      <c r="E28" s="137"/>
      <c r="F28" s="100"/>
      <c r="G28" s="100"/>
      <c r="H28" s="99"/>
      <c r="I28" s="98">
        <f t="shared" si="6"/>
        <v>0</v>
      </c>
      <c r="J28" s="99"/>
      <c r="K28" s="100"/>
      <c r="L28" s="100">
        <f>D28*(H28+J28+K28)</f>
        <v>0</v>
      </c>
      <c r="M28" s="24" t="s">
        <v>166</v>
      </c>
      <c r="N28" s="21">
        <v>88489</v>
      </c>
      <c r="O28" s="169" t="e">
        <f t="shared" si="0"/>
        <v>#DIV/0!</v>
      </c>
      <c r="P28" s="18"/>
      <c r="Q28" s="172" t="e">
        <f t="shared" si="11"/>
        <v>#DIV/0!</v>
      </c>
      <c r="R28" s="173">
        <f t="shared" si="12"/>
        <v>0</v>
      </c>
      <c r="S28" s="164" t="e">
        <f t="shared" si="13"/>
        <v>#DIV/0!</v>
      </c>
      <c r="T28" s="168">
        <f t="shared" si="14"/>
        <v>0</v>
      </c>
      <c r="U28" s="177"/>
      <c r="V28" s="178"/>
      <c r="W28" s="182"/>
      <c r="X28" s="183"/>
      <c r="Y28" s="164"/>
      <c r="Z28" s="168"/>
      <c r="AA28" s="177"/>
      <c r="AB28" s="178"/>
    </row>
    <row r="29" spans="1:28" ht="40.5" x14ac:dyDescent="0.25">
      <c r="A29" s="19" t="s">
        <v>57</v>
      </c>
      <c r="B29" s="20" t="s">
        <v>58</v>
      </c>
      <c r="C29" s="21" t="s">
        <v>15</v>
      </c>
      <c r="D29" s="22">
        <v>20</v>
      </c>
      <c r="E29" s="137"/>
      <c r="F29" s="100"/>
      <c r="G29" s="100"/>
      <c r="H29" s="99"/>
      <c r="I29" s="98">
        <f t="shared" si="6"/>
        <v>0</v>
      </c>
      <c r="J29" s="99"/>
      <c r="K29" s="100"/>
      <c r="L29" s="100">
        <f>D29*(H29+J29+K29)</f>
        <v>0</v>
      </c>
      <c r="M29" s="24" t="s">
        <v>166</v>
      </c>
      <c r="N29" s="21">
        <v>88489</v>
      </c>
      <c r="O29" s="169" t="e">
        <f t="shared" si="0"/>
        <v>#DIV/0!</v>
      </c>
      <c r="P29" s="18"/>
      <c r="Q29" s="172" t="e">
        <f t="shared" si="11"/>
        <v>#DIV/0!</v>
      </c>
      <c r="R29" s="173">
        <f t="shared" si="12"/>
        <v>0</v>
      </c>
      <c r="S29" s="164" t="e">
        <f t="shared" si="13"/>
        <v>#DIV/0!</v>
      </c>
      <c r="T29" s="168">
        <f t="shared" si="14"/>
        <v>0</v>
      </c>
      <c r="U29" s="177"/>
      <c r="V29" s="178"/>
      <c r="W29" s="182"/>
      <c r="X29" s="183"/>
      <c r="Y29" s="164"/>
      <c r="Z29" s="168"/>
      <c r="AA29" s="177"/>
      <c r="AB29" s="178"/>
    </row>
    <row r="30" spans="1:28" ht="27" x14ac:dyDescent="0.25">
      <c r="A30" s="19" t="s">
        <v>59</v>
      </c>
      <c r="B30" s="20" t="s">
        <v>60</v>
      </c>
      <c r="C30" s="21" t="s">
        <v>41</v>
      </c>
      <c r="D30" s="22">
        <f>8*4</f>
        <v>32</v>
      </c>
      <c r="E30" s="137">
        <v>80</v>
      </c>
      <c r="F30" s="100">
        <v>12.97</v>
      </c>
      <c r="G30" s="100">
        <v>41.23</v>
      </c>
      <c r="H30" s="98"/>
      <c r="I30" s="98">
        <f t="shared" si="6"/>
        <v>0</v>
      </c>
      <c r="J30" s="100"/>
      <c r="K30" s="100"/>
      <c r="L30" s="100">
        <f>D30*(H30+J30+K30)</f>
        <v>0</v>
      </c>
      <c r="M30" s="24" t="s">
        <v>67</v>
      </c>
      <c r="N30" s="162" t="str">
        <f>A30</f>
        <v>1.2.8</v>
      </c>
      <c r="O30" s="169" t="e">
        <f t="shared" si="0"/>
        <v>#DIV/0!</v>
      </c>
      <c r="P30" s="18"/>
      <c r="Q30" s="172" t="e">
        <f t="shared" si="11"/>
        <v>#DIV/0!</v>
      </c>
      <c r="R30" s="173">
        <f t="shared" si="12"/>
        <v>0</v>
      </c>
      <c r="S30" s="164" t="e">
        <f t="shared" si="13"/>
        <v>#DIV/0!</v>
      </c>
      <c r="T30" s="168">
        <f t="shared" si="14"/>
        <v>0</v>
      </c>
      <c r="U30" s="177"/>
      <c r="V30" s="178"/>
      <c r="W30" s="182"/>
      <c r="X30" s="183"/>
      <c r="Y30" s="164"/>
      <c r="Z30" s="168"/>
      <c r="AA30" s="177"/>
      <c r="AB30" s="178"/>
    </row>
    <row r="31" spans="1:28" x14ac:dyDescent="0.25">
      <c r="A31" s="19" t="s">
        <v>61</v>
      </c>
      <c r="B31" s="20" t="s">
        <v>62</v>
      </c>
      <c r="C31" s="21" t="s">
        <v>41</v>
      </c>
      <c r="D31" s="22">
        <v>32</v>
      </c>
      <c r="E31" s="137"/>
      <c r="F31" s="100"/>
      <c r="G31" s="100"/>
      <c r="H31" s="98"/>
      <c r="I31" s="98">
        <f t="shared" si="6"/>
        <v>0</v>
      </c>
      <c r="J31" s="99"/>
      <c r="K31" s="100"/>
      <c r="L31" s="100">
        <f>D31*(H31+J31+K31)</f>
        <v>0</v>
      </c>
      <c r="M31" s="24" t="s">
        <v>166</v>
      </c>
      <c r="N31" s="21">
        <v>88273</v>
      </c>
      <c r="O31" s="169" t="e">
        <f t="shared" si="0"/>
        <v>#DIV/0!</v>
      </c>
      <c r="P31" s="18"/>
      <c r="Q31" s="172" t="e">
        <f t="shared" si="11"/>
        <v>#DIV/0!</v>
      </c>
      <c r="R31" s="173">
        <f t="shared" si="12"/>
        <v>0</v>
      </c>
      <c r="S31" s="164" t="e">
        <f t="shared" si="13"/>
        <v>#DIV/0!</v>
      </c>
      <c r="T31" s="168">
        <f t="shared" si="14"/>
        <v>0</v>
      </c>
      <c r="U31" s="177"/>
      <c r="V31" s="178"/>
      <c r="W31" s="182"/>
      <c r="X31" s="183"/>
      <c r="Y31" s="164"/>
      <c r="Z31" s="168"/>
      <c r="AA31" s="177"/>
      <c r="AB31" s="178"/>
    </row>
    <row r="32" spans="1:28" x14ac:dyDescent="0.25">
      <c r="A32" s="19" t="s">
        <v>178</v>
      </c>
      <c r="B32" s="20" t="s">
        <v>179</v>
      </c>
      <c r="C32" s="21" t="s">
        <v>87</v>
      </c>
      <c r="D32" s="22">
        <v>1</v>
      </c>
      <c r="E32" s="137">
        <v>0</v>
      </c>
      <c r="F32" s="100">
        <v>450</v>
      </c>
      <c r="G32" s="100">
        <v>0</v>
      </c>
      <c r="H32" s="98"/>
      <c r="I32" s="98">
        <f t="shared" si="6"/>
        <v>0</v>
      </c>
      <c r="J32" s="100"/>
      <c r="K32" s="100"/>
      <c r="L32" s="100">
        <f>D32*(H32+J32+K32)</f>
        <v>0</v>
      </c>
      <c r="M32" s="24" t="s">
        <v>67</v>
      </c>
      <c r="N32" s="162" t="str">
        <f>A32</f>
        <v>1.2.10</v>
      </c>
      <c r="O32" s="169" t="e">
        <f t="shared" si="0"/>
        <v>#DIV/0!</v>
      </c>
      <c r="P32" s="18"/>
      <c r="Q32" s="172" t="e">
        <f t="shared" si="11"/>
        <v>#DIV/0!</v>
      </c>
      <c r="R32" s="173">
        <f t="shared" si="12"/>
        <v>0</v>
      </c>
      <c r="S32" s="164" t="e">
        <f t="shared" si="13"/>
        <v>#DIV/0!</v>
      </c>
      <c r="T32" s="168">
        <f t="shared" si="14"/>
        <v>0</v>
      </c>
      <c r="U32" s="177"/>
      <c r="V32" s="178"/>
      <c r="W32" s="182"/>
      <c r="X32" s="183"/>
      <c r="Y32" s="164"/>
      <c r="Z32" s="168"/>
      <c r="AA32" s="177"/>
      <c r="AB32" s="178"/>
    </row>
    <row r="33" spans="1:28" s="12" customFormat="1" x14ac:dyDescent="0.25">
      <c r="A33" s="87" t="s">
        <v>63</v>
      </c>
      <c r="B33" s="88" t="s">
        <v>64</v>
      </c>
      <c r="C33" s="32"/>
      <c r="D33" s="33"/>
      <c r="E33" s="139"/>
      <c r="F33" s="152"/>
      <c r="G33" s="152"/>
      <c r="H33" s="34"/>
      <c r="I33" s="34"/>
      <c r="J33" s="34"/>
      <c r="K33" s="34"/>
      <c r="L33" s="34"/>
      <c r="M33" s="32"/>
      <c r="N33" s="32"/>
      <c r="O33" s="169" t="e">
        <f t="shared" si="0"/>
        <v>#DIV/0!</v>
      </c>
      <c r="P33" s="18"/>
      <c r="Q33" s="170" t="s">
        <v>194</v>
      </c>
      <c r="R33" s="171" t="s">
        <v>194</v>
      </c>
      <c r="S33" s="167" t="s">
        <v>194</v>
      </c>
      <c r="T33" s="165" t="s">
        <v>194</v>
      </c>
      <c r="U33" s="175" t="s">
        <v>194</v>
      </c>
      <c r="V33" s="176" t="s">
        <v>194</v>
      </c>
      <c r="W33" s="180" t="s">
        <v>194</v>
      </c>
      <c r="X33" s="181" t="s">
        <v>194</v>
      </c>
      <c r="Y33" s="167" t="s">
        <v>194</v>
      </c>
      <c r="Z33" s="165" t="s">
        <v>194</v>
      </c>
      <c r="AA33" s="175" t="s">
        <v>194</v>
      </c>
      <c r="AB33" s="176" t="s">
        <v>194</v>
      </c>
    </row>
    <row r="34" spans="1:28" s="12" customFormat="1" x14ac:dyDescent="0.25">
      <c r="A34" s="41" t="s">
        <v>65</v>
      </c>
      <c r="B34" s="28" t="s">
        <v>171</v>
      </c>
      <c r="C34" s="35"/>
      <c r="D34" s="36"/>
      <c r="E34" s="140"/>
      <c r="F34" s="153"/>
      <c r="G34" s="153"/>
      <c r="H34" s="31">
        <f>SUM(H35:H37)</f>
        <v>0</v>
      </c>
      <c r="I34" s="31">
        <f>SUM(I35:I37)</f>
        <v>0</v>
      </c>
      <c r="J34" s="31">
        <f>SUM(J35:J37)</f>
        <v>0</v>
      </c>
      <c r="K34" s="31">
        <f>SUM(K35:K37)</f>
        <v>0</v>
      </c>
      <c r="L34" s="31">
        <f>SUM(L35:L37)</f>
        <v>0</v>
      </c>
      <c r="M34" s="35"/>
      <c r="N34" s="35"/>
      <c r="O34" s="169" t="e">
        <f t="shared" si="0"/>
        <v>#DIV/0!</v>
      </c>
      <c r="P34" s="18"/>
      <c r="Q34" s="170" t="s">
        <v>194</v>
      </c>
      <c r="R34" s="171" t="s">
        <v>194</v>
      </c>
      <c r="S34" s="167" t="s">
        <v>194</v>
      </c>
      <c r="T34" s="165" t="s">
        <v>194</v>
      </c>
      <c r="U34" s="175" t="s">
        <v>194</v>
      </c>
      <c r="V34" s="176" t="s">
        <v>194</v>
      </c>
      <c r="W34" s="180" t="s">
        <v>194</v>
      </c>
      <c r="X34" s="181" t="s">
        <v>194</v>
      </c>
      <c r="Y34" s="167" t="s">
        <v>194</v>
      </c>
      <c r="Z34" s="165" t="s">
        <v>194</v>
      </c>
      <c r="AA34" s="175" t="s">
        <v>194</v>
      </c>
      <c r="AB34" s="176" t="s">
        <v>194</v>
      </c>
    </row>
    <row r="35" spans="1:28" ht="27" x14ac:dyDescent="0.25">
      <c r="A35" s="19" t="s">
        <v>65</v>
      </c>
      <c r="B35" s="20" t="s">
        <v>66</v>
      </c>
      <c r="C35" s="21" t="s">
        <v>15</v>
      </c>
      <c r="D35" s="22">
        <f>((4.37+3.79+1.08+0.65+4+2.48+2.05+0.9+0.9+0.9+0.9+0.9+0.9+3.5+3.5+3.5+3.5+3.5+3.3+4.8)*2.7)+(7.75*0.5)</f>
        <v>137.30899999999997</v>
      </c>
      <c r="E35" s="137">
        <v>40</v>
      </c>
      <c r="F35" s="100">
        <v>150.15</v>
      </c>
      <c r="G35" s="100">
        <v>195.69</v>
      </c>
      <c r="H35" s="98"/>
      <c r="I35" s="98">
        <f>(H35*D35)</f>
        <v>0</v>
      </c>
      <c r="J35" s="100"/>
      <c r="K35" s="100"/>
      <c r="L35" s="100">
        <f>D35*(H35+J35+K35)</f>
        <v>0</v>
      </c>
      <c r="M35" s="24" t="s">
        <v>67</v>
      </c>
      <c r="N35" s="162" t="str">
        <f>A35</f>
        <v>2.1</v>
      </c>
      <c r="O35" s="169" t="e">
        <f t="shared" si="0"/>
        <v>#DIV/0!</v>
      </c>
      <c r="P35" s="18"/>
      <c r="Q35" s="172"/>
      <c r="R35" s="173"/>
      <c r="S35" s="164"/>
      <c r="T35" s="168"/>
      <c r="U35" s="177"/>
      <c r="V35" s="178"/>
      <c r="W35" s="182"/>
      <c r="X35" s="183"/>
      <c r="Y35" s="164" t="e">
        <f>O35/2</f>
        <v>#DIV/0!</v>
      </c>
      <c r="Z35" s="168">
        <f>L35/2</f>
        <v>0</v>
      </c>
      <c r="AA35" s="177" t="e">
        <f>O35/2</f>
        <v>#DIV/0!</v>
      </c>
      <c r="AB35" s="178">
        <f>L35/2</f>
        <v>0</v>
      </c>
    </row>
    <row r="36" spans="1:28" x14ac:dyDescent="0.25">
      <c r="A36" s="19" t="s">
        <v>212</v>
      </c>
      <c r="B36" s="20" t="s">
        <v>68</v>
      </c>
      <c r="C36" s="21" t="s">
        <v>15</v>
      </c>
      <c r="D36" s="22">
        <f>(6.73+2.99+6.3+2.35+2.26+2.25+2.25+2.35+3.07+1.01+1+1)*2.7</f>
        <v>90.612000000000009</v>
      </c>
      <c r="E36" s="137">
        <v>40</v>
      </c>
      <c r="F36" s="100">
        <v>6.45</v>
      </c>
      <c r="G36" s="100">
        <v>115.92</v>
      </c>
      <c r="H36" s="98"/>
      <c r="I36" s="98">
        <f>(H36*D36)</f>
        <v>0</v>
      </c>
      <c r="J36" s="100"/>
      <c r="K36" s="100"/>
      <c r="L36" s="100">
        <f>D36*(H36+J36+K36)</f>
        <v>0</v>
      </c>
      <c r="M36" s="24" t="s">
        <v>67</v>
      </c>
      <c r="N36" s="162" t="str">
        <f>A36</f>
        <v>2.2</v>
      </c>
      <c r="O36" s="169" t="e">
        <f t="shared" si="0"/>
        <v>#DIV/0!</v>
      </c>
      <c r="P36" s="18"/>
      <c r="Q36" s="172"/>
      <c r="R36" s="173"/>
      <c r="S36" s="164"/>
      <c r="T36" s="168"/>
      <c r="U36" s="177"/>
      <c r="V36" s="178"/>
      <c r="W36" s="182"/>
      <c r="X36" s="183"/>
      <c r="Y36" s="164" t="e">
        <f t="shared" ref="Y36:Y37" si="15">O36/2</f>
        <v>#DIV/0!</v>
      </c>
      <c r="Z36" s="168">
        <f t="shared" ref="Z36:Z37" si="16">L36/2</f>
        <v>0</v>
      </c>
      <c r="AA36" s="177" t="e">
        <f t="shared" ref="AA36:AA37" si="17">O36/2</f>
        <v>#DIV/0!</v>
      </c>
      <c r="AB36" s="178">
        <f t="shared" ref="AB36:AB37" si="18">L36/2</f>
        <v>0</v>
      </c>
    </row>
    <row r="37" spans="1:28" ht="27" x14ac:dyDescent="0.25">
      <c r="A37" s="19" t="s">
        <v>213</v>
      </c>
      <c r="B37" s="20" t="s">
        <v>69</v>
      </c>
      <c r="C37" s="26" t="s">
        <v>23</v>
      </c>
      <c r="D37" s="22">
        <v>18</v>
      </c>
      <c r="E37" s="137">
        <v>50</v>
      </c>
      <c r="F37" s="100">
        <v>7.68</v>
      </c>
      <c r="G37" s="100">
        <v>120.52</v>
      </c>
      <c r="H37" s="98"/>
      <c r="I37" s="98">
        <f>(H37*D37)</f>
        <v>0</v>
      </c>
      <c r="J37" s="100"/>
      <c r="K37" s="100"/>
      <c r="L37" s="100">
        <f>D37*(H37+J37+K37)</f>
        <v>0</v>
      </c>
      <c r="M37" s="24" t="s">
        <v>67</v>
      </c>
      <c r="N37" s="162" t="str">
        <f>A37</f>
        <v>2.3</v>
      </c>
      <c r="O37" s="169" t="e">
        <f t="shared" si="0"/>
        <v>#DIV/0!</v>
      </c>
      <c r="Q37" s="172"/>
      <c r="R37" s="173"/>
      <c r="S37" s="164"/>
      <c r="T37" s="168"/>
      <c r="U37" s="177"/>
      <c r="V37" s="178"/>
      <c r="W37" s="182"/>
      <c r="X37" s="183"/>
      <c r="Y37" s="164" t="e">
        <f t="shared" si="15"/>
        <v>#DIV/0!</v>
      </c>
      <c r="Z37" s="168">
        <f t="shared" si="16"/>
        <v>0</v>
      </c>
      <c r="AA37" s="177" t="e">
        <f t="shared" si="17"/>
        <v>#DIV/0!</v>
      </c>
      <c r="AB37" s="178">
        <f t="shared" si="18"/>
        <v>0</v>
      </c>
    </row>
    <row r="38" spans="1:28" s="12" customFormat="1" x14ac:dyDescent="0.25">
      <c r="A38" s="87" t="s">
        <v>70</v>
      </c>
      <c r="B38" s="88" t="s">
        <v>71</v>
      </c>
      <c r="C38" s="39"/>
      <c r="D38" s="89"/>
      <c r="E38" s="135"/>
      <c r="F38" s="154"/>
      <c r="G38" s="154"/>
      <c r="H38" s="38"/>
      <c r="I38" s="38"/>
      <c r="J38" s="38"/>
      <c r="K38" s="38"/>
      <c r="L38" s="38"/>
      <c r="M38" s="39"/>
      <c r="N38" s="39"/>
      <c r="O38" s="169" t="e">
        <f t="shared" si="0"/>
        <v>#DIV/0!</v>
      </c>
      <c r="P38" s="18"/>
      <c r="Q38" s="170" t="s">
        <v>194</v>
      </c>
      <c r="R38" s="171" t="s">
        <v>194</v>
      </c>
      <c r="S38" s="167" t="s">
        <v>194</v>
      </c>
      <c r="T38" s="165" t="s">
        <v>194</v>
      </c>
      <c r="U38" s="175" t="s">
        <v>194</v>
      </c>
      <c r="V38" s="176" t="s">
        <v>194</v>
      </c>
      <c r="W38" s="180" t="s">
        <v>194</v>
      </c>
      <c r="X38" s="181" t="s">
        <v>194</v>
      </c>
      <c r="Y38" s="167" t="s">
        <v>194</v>
      </c>
      <c r="Z38" s="165" t="s">
        <v>194</v>
      </c>
      <c r="AA38" s="175" t="s">
        <v>194</v>
      </c>
      <c r="AB38" s="176" t="s">
        <v>194</v>
      </c>
    </row>
    <row r="39" spans="1:28" s="12" customFormat="1" x14ac:dyDescent="0.25">
      <c r="A39" s="41" t="s">
        <v>72</v>
      </c>
      <c r="B39" s="28" t="s">
        <v>171</v>
      </c>
      <c r="C39" s="40"/>
      <c r="D39" s="36"/>
      <c r="E39" s="140"/>
      <c r="F39" s="153"/>
      <c r="G39" s="153"/>
      <c r="H39" s="31">
        <f>SUM(H40:H44)</f>
        <v>0</v>
      </c>
      <c r="I39" s="31">
        <f>SUM(I40:I44)</f>
        <v>0</v>
      </c>
      <c r="J39" s="16">
        <f>SUM(J40:J44)</f>
        <v>0</v>
      </c>
      <c r="K39" s="16">
        <f>SUM(K40:K44)</f>
        <v>0</v>
      </c>
      <c r="L39" s="16">
        <f>SUM(L40:L44)</f>
        <v>0</v>
      </c>
      <c r="M39" s="17"/>
      <c r="N39" s="40"/>
      <c r="O39" s="169" t="e">
        <f t="shared" si="0"/>
        <v>#DIV/0!</v>
      </c>
      <c r="P39" s="18"/>
      <c r="Q39" s="170" t="s">
        <v>194</v>
      </c>
      <c r="R39" s="171" t="s">
        <v>194</v>
      </c>
      <c r="S39" s="167" t="s">
        <v>194</v>
      </c>
      <c r="T39" s="165" t="s">
        <v>194</v>
      </c>
      <c r="U39" s="175" t="s">
        <v>194</v>
      </c>
      <c r="V39" s="176" t="s">
        <v>194</v>
      </c>
      <c r="W39" s="180" t="s">
        <v>194</v>
      </c>
      <c r="X39" s="181" t="s">
        <v>194</v>
      </c>
      <c r="Y39" s="167" t="s">
        <v>194</v>
      </c>
      <c r="Z39" s="165" t="s">
        <v>194</v>
      </c>
      <c r="AA39" s="175" t="s">
        <v>194</v>
      </c>
      <c r="AB39" s="176" t="s">
        <v>194</v>
      </c>
    </row>
    <row r="40" spans="1:28" s="12" customFormat="1" x14ac:dyDescent="0.25">
      <c r="A40" s="19" t="s">
        <v>73</v>
      </c>
      <c r="B40" s="20" t="s">
        <v>180</v>
      </c>
      <c r="C40" s="21" t="s">
        <v>38</v>
      </c>
      <c r="D40" s="22">
        <v>16.5</v>
      </c>
      <c r="E40" s="137">
        <v>35</v>
      </c>
      <c r="F40" s="100">
        <v>60.99</v>
      </c>
      <c r="G40" s="100">
        <v>51.38</v>
      </c>
      <c r="H40" s="98"/>
      <c r="I40" s="98">
        <f>(H40*D40)</f>
        <v>0</v>
      </c>
      <c r="J40" s="100"/>
      <c r="K40" s="100"/>
      <c r="L40" s="100">
        <f>D40*(H40+J40+K40)</f>
        <v>0</v>
      </c>
      <c r="M40" s="24" t="s">
        <v>67</v>
      </c>
      <c r="N40" s="162" t="str">
        <f>A40</f>
        <v>3.1.1</v>
      </c>
      <c r="O40" s="169" t="e">
        <f t="shared" si="0"/>
        <v>#DIV/0!</v>
      </c>
      <c r="P40" s="18"/>
      <c r="Q40" s="172" t="e">
        <f t="shared" ref="Q40" si="19">O40/2</f>
        <v>#DIV/0!</v>
      </c>
      <c r="R40" s="173">
        <f t="shared" ref="R40" si="20">L40/2</f>
        <v>0</v>
      </c>
      <c r="S40" s="164" t="e">
        <f t="shared" ref="S40" si="21">O40/2</f>
        <v>#DIV/0!</v>
      </c>
      <c r="T40" s="168">
        <f t="shared" ref="T40" si="22">L40/2</f>
        <v>0</v>
      </c>
      <c r="U40" s="175"/>
      <c r="V40" s="176"/>
      <c r="W40" s="180"/>
      <c r="X40" s="181"/>
      <c r="Y40" s="167"/>
      <c r="Z40" s="165"/>
      <c r="AA40" s="175"/>
      <c r="AB40" s="176"/>
    </row>
    <row r="41" spans="1:28" s="12" customFormat="1" ht="27" x14ac:dyDescent="0.25">
      <c r="A41" s="19" t="s">
        <v>75</v>
      </c>
      <c r="B41" s="20" t="s">
        <v>181</v>
      </c>
      <c r="C41" s="21" t="s">
        <v>15</v>
      </c>
      <c r="D41" s="22">
        <v>31</v>
      </c>
      <c r="E41" s="137">
        <v>45</v>
      </c>
      <c r="F41" s="100">
        <v>63.04</v>
      </c>
      <c r="G41" s="100">
        <v>120.49</v>
      </c>
      <c r="H41" s="98"/>
      <c r="I41" s="98">
        <f>(H41*D41)</f>
        <v>0</v>
      </c>
      <c r="J41" s="100"/>
      <c r="K41" s="100"/>
      <c r="L41" s="100">
        <f>D41*(H41+J41+K41)</f>
        <v>0</v>
      </c>
      <c r="M41" s="24" t="s">
        <v>67</v>
      </c>
      <c r="N41" s="162" t="str">
        <f>A41</f>
        <v>3.1.2</v>
      </c>
      <c r="O41" s="169" t="e">
        <f t="shared" si="0"/>
        <v>#DIV/0!</v>
      </c>
      <c r="P41" s="18"/>
      <c r="Q41" s="172" t="e">
        <f t="shared" ref="Q41:Q44" si="23">O41/2</f>
        <v>#DIV/0!</v>
      </c>
      <c r="R41" s="173">
        <f t="shared" ref="R41:R44" si="24">L41/2</f>
        <v>0</v>
      </c>
      <c r="S41" s="164" t="e">
        <f t="shared" ref="S41:S44" si="25">O41/2</f>
        <v>#DIV/0!</v>
      </c>
      <c r="T41" s="168">
        <f t="shared" ref="T41:T44" si="26">L41/2</f>
        <v>0</v>
      </c>
      <c r="U41" s="175"/>
      <c r="V41" s="176"/>
      <c r="W41" s="180"/>
      <c r="X41" s="181"/>
      <c r="Y41" s="167"/>
      <c r="Z41" s="165"/>
      <c r="AA41" s="175"/>
      <c r="AB41" s="176"/>
    </row>
    <row r="42" spans="1:28" ht="40.5" x14ac:dyDescent="0.25">
      <c r="A42" s="19" t="s">
        <v>73</v>
      </c>
      <c r="B42" s="20" t="s">
        <v>74</v>
      </c>
      <c r="C42" s="21" t="s">
        <v>15</v>
      </c>
      <c r="D42" s="22">
        <v>4.9800000000000004</v>
      </c>
      <c r="E42" s="137"/>
      <c r="F42" s="100"/>
      <c r="G42" s="100"/>
      <c r="H42" s="99"/>
      <c r="I42" s="98">
        <f>(H42*D42)</f>
        <v>0</v>
      </c>
      <c r="J42" s="99"/>
      <c r="K42" s="100"/>
      <c r="L42" s="100">
        <f>D42*(H42+J42+K42)</f>
        <v>0</v>
      </c>
      <c r="M42" s="24" t="s">
        <v>166</v>
      </c>
      <c r="N42" s="21">
        <v>87413</v>
      </c>
      <c r="O42" s="169" t="e">
        <f t="shared" si="0"/>
        <v>#DIV/0!</v>
      </c>
      <c r="P42" s="18"/>
      <c r="Q42" s="172" t="e">
        <f t="shared" si="23"/>
        <v>#DIV/0!</v>
      </c>
      <c r="R42" s="173">
        <f t="shared" si="24"/>
        <v>0</v>
      </c>
      <c r="S42" s="164" t="e">
        <f t="shared" si="25"/>
        <v>#DIV/0!</v>
      </c>
      <c r="T42" s="168">
        <f t="shared" si="26"/>
        <v>0</v>
      </c>
      <c r="U42" s="177"/>
      <c r="V42" s="178"/>
      <c r="W42" s="182"/>
      <c r="X42" s="183"/>
      <c r="Y42" s="164"/>
      <c r="Z42" s="168"/>
      <c r="AA42" s="177"/>
      <c r="AB42" s="178"/>
    </row>
    <row r="43" spans="1:28" ht="27" x14ac:dyDescent="0.25">
      <c r="A43" s="19" t="s">
        <v>75</v>
      </c>
      <c r="B43" s="20" t="s">
        <v>76</v>
      </c>
      <c r="C43" s="21" t="s">
        <v>15</v>
      </c>
      <c r="D43" s="22">
        <v>4.9800000000000004</v>
      </c>
      <c r="E43" s="137"/>
      <c r="F43" s="100"/>
      <c r="G43" s="100"/>
      <c r="H43" s="99"/>
      <c r="I43" s="98">
        <f>(H43*D43)</f>
        <v>0</v>
      </c>
      <c r="J43" s="99"/>
      <c r="K43" s="100"/>
      <c r="L43" s="100">
        <f>D43*(H43+J43+K43)</f>
        <v>0</v>
      </c>
      <c r="M43" s="24" t="s">
        <v>166</v>
      </c>
      <c r="N43" s="21">
        <v>88488</v>
      </c>
      <c r="O43" s="169" t="e">
        <f t="shared" si="0"/>
        <v>#DIV/0!</v>
      </c>
      <c r="P43" s="18"/>
      <c r="Q43" s="172" t="e">
        <f t="shared" si="23"/>
        <v>#DIV/0!</v>
      </c>
      <c r="R43" s="173">
        <f t="shared" si="24"/>
        <v>0</v>
      </c>
      <c r="S43" s="164" t="e">
        <f t="shared" si="25"/>
        <v>#DIV/0!</v>
      </c>
      <c r="T43" s="168">
        <f t="shared" si="26"/>
        <v>0</v>
      </c>
      <c r="U43" s="177"/>
      <c r="V43" s="178"/>
      <c r="W43" s="182"/>
      <c r="X43" s="183"/>
      <c r="Y43" s="164"/>
      <c r="Z43" s="168"/>
      <c r="AA43" s="177"/>
      <c r="AB43" s="178"/>
    </row>
    <row r="44" spans="1:28" ht="25.5" customHeight="1" x14ac:dyDescent="0.25">
      <c r="A44" s="19" t="s">
        <v>77</v>
      </c>
      <c r="B44" s="20" t="s">
        <v>78</v>
      </c>
      <c r="C44" s="21" t="s">
        <v>23</v>
      </c>
      <c r="D44" s="22">
        <v>2</v>
      </c>
      <c r="E44" s="137"/>
      <c r="F44" s="100"/>
      <c r="G44" s="100"/>
      <c r="H44" s="100"/>
      <c r="I44" s="98">
        <f>(H44*D44)</f>
        <v>0</v>
      </c>
      <c r="J44" s="100"/>
      <c r="K44" s="100"/>
      <c r="L44" s="100">
        <f>D44*(H44+J44+K44)</f>
        <v>0</v>
      </c>
      <c r="M44" s="24" t="s">
        <v>168</v>
      </c>
      <c r="N44" s="21">
        <v>97593</v>
      </c>
      <c r="O44" s="169" t="e">
        <f t="shared" si="0"/>
        <v>#DIV/0!</v>
      </c>
      <c r="P44" s="18"/>
      <c r="Q44" s="172" t="e">
        <f t="shared" si="23"/>
        <v>#DIV/0!</v>
      </c>
      <c r="R44" s="173">
        <f t="shared" si="24"/>
        <v>0</v>
      </c>
      <c r="S44" s="164" t="e">
        <f t="shared" si="25"/>
        <v>#DIV/0!</v>
      </c>
      <c r="T44" s="168">
        <f t="shared" si="26"/>
        <v>0</v>
      </c>
      <c r="U44" s="177"/>
      <c r="V44" s="178"/>
      <c r="W44" s="182"/>
      <c r="X44" s="183"/>
      <c r="Y44" s="164"/>
      <c r="Z44" s="168"/>
      <c r="AA44" s="177"/>
      <c r="AB44" s="178"/>
    </row>
    <row r="45" spans="1:28" s="12" customFormat="1" x14ac:dyDescent="0.25">
      <c r="A45" s="87" t="s">
        <v>79</v>
      </c>
      <c r="B45" s="88" t="s">
        <v>80</v>
      </c>
      <c r="C45" s="39"/>
      <c r="D45" s="89"/>
      <c r="E45" s="135"/>
      <c r="F45" s="154"/>
      <c r="G45" s="154"/>
      <c r="H45" s="38"/>
      <c r="I45" s="38"/>
      <c r="J45" s="38"/>
      <c r="K45" s="38"/>
      <c r="L45" s="38"/>
      <c r="M45" s="39"/>
      <c r="N45" s="39"/>
      <c r="O45" s="169" t="e">
        <f t="shared" si="0"/>
        <v>#DIV/0!</v>
      </c>
      <c r="P45" s="18"/>
      <c r="Q45" s="170" t="s">
        <v>194</v>
      </c>
      <c r="R45" s="171" t="s">
        <v>194</v>
      </c>
      <c r="S45" s="167" t="s">
        <v>194</v>
      </c>
      <c r="T45" s="165" t="s">
        <v>194</v>
      </c>
      <c r="U45" s="175" t="s">
        <v>194</v>
      </c>
      <c r="V45" s="176" t="s">
        <v>194</v>
      </c>
      <c r="W45" s="180" t="s">
        <v>194</v>
      </c>
      <c r="X45" s="181" t="s">
        <v>194</v>
      </c>
      <c r="Y45" s="167" t="s">
        <v>194</v>
      </c>
      <c r="Z45" s="165" t="s">
        <v>194</v>
      </c>
      <c r="AA45" s="175" t="s">
        <v>194</v>
      </c>
      <c r="AB45" s="176" t="s">
        <v>194</v>
      </c>
    </row>
    <row r="46" spans="1:28" s="12" customFormat="1" x14ac:dyDescent="0.25">
      <c r="A46" s="41" t="s">
        <v>81</v>
      </c>
      <c r="B46" s="28" t="s">
        <v>171</v>
      </c>
      <c r="C46" s="40"/>
      <c r="D46" s="36"/>
      <c r="E46" s="140"/>
      <c r="F46" s="153"/>
      <c r="G46" s="153"/>
      <c r="H46" s="37">
        <f>SUM(H47)</f>
        <v>0</v>
      </c>
      <c r="I46" s="37">
        <f>SUM(I47)</f>
        <v>0</v>
      </c>
      <c r="J46" s="37">
        <f>SUM(J47)</f>
        <v>0</v>
      </c>
      <c r="K46" s="37">
        <f>SUM(K47)</f>
        <v>0</v>
      </c>
      <c r="L46" s="37">
        <f>SUM(L47)</f>
        <v>0</v>
      </c>
      <c r="M46" s="40"/>
      <c r="N46" s="40"/>
      <c r="O46" s="169" t="e">
        <f t="shared" si="0"/>
        <v>#DIV/0!</v>
      </c>
      <c r="P46" s="18"/>
      <c r="Q46" s="170" t="s">
        <v>194</v>
      </c>
      <c r="R46" s="171" t="s">
        <v>194</v>
      </c>
      <c r="S46" s="167" t="s">
        <v>194</v>
      </c>
      <c r="T46" s="165" t="s">
        <v>194</v>
      </c>
      <c r="U46" s="175" t="s">
        <v>194</v>
      </c>
      <c r="V46" s="176" t="s">
        <v>194</v>
      </c>
      <c r="W46" s="180" t="s">
        <v>194</v>
      </c>
      <c r="X46" s="181" t="s">
        <v>194</v>
      </c>
      <c r="Y46" s="167" t="s">
        <v>194</v>
      </c>
      <c r="Z46" s="165" t="s">
        <v>194</v>
      </c>
      <c r="AA46" s="175" t="s">
        <v>194</v>
      </c>
      <c r="AB46" s="176" t="s">
        <v>194</v>
      </c>
    </row>
    <row r="47" spans="1:28" ht="27" x14ac:dyDescent="0.25">
      <c r="A47" s="19" t="s">
        <v>81</v>
      </c>
      <c r="B47" s="20" t="s">
        <v>82</v>
      </c>
      <c r="C47" s="21" t="s">
        <v>15</v>
      </c>
      <c r="D47" s="22">
        <v>511</v>
      </c>
      <c r="E47" s="137"/>
      <c r="F47" s="100"/>
      <c r="G47" s="100"/>
      <c r="H47" s="100">
        <v>0</v>
      </c>
      <c r="I47" s="98">
        <f>(H47*D47)</f>
        <v>0</v>
      </c>
      <c r="J47" s="100"/>
      <c r="K47" s="100">
        <v>0</v>
      </c>
      <c r="L47" s="100">
        <f>D47*(H47+J47+K47)</f>
        <v>0</v>
      </c>
      <c r="M47" s="86" t="s">
        <v>167</v>
      </c>
      <c r="N47" s="21">
        <v>39636</v>
      </c>
      <c r="O47" s="169" t="e">
        <f t="shared" si="0"/>
        <v>#DIV/0!</v>
      </c>
      <c r="P47" s="18"/>
      <c r="Q47" s="172"/>
      <c r="R47" s="173"/>
      <c r="S47" s="164"/>
      <c r="T47" s="168"/>
      <c r="U47" s="177" t="e">
        <f>O47/4</f>
        <v>#DIV/0!</v>
      </c>
      <c r="V47" s="178">
        <f>L47/4</f>
        <v>0</v>
      </c>
      <c r="W47" s="182" t="e">
        <f>O47/4</f>
        <v>#DIV/0!</v>
      </c>
      <c r="X47" s="183">
        <f>L47/4</f>
        <v>0</v>
      </c>
      <c r="Y47" s="164" t="e">
        <f>O47/4</f>
        <v>#DIV/0!</v>
      </c>
      <c r="Z47" s="168">
        <f>L47/4</f>
        <v>0</v>
      </c>
      <c r="AA47" s="177" t="e">
        <f>O47/4</f>
        <v>#DIV/0!</v>
      </c>
      <c r="AB47" s="178">
        <f>L47/4</f>
        <v>0</v>
      </c>
    </row>
    <row r="48" spans="1:28" s="12" customFormat="1" x14ac:dyDescent="0.25">
      <c r="A48" s="87" t="s">
        <v>83</v>
      </c>
      <c r="B48" s="88" t="s">
        <v>84</v>
      </c>
      <c r="C48" s="39"/>
      <c r="D48" s="89"/>
      <c r="E48" s="135"/>
      <c r="F48" s="154"/>
      <c r="G48" s="154"/>
      <c r="H48" s="38"/>
      <c r="I48" s="38"/>
      <c r="J48" s="38"/>
      <c r="K48" s="38"/>
      <c r="L48" s="38"/>
      <c r="M48" s="39"/>
      <c r="N48" s="39"/>
      <c r="O48" s="169" t="e">
        <f t="shared" si="0"/>
        <v>#DIV/0!</v>
      </c>
      <c r="P48" s="18"/>
      <c r="Q48" s="170" t="s">
        <v>194</v>
      </c>
      <c r="R48" s="171" t="s">
        <v>194</v>
      </c>
      <c r="S48" s="167" t="s">
        <v>194</v>
      </c>
      <c r="T48" s="165" t="s">
        <v>194</v>
      </c>
      <c r="U48" s="175" t="s">
        <v>194</v>
      </c>
      <c r="V48" s="176" t="s">
        <v>194</v>
      </c>
      <c r="W48" s="180" t="s">
        <v>194</v>
      </c>
      <c r="X48" s="181" t="s">
        <v>194</v>
      </c>
      <c r="Y48" s="167" t="s">
        <v>194</v>
      </c>
      <c r="Z48" s="165" t="s">
        <v>194</v>
      </c>
      <c r="AA48" s="175" t="s">
        <v>194</v>
      </c>
      <c r="AB48" s="176" t="s">
        <v>194</v>
      </c>
    </row>
    <row r="49" spans="1:28" s="12" customFormat="1" x14ac:dyDescent="0.25">
      <c r="A49" s="41" t="s">
        <v>85</v>
      </c>
      <c r="B49" s="28" t="s">
        <v>171</v>
      </c>
      <c r="C49" s="41"/>
      <c r="D49" s="42"/>
      <c r="E49" s="141"/>
      <c r="F49" s="155"/>
      <c r="G49" s="155"/>
      <c r="H49" s="115">
        <f t="shared" ref="H49" si="27">SUM(H50:H50)</f>
        <v>0</v>
      </c>
      <c r="I49" s="115">
        <f t="shared" ref="I49" si="28">SUM(I50:I50)</f>
        <v>0</v>
      </c>
      <c r="J49" s="115">
        <f t="shared" ref="J49:K49" si="29">SUM(J50:J50)</f>
        <v>0</v>
      </c>
      <c r="K49" s="115">
        <f t="shared" si="29"/>
        <v>0</v>
      </c>
      <c r="L49" s="43">
        <f>SUM(L50:L50)</f>
        <v>0</v>
      </c>
      <c r="M49" s="41"/>
      <c r="N49" s="41"/>
      <c r="O49" s="169" t="e">
        <f t="shared" si="0"/>
        <v>#DIV/0!</v>
      </c>
      <c r="P49" s="18"/>
      <c r="Q49" s="170" t="s">
        <v>194</v>
      </c>
      <c r="R49" s="171" t="s">
        <v>194</v>
      </c>
      <c r="S49" s="167" t="s">
        <v>194</v>
      </c>
      <c r="T49" s="165" t="s">
        <v>194</v>
      </c>
      <c r="U49" s="175" t="s">
        <v>194</v>
      </c>
      <c r="V49" s="176" t="s">
        <v>194</v>
      </c>
      <c r="W49" s="180" t="s">
        <v>194</v>
      </c>
      <c r="X49" s="181" t="s">
        <v>194</v>
      </c>
      <c r="Y49" s="167" t="s">
        <v>194</v>
      </c>
      <c r="Z49" s="165" t="s">
        <v>194</v>
      </c>
      <c r="AA49" s="175" t="s">
        <v>194</v>
      </c>
      <c r="AB49" s="176" t="s">
        <v>194</v>
      </c>
    </row>
    <row r="50" spans="1:28" ht="40.5" x14ac:dyDescent="0.25">
      <c r="A50" s="19" t="s">
        <v>85</v>
      </c>
      <c r="B50" s="20" t="s">
        <v>86</v>
      </c>
      <c r="C50" s="21" t="s">
        <v>87</v>
      </c>
      <c r="D50" s="22">
        <v>1</v>
      </c>
      <c r="E50" s="137">
        <v>25000</v>
      </c>
      <c r="F50" s="100">
        <v>3743.81</v>
      </c>
      <c r="G50" s="100">
        <v>7643</v>
      </c>
      <c r="H50" s="98"/>
      <c r="I50" s="98">
        <f>(H50*D50)</f>
        <v>0</v>
      </c>
      <c r="J50" s="100"/>
      <c r="K50" s="100"/>
      <c r="L50" s="100">
        <f>D50*(H50+J50+K50)</f>
        <v>0</v>
      </c>
      <c r="M50" s="24" t="s">
        <v>67</v>
      </c>
      <c r="N50" s="162" t="str">
        <f>A50</f>
        <v>5.1</v>
      </c>
      <c r="O50" s="169" t="e">
        <f t="shared" si="0"/>
        <v>#DIV/0!</v>
      </c>
      <c r="P50" s="18"/>
      <c r="Q50" s="172" t="e">
        <f>O50</f>
        <v>#DIV/0!</v>
      </c>
      <c r="R50" s="173">
        <f>L50</f>
        <v>0</v>
      </c>
      <c r="S50" s="164"/>
      <c r="T50" s="168"/>
      <c r="U50" s="177"/>
      <c r="V50" s="178"/>
      <c r="W50" s="182"/>
      <c r="X50" s="183"/>
      <c r="Y50" s="164"/>
      <c r="Z50" s="168"/>
      <c r="AA50" s="177"/>
      <c r="AB50" s="178"/>
    </row>
    <row r="51" spans="1:28" s="12" customFormat="1" x14ac:dyDescent="0.25">
      <c r="A51" s="247" t="s">
        <v>88</v>
      </c>
      <c r="B51" s="248"/>
      <c r="C51" s="248"/>
      <c r="D51" s="248"/>
      <c r="E51" s="248"/>
      <c r="F51" s="248"/>
      <c r="G51" s="248"/>
      <c r="H51" s="248"/>
      <c r="I51" s="248"/>
      <c r="J51" s="248"/>
      <c r="K51" s="249"/>
      <c r="L51" s="9">
        <f>L49+L46+L39+L34+L22+L6</f>
        <v>0</v>
      </c>
      <c r="M51" s="10"/>
      <c r="N51" s="10"/>
      <c r="O51" s="169" t="e">
        <f t="shared" ref="O51" si="30">L51/$L$83</f>
        <v>#DIV/0!</v>
      </c>
      <c r="P51" s="18"/>
      <c r="Q51" s="170" t="s">
        <v>194</v>
      </c>
      <c r="R51" s="171" t="s">
        <v>194</v>
      </c>
      <c r="S51" s="167" t="s">
        <v>194</v>
      </c>
      <c r="T51" s="165" t="s">
        <v>194</v>
      </c>
      <c r="U51" s="175" t="s">
        <v>194</v>
      </c>
      <c r="V51" s="176" t="s">
        <v>194</v>
      </c>
      <c r="W51" s="180" t="s">
        <v>194</v>
      </c>
      <c r="X51" s="181" t="s">
        <v>194</v>
      </c>
      <c r="Y51" s="167" t="s">
        <v>194</v>
      </c>
      <c r="Z51" s="165" t="s">
        <v>194</v>
      </c>
      <c r="AA51" s="175" t="s">
        <v>194</v>
      </c>
      <c r="AB51" s="176" t="s">
        <v>194</v>
      </c>
    </row>
    <row r="52" spans="1:28" s="113" customFormat="1" x14ac:dyDescent="0.25">
      <c r="A52" s="116"/>
      <c r="B52" s="116"/>
      <c r="C52" s="116"/>
      <c r="D52" s="116"/>
      <c r="E52" s="142"/>
      <c r="F52" s="116"/>
      <c r="G52" s="116"/>
      <c r="H52" s="116"/>
      <c r="I52" s="116"/>
      <c r="J52" s="117"/>
      <c r="K52" s="117"/>
      <c r="L52" s="117"/>
      <c r="M52" s="118"/>
      <c r="N52" s="118"/>
      <c r="O52" s="119"/>
      <c r="P52" s="112"/>
      <c r="Q52" s="170" t="s">
        <v>194</v>
      </c>
      <c r="R52" s="171" t="s">
        <v>194</v>
      </c>
      <c r="S52" s="167" t="s">
        <v>194</v>
      </c>
      <c r="T52" s="165" t="s">
        <v>194</v>
      </c>
      <c r="U52" s="175" t="s">
        <v>194</v>
      </c>
      <c r="V52" s="176" t="s">
        <v>194</v>
      </c>
      <c r="W52" s="180" t="s">
        <v>194</v>
      </c>
      <c r="X52" s="181" t="s">
        <v>194</v>
      </c>
      <c r="Y52" s="167" t="s">
        <v>194</v>
      </c>
      <c r="Z52" s="165" t="s">
        <v>194</v>
      </c>
      <c r="AA52" s="175" t="s">
        <v>194</v>
      </c>
      <c r="AB52" s="176" t="s">
        <v>194</v>
      </c>
    </row>
    <row r="53" spans="1:28" s="12" customFormat="1" x14ac:dyDescent="0.25">
      <c r="A53" s="87" t="s">
        <v>89</v>
      </c>
      <c r="B53" s="90" t="s">
        <v>90</v>
      </c>
      <c r="C53" s="91"/>
      <c r="D53" s="92"/>
      <c r="E53" s="143"/>
      <c r="F53" s="92"/>
      <c r="G53" s="92"/>
      <c r="H53" s="44">
        <f>SUM(H54:H56)</f>
        <v>0</v>
      </c>
      <c r="I53" s="44">
        <f>SUM(I54:I56)</f>
        <v>0</v>
      </c>
      <c r="J53" s="44">
        <f>SUM(J54:J56)</f>
        <v>0</v>
      </c>
      <c r="K53" s="44">
        <f>SUM(K54:K56)</f>
        <v>0</v>
      </c>
      <c r="L53" s="44">
        <f>SUM(L54:L56)</f>
        <v>0</v>
      </c>
      <c r="M53" s="10"/>
      <c r="N53" s="10"/>
      <c r="O53" s="169" t="e">
        <f t="shared" ref="O53:O64" si="31">L53/$L$83</f>
        <v>#DIV/0!</v>
      </c>
      <c r="P53" s="18"/>
      <c r="Q53" s="170" t="s">
        <v>194</v>
      </c>
      <c r="R53" s="171" t="s">
        <v>194</v>
      </c>
      <c r="S53" s="167" t="s">
        <v>194</v>
      </c>
      <c r="T53" s="165" t="s">
        <v>194</v>
      </c>
      <c r="U53" s="175" t="s">
        <v>194</v>
      </c>
      <c r="V53" s="176" t="s">
        <v>194</v>
      </c>
      <c r="W53" s="180" t="s">
        <v>194</v>
      </c>
      <c r="X53" s="181" t="s">
        <v>194</v>
      </c>
      <c r="Y53" s="167" t="s">
        <v>194</v>
      </c>
      <c r="Z53" s="165" t="s">
        <v>194</v>
      </c>
      <c r="AA53" s="175" t="s">
        <v>194</v>
      </c>
      <c r="AB53" s="176" t="s">
        <v>194</v>
      </c>
    </row>
    <row r="54" spans="1:28" x14ac:dyDescent="0.25">
      <c r="A54" s="19" t="s">
        <v>242</v>
      </c>
      <c r="B54" s="20" t="s">
        <v>91</v>
      </c>
      <c r="C54" s="21" t="s">
        <v>87</v>
      </c>
      <c r="D54" s="22">
        <v>1</v>
      </c>
      <c r="E54" s="137">
        <v>85000</v>
      </c>
      <c r="F54" s="100">
        <v>975</v>
      </c>
      <c r="G54" s="100">
        <v>5868</v>
      </c>
      <c r="H54" s="98"/>
      <c r="I54" s="98">
        <f>(H54*D54)</f>
        <v>0</v>
      </c>
      <c r="J54" s="100"/>
      <c r="K54" s="100"/>
      <c r="L54" s="100">
        <f>D54*(H54+J54+K54)</f>
        <v>0</v>
      </c>
      <c r="M54" s="24" t="s">
        <v>67</v>
      </c>
      <c r="N54" s="24" t="str">
        <f>A54</f>
        <v>6.1</v>
      </c>
      <c r="O54" s="169" t="e">
        <f t="shared" si="31"/>
        <v>#DIV/0!</v>
      </c>
      <c r="P54" s="18"/>
      <c r="Q54" s="172"/>
      <c r="R54" s="173"/>
      <c r="S54" s="164"/>
      <c r="T54" s="168"/>
      <c r="U54" s="177" t="e">
        <f>O54/2</f>
        <v>#DIV/0!</v>
      </c>
      <c r="V54" s="178">
        <f>L54/2</f>
        <v>0</v>
      </c>
      <c r="W54" s="182" t="e">
        <f>O54/2</f>
        <v>#DIV/0!</v>
      </c>
      <c r="X54" s="183">
        <f>L54/2</f>
        <v>0</v>
      </c>
      <c r="Y54" s="164"/>
      <c r="Z54" s="168"/>
      <c r="AA54" s="177"/>
      <c r="AB54" s="178"/>
    </row>
    <row r="55" spans="1:28" ht="27" x14ac:dyDescent="0.25">
      <c r="A55" s="19" t="s">
        <v>243</v>
      </c>
      <c r="B55" s="20" t="s">
        <v>92</v>
      </c>
      <c r="C55" s="21" t="s">
        <v>15</v>
      </c>
      <c r="D55" s="22">
        <v>252.4</v>
      </c>
      <c r="E55" s="137">
        <v>150</v>
      </c>
      <c r="F55" s="100">
        <v>199.44</v>
      </c>
      <c r="G55" s="100">
        <v>12.76</v>
      </c>
      <c r="H55" s="98"/>
      <c r="I55" s="98">
        <f>(H55*D55)</f>
        <v>0</v>
      </c>
      <c r="J55" s="100"/>
      <c r="K55" s="100"/>
      <c r="L55" s="100">
        <f>D55*(H55+J55+K55)</f>
        <v>0</v>
      </c>
      <c r="M55" s="24" t="s">
        <v>67</v>
      </c>
      <c r="N55" s="24" t="str">
        <f>A55</f>
        <v>6.2</v>
      </c>
      <c r="O55" s="169" t="e">
        <f t="shared" si="31"/>
        <v>#DIV/0!</v>
      </c>
      <c r="P55" s="18"/>
      <c r="Q55" s="172" t="e">
        <f>O55/4</f>
        <v>#DIV/0!</v>
      </c>
      <c r="R55" s="173">
        <f>L55/4</f>
        <v>0</v>
      </c>
      <c r="S55" s="164" t="e">
        <f>O55/4</f>
        <v>#DIV/0!</v>
      </c>
      <c r="T55" s="168">
        <f>L55/4</f>
        <v>0</v>
      </c>
      <c r="U55" s="177" t="e">
        <f>O55/4</f>
        <v>#DIV/0!</v>
      </c>
      <c r="V55" s="178">
        <f>L55/4</f>
        <v>0</v>
      </c>
      <c r="W55" s="182" t="e">
        <f>O55/4</f>
        <v>#DIV/0!</v>
      </c>
      <c r="X55" s="183">
        <f>L55/4</f>
        <v>0</v>
      </c>
      <c r="Y55" s="164"/>
      <c r="Z55" s="168"/>
      <c r="AA55" s="177"/>
      <c r="AB55" s="178"/>
    </row>
    <row r="56" spans="1:28" ht="40.5" x14ac:dyDescent="0.25">
      <c r="A56" s="19" t="s">
        <v>244</v>
      </c>
      <c r="B56" s="20" t="s">
        <v>93</v>
      </c>
      <c r="C56" s="21" t="s">
        <v>23</v>
      </c>
      <c r="D56" s="22">
        <v>1</v>
      </c>
      <c r="E56" s="137">
        <v>70000</v>
      </c>
      <c r="F56" s="100">
        <v>0</v>
      </c>
      <c r="G56" s="100">
        <v>2740</v>
      </c>
      <c r="H56" s="98"/>
      <c r="I56" s="98">
        <f>(H56*D56)</f>
        <v>0</v>
      </c>
      <c r="J56" s="100"/>
      <c r="K56" s="100"/>
      <c r="L56" s="100">
        <f>D56*(H56+J56+K56)</f>
        <v>0</v>
      </c>
      <c r="M56" s="24" t="s">
        <v>67</v>
      </c>
      <c r="N56" s="24" t="str">
        <f>A56</f>
        <v>6.3</v>
      </c>
      <c r="O56" s="169" t="e">
        <f t="shared" si="31"/>
        <v>#DIV/0!</v>
      </c>
      <c r="P56" s="18"/>
      <c r="Q56" s="172" t="e">
        <f t="shared" ref="Q56" si="32">O56/2</f>
        <v>#DIV/0!</v>
      </c>
      <c r="R56" s="173">
        <f t="shared" ref="R56" si="33">L56/2</f>
        <v>0</v>
      </c>
      <c r="S56" s="164" t="e">
        <f t="shared" ref="S56" si="34">O56/2</f>
        <v>#DIV/0!</v>
      </c>
      <c r="T56" s="168">
        <f t="shared" ref="T56" si="35">L56/2</f>
        <v>0</v>
      </c>
      <c r="U56" s="177"/>
      <c r="V56" s="178"/>
      <c r="W56" s="182"/>
      <c r="X56" s="183"/>
      <c r="Y56" s="164"/>
      <c r="Z56" s="168"/>
      <c r="AA56" s="177"/>
      <c r="AB56" s="178"/>
    </row>
    <row r="57" spans="1:28" s="12" customFormat="1" x14ac:dyDescent="0.25">
      <c r="A57" s="93" t="s">
        <v>94</v>
      </c>
      <c r="B57" s="94" t="s">
        <v>95</v>
      </c>
      <c r="C57" s="93"/>
      <c r="D57" s="95"/>
      <c r="E57" s="144"/>
      <c r="F57" s="156"/>
      <c r="G57" s="156"/>
      <c r="H57" s="44">
        <f>SUM(H58:H64)</f>
        <v>0</v>
      </c>
      <c r="I57" s="44">
        <f>SUM(I58:I64)</f>
        <v>0</v>
      </c>
      <c r="J57" s="44">
        <f>SUM(J58:J64)</f>
        <v>0</v>
      </c>
      <c r="K57" s="44">
        <f>SUM(K58:K64)</f>
        <v>0</v>
      </c>
      <c r="L57" s="44">
        <f>SUM(L58:L64)</f>
        <v>0</v>
      </c>
      <c r="M57" s="45"/>
      <c r="N57" s="45"/>
      <c r="O57" s="169" t="e">
        <f t="shared" si="31"/>
        <v>#DIV/0!</v>
      </c>
      <c r="P57" s="18"/>
      <c r="Q57" s="170" t="s">
        <v>194</v>
      </c>
      <c r="R57" s="171" t="s">
        <v>194</v>
      </c>
      <c r="S57" s="167" t="s">
        <v>194</v>
      </c>
      <c r="T57" s="165" t="s">
        <v>194</v>
      </c>
      <c r="U57" s="175" t="s">
        <v>194</v>
      </c>
      <c r="V57" s="176" t="s">
        <v>194</v>
      </c>
      <c r="W57" s="180" t="s">
        <v>194</v>
      </c>
      <c r="X57" s="181" t="s">
        <v>194</v>
      </c>
      <c r="Y57" s="167" t="s">
        <v>194</v>
      </c>
      <c r="Z57" s="165" t="s">
        <v>194</v>
      </c>
      <c r="AA57" s="175" t="s">
        <v>194</v>
      </c>
      <c r="AB57" s="176" t="s">
        <v>194</v>
      </c>
    </row>
    <row r="58" spans="1:28" x14ac:dyDescent="0.25">
      <c r="A58" s="19" t="s">
        <v>235</v>
      </c>
      <c r="B58" s="20" t="s">
        <v>96</v>
      </c>
      <c r="C58" s="21" t="s">
        <v>87</v>
      </c>
      <c r="D58" s="22">
        <v>1</v>
      </c>
      <c r="E58" s="137">
        <v>50000</v>
      </c>
      <c r="F58" s="100">
        <v>975</v>
      </c>
      <c r="G58" s="100">
        <v>8320</v>
      </c>
      <c r="H58" s="98"/>
      <c r="I58" s="98">
        <f t="shared" ref="I58:I64" si="36">(H58*D58)</f>
        <v>0</v>
      </c>
      <c r="J58" s="100"/>
      <c r="K58" s="100"/>
      <c r="L58" s="100">
        <f>D58*(H58+J58+K58)</f>
        <v>0</v>
      </c>
      <c r="M58" s="24" t="s">
        <v>67</v>
      </c>
      <c r="N58" s="162" t="str">
        <f>A58</f>
        <v>7.1</v>
      </c>
      <c r="O58" s="169" t="e">
        <f t="shared" si="31"/>
        <v>#DIV/0!</v>
      </c>
      <c r="P58" s="18"/>
      <c r="Q58" s="172"/>
      <c r="R58" s="173"/>
      <c r="S58" s="164"/>
      <c r="T58" s="168"/>
      <c r="U58" s="177" t="e">
        <f>O58/2</f>
        <v>#DIV/0!</v>
      </c>
      <c r="V58" s="178">
        <f>L58/2</f>
        <v>0</v>
      </c>
      <c r="W58" s="182" t="e">
        <f>O58/2</f>
        <v>#DIV/0!</v>
      </c>
      <c r="X58" s="183">
        <f>L58/2</f>
        <v>0</v>
      </c>
      <c r="Y58" s="164"/>
      <c r="Z58" s="168"/>
      <c r="AA58" s="177"/>
      <c r="AB58" s="178"/>
    </row>
    <row r="59" spans="1:28" x14ac:dyDescent="0.25">
      <c r="A59" s="19" t="s">
        <v>236</v>
      </c>
      <c r="B59" s="20" t="s">
        <v>97</v>
      </c>
      <c r="C59" s="21" t="s">
        <v>23</v>
      </c>
      <c r="D59" s="22">
        <v>16</v>
      </c>
      <c r="E59" s="137">
        <v>30</v>
      </c>
      <c r="F59" s="100">
        <v>13.65</v>
      </c>
      <c r="G59" s="100">
        <v>77.599999999999994</v>
      </c>
      <c r="H59" s="98"/>
      <c r="I59" s="98">
        <f t="shared" si="36"/>
        <v>0</v>
      </c>
      <c r="J59" s="100"/>
      <c r="K59" s="100"/>
      <c r="L59" s="100">
        <f>D59*(H59+J59+K59)</f>
        <v>0</v>
      </c>
      <c r="M59" s="24" t="s">
        <v>67</v>
      </c>
      <c r="N59" s="162" t="str">
        <f>A59</f>
        <v>7.2</v>
      </c>
      <c r="O59" s="169" t="e">
        <f t="shared" si="31"/>
        <v>#DIV/0!</v>
      </c>
      <c r="P59" s="18"/>
      <c r="Q59" s="172"/>
      <c r="R59" s="173"/>
      <c r="S59" s="164"/>
      <c r="T59" s="168"/>
      <c r="U59" s="177" t="e">
        <f t="shared" ref="U59:U64" si="37">O59/2</f>
        <v>#DIV/0!</v>
      </c>
      <c r="V59" s="178">
        <f t="shared" ref="V59:V64" si="38">L59/2</f>
        <v>0</v>
      </c>
      <c r="W59" s="182" t="e">
        <f t="shared" ref="W59:W64" si="39">O59/2</f>
        <v>#DIV/0!</v>
      </c>
      <c r="X59" s="183">
        <f t="shared" ref="X59:X64" si="40">L59/2</f>
        <v>0</v>
      </c>
      <c r="Y59" s="164"/>
      <c r="Z59" s="168"/>
      <c r="AA59" s="177"/>
      <c r="AB59" s="178"/>
    </row>
    <row r="60" spans="1:28" ht="54" x14ac:dyDescent="0.25">
      <c r="A60" s="19" t="s">
        <v>237</v>
      </c>
      <c r="B60" s="20" t="s">
        <v>98</v>
      </c>
      <c r="C60" s="21" t="s">
        <v>38</v>
      </c>
      <c r="D60" s="22">
        <v>2600</v>
      </c>
      <c r="E60" s="137"/>
      <c r="F60" s="100"/>
      <c r="G60" s="100"/>
      <c r="H60" s="185"/>
      <c r="I60" s="186">
        <f t="shared" si="36"/>
        <v>0</v>
      </c>
      <c r="J60" s="185"/>
      <c r="K60" s="185"/>
      <c r="L60" s="185">
        <f>D60*(H60+J60+K60)</f>
        <v>0</v>
      </c>
      <c r="M60" s="24" t="s">
        <v>166</v>
      </c>
      <c r="N60" s="21">
        <v>98299</v>
      </c>
      <c r="O60" s="169" t="e">
        <f t="shared" si="31"/>
        <v>#DIV/0!</v>
      </c>
      <c r="P60" s="18"/>
      <c r="Q60" s="172"/>
      <c r="R60" s="173"/>
      <c r="S60" s="164"/>
      <c r="T60" s="168"/>
      <c r="U60" s="177" t="e">
        <f t="shared" si="37"/>
        <v>#DIV/0!</v>
      </c>
      <c r="V60" s="178">
        <f t="shared" si="38"/>
        <v>0</v>
      </c>
      <c r="W60" s="182" t="e">
        <f t="shared" si="39"/>
        <v>#DIV/0!</v>
      </c>
      <c r="X60" s="183">
        <f t="shared" si="40"/>
        <v>0</v>
      </c>
      <c r="Y60" s="164"/>
      <c r="Z60" s="168"/>
      <c r="AA60" s="177"/>
      <c r="AB60" s="178"/>
    </row>
    <row r="61" spans="1:28" ht="27" x14ac:dyDescent="0.25">
      <c r="A61" s="19" t="s">
        <v>238</v>
      </c>
      <c r="B61" s="20" t="s">
        <v>99</v>
      </c>
      <c r="C61" s="21" t="s">
        <v>23</v>
      </c>
      <c r="D61" s="22">
        <v>8</v>
      </c>
      <c r="E61" s="137">
        <v>150</v>
      </c>
      <c r="F61" s="100">
        <v>0</v>
      </c>
      <c r="G61" s="100">
        <v>1637.84</v>
      </c>
      <c r="H61" s="98"/>
      <c r="I61" s="98">
        <f t="shared" si="36"/>
        <v>0</v>
      </c>
      <c r="J61" s="100"/>
      <c r="K61" s="100"/>
      <c r="L61" s="100">
        <f>D61*(H61+J61+K61)</f>
        <v>0</v>
      </c>
      <c r="M61" s="24" t="s">
        <v>67</v>
      </c>
      <c r="N61" s="162" t="str">
        <f>A61</f>
        <v>7.4</v>
      </c>
      <c r="O61" s="169" t="e">
        <f t="shared" si="31"/>
        <v>#DIV/0!</v>
      </c>
      <c r="P61" s="18"/>
      <c r="Q61" s="172"/>
      <c r="R61" s="173"/>
      <c r="S61" s="164"/>
      <c r="T61" s="168"/>
      <c r="U61" s="177" t="e">
        <f t="shared" si="37"/>
        <v>#DIV/0!</v>
      </c>
      <c r="V61" s="178">
        <f t="shared" si="38"/>
        <v>0</v>
      </c>
      <c r="W61" s="182" t="e">
        <f t="shared" si="39"/>
        <v>#DIV/0!</v>
      </c>
      <c r="X61" s="183">
        <f t="shared" si="40"/>
        <v>0</v>
      </c>
      <c r="Y61" s="164"/>
      <c r="Z61" s="168"/>
      <c r="AA61" s="177"/>
      <c r="AB61" s="178"/>
    </row>
    <row r="62" spans="1:28" ht="27" x14ac:dyDescent="0.25">
      <c r="A62" s="19" t="s">
        <v>239</v>
      </c>
      <c r="B62" s="20" t="s">
        <v>100</v>
      </c>
      <c r="C62" s="21" t="s">
        <v>23</v>
      </c>
      <c r="D62" s="22">
        <v>8</v>
      </c>
      <c r="E62" s="137">
        <v>150</v>
      </c>
      <c r="F62" s="100">
        <v>0</v>
      </c>
      <c r="G62" s="100">
        <v>963.88</v>
      </c>
      <c r="H62" s="98"/>
      <c r="I62" s="98">
        <f t="shared" si="36"/>
        <v>0</v>
      </c>
      <c r="J62" s="100"/>
      <c r="K62" s="100"/>
      <c r="L62" s="100">
        <f>D62*(H62+J62+K62)</f>
        <v>0</v>
      </c>
      <c r="M62" s="24" t="s">
        <v>67</v>
      </c>
      <c r="N62" s="162" t="str">
        <f>A62</f>
        <v>7.5</v>
      </c>
      <c r="O62" s="169" t="e">
        <f t="shared" si="31"/>
        <v>#DIV/0!</v>
      </c>
      <c r="P62" s="18"/>
      <c r="Q62" s="172"/>
      <c r="R62" s="173"/>
      <c r="S62" s="164"/>
      <c r="T62" s="168"/>
      <c r="U62" s="177" t="e">
        <f t="shared" si="37"/>
        <v>#DIV/0!</v>
      </c>
      <c r="V62" s="178">
        <f t="shared" si="38"/>
        <v>0</v>
      </c>
      <c r="W62" s="182" t="e">
        <f t="shared" si="39"/>
        <v>#DIV/0!</v>
      </c>
      <c r="X62" s="183">
        <f t="shared" si="40"/>
        <v>0</v>
      </c>
      <c r="Y62" s="164"/>
      <c r="Z62" s="168"/>
      <c r="AA62" s="177"/>
      <c r="AB62" s="178"/>
    </row>
    <row r="63" spans="1:28" ht="27" x14ac:dyDescent="0.25">
      <c r="A63" s="19" t="s">
        <v>240</v>
      </c>
      <c r="B63" s="20" t="s">
        <v>101</v>
      </c>
      <c r="C63" s="21" t="s">
        <v>23</v>
      </c>
      <c r="D63" s="22">
        <v>2</v>
      </c>
      <c r="E63" s="137"/>
      <c r="F63" s="100"/>
      <c r="G63" s="100"/>
      <c r="H63" s="99"/>
      <c r="I63" s="98">
        <f t="shared" si="36"/>
        <v>0</v>
      </c>
      <c r="J63" s="99"/>
      <c r="K63" s="100"/>
      <c r="L63" s="100">
        <f>D63*(H63+J63+K63)</f>
        <v>0</v>
      </c>
      <c r="M63" s="24" t="s">
        <v>166</v>
      </c>
      <c r="N63" s="21">
        <v>100555</v>
      </c>
      <c r="O63" s="169" t="e">
        <f t="shared" si="31"/>
        <v>#DIV/0!</v>
      </c>
      <c r="P63" s="18"/>
      <c r="Q63" s="172"/>
      <c r="R63" s="173"/>
      <c r="S63" s="164"/>
      <c r="T63" s="168"/>
      <c r="U63" s="177" t="e">
        <f t="shared" si="37"/>
        <v>#DIV/0!</v>
      </c>
      <c r="V63" s="178">
        <f t="shared" si="38"/>
        <v>0</v>
      </c>
      <c r="W63" s="182" t="e">
        <f t="shared" si="39"/>
        <v>#DIV/0!</v>
      </c>
      <c r="X63" s="183">
        <f t="shared" si="40"/>
        <v>0</v>
      </c>
      <c r="Y63" s="164"/>
      <c r="Z63" s="168"/>
      <c r="AA63" s="177"/>
      <c r="AB63" s="178"/>
    </row>
    <row r="64" spans="1:28" ht="27" x14ac:dyDescent="0.25">
      <c r="A64" s="19" t="s">
        <v>241</v>
      </c>
      <c r="B64" s="20" t="s">
        <v>102</v>
      </c>
      <c r="C64" s="21" t="s">
        <v>23</v>
      </c>
      <c r="D64" s="22">
        <v>8</v>
      </c>
      <c r="E64" s="137"/>
      <c r="F64" s="100"/>
      <c r="G64" s="100"/>
      <c r="H64" s="99"/>
      <c r="I64" s="98">
        <f t="shared" si="36"/>
        <v>0</v>
      </c>
      <c r="J64" s="99"/>
      <c r="K64" s="100"/>
      <c r="L64" s="100">
        <f>D64*(H64+J64+K64)</f>
        <v>0</v>
      </c>
      <c r="M64" s="24" t="s">
        <v>166</v>
      </c>
      <c r="N64" s="21">
        <v>98302</v>
      </c>
      <c r="O64" s="169" t="e">
        <f t="shared" si="31"/>
        <v>#DIV/0!</v>
      </c>
      <c r="P64" s="18"/>
      <c r="Q64" s="172"/>
      <c r="R64" s="173"/>
      <c r="S64" s="164"/>
      <c r="T64" s="168"/>
      <c r="U64" s="177" t="e">
        <f t="shared" si="37"/>
        <v>#DIV/0!</v>
      </c>
      <c r="V64" s="178">
        <f t="shared" si="38"/>
        <v>0</v>
      </c>
      <c r="W64" s="182" t="e">
        <f t="shared" si="39"/>
        <v>#DIV/0!</v>
      </c>
      <c r="X64" s="183">
        <f t="shared" si="40"/>
        <v>0</v>
      </c>
      <c r="Y64" s="164"/>
      <c r="Z64" s="168"/>
      <c r="AA64" s="177"/>
      <c r="AB64" s="178"/>
    </row>
    <row r="65" spans="1:28" s="12" customFormat="1" ht="12.75" customHeight="1" x14ac:dyDescent="0.25">
      <c r="A65" s="247" t="s">
        <v>103</v>
      </c>
      <c r="B65" s="248"/>
      <c r="C65" s="248"/>
      <c r="D65" s="248"/>
      <c r="E65" s="248"/>
      <c r="F65" s="248"/>
      <c r="G65" s="248"/>
      <c r="H65" s="248"/>
      <c r="I65" s="248"/>
      <c r="J65" s="248"/>
      <c r="K65" s="249"/>
      <c r="L65" s="9">
        <f>L57+L53</f>
        <v>0</v>
      </c>
      <c r="M65" s="10"/>
      <c r="N65" s="10"/>
      <c r="O65" s="169" t="e">
        <f t="shared" ref="O65:O82" si="41">L65/$L$83</f>
        <v>#DIV/0!</v>
      </c>
      <c r="P65" s="18"/>
      <c r="Q65" s="170" t="s">
        <v>194</v>
      </c>
      <c r="R65" s="171" t="s">
        <v>194</v>
      </c>
      <c r="S65" s="167" t="s">
        <v>194</v>
      </c>
      <c r="T65" s="165" t="s">
        <v>194</v>
      </c>
      <c r="U65" s="175" t="s">
        <v>194</v>
      </c>
      <c r="V65" s="176" t="s">
        <v>194</v>
      </c>
      <c r="W65" s="180" t="s">
        <v>194</v>
      </c>
      <c r="X65" s="181" t="s">
        <v>194</v>
      </c>
      <c r="Y65" s="167" t="s">
        <v>194</v>
      </c>
      <c r="Z65" s="165" t="s">
        <v>194</v>
      </c>
      <c r="AA65" s="175" t="s">
        <v>194</v>
      </c>
      <c r="AB65" s="176" t="s">
        <v>194</v>
      </c>
    </row>
    <row r="66" spans="1:28" s="113" customFormat="1" x14ac:dyDescent="0.25">
      <c r="A66" s="116"/>
      <c r="B66" s="116"/>
      <c r="C66" s="116"/>
      <c r="D66" s="116"/>
      <c r="E66" s="142"/>
      <c r="F66" s="116"/>
      <c r="G66" s="116"/>
      <c r="H66" s="116"/>
      <c r="I66" s="116"/>
      <c r="J66" s="117"/>
      <c r="K66" s="117"/>
      <c r="L66" s="117"/>
      <c r="M66" s="118"/>
      <c r="N66" s="118"/>
      <c r="O66" s="119"/>
      <c r="P66" s="18"/>
      <c r="Q66" s="170" t="s">
        <v>194</v>
      </c>
      <c r="R66" s="171" t="s">
        <v>194</v>
      </c>
      <c r="S66" s="167" t="s">
        <v>194</v>
      </c>
      <c r="T66" s="165" t="s">
        <v>194</v>
      </c>
      <c r="U66" s="175" t="s">
        <v>194</v>
      </c>
      <c r="V66" s="176" t="s">
        <v>194</v>
      </c>
      <c r="W66" s="180" t="s">
        <v>194</v>
      </c>
      <c r="X66" s="181" t="s">
        <v>194</v>
      </c>
      <c r="Y66" s="167" t="s">
        <v>194</v>
      </c>
      <c r="Z66" s="165" t="s">
        <v>194</v>
      </c>
      <c r="AA66" s="175" t="s">
        <v>194</v>
      </c>
      <c r="AB66" s="176" t="s">
        <v>194</v>
      </c>
    </row>
    <row r="67" spans="1:28" s="128" customFormat="1" ht="15.75" x14ac:dyDescent="0.25">
      <c r="A67" s="250" t="s">
        <v>104</v>
      </c>
      <c r="B67" s="251"/>
      <c r="C67" s="251"/>
      <c r="D67" s="251"/>
      <c r="E67" s="251"/>
      <c r="F67" s="251"/>
      <c r="G67" s="251"/>
      <c r="H67" s="251"/>
      <c r="I67" s="251"/>
      <c r="J67" s="251"/>
      <c r="K67" s="252"/>
      <c r="L67" s="77">
        <f>L65+L51</f>
        <v>0</v>
      </c>
      <c r="M67" s="82"/>
      <c r="N67" s="82"/>
      <c r="O67" s="169" t="e">
        <f t="shared" si="41"/>
        <v>#DIV/0!</v>
      </c>
      <c r="P67" s="127"/>
      <c r="Q67" s="170" t="s">
        <v>194</v>
      </c>
      <c r="R67" s="171" t="s">
        <v>194</v>
      </c>
      <c r="S67" s="167" t="s">
        <v>194</v>
      </c>
      <c r="T67" s="165" t="s">
        <v>194</v>
      </c>
      <c r="U67" s="175" t="s">
        <v>194</v>
      </c>
      <c r="V67" s="176" t="s">
        <v>194</v>
      </c>
      <c r="W67" s="180" t="s">
        <v>194</v>
      </c>
      <c r="X67" s="181" t="s">
        <v>194</v>
      </c>
      <c r="Y67" s="167" t="s">
        <v>194</v>
      </c>
      <c r="Z67" s="165" t="s">
        <v>194</v>
      </c>
      <c r="AA67" s="175" t="s">
        <v>194</v>
      </c>
      <c r="AB67" s="176" t="s">
        <v>194</v>
      </c>
    </row>
    <row r="68" spans="1:28" s="113" customFormat="1" x14ac:dyDescent="0.25">
      <c r="A68" s="116"/>
      <c r="B68" s="116"/>
      <c r="C68" s="116"/>
      <c r="D68" s="116"/>
      <c r="E68" s="142"/>
      <c r="F68" s="116"/>
      <c r="G68" s="116"/>
      <c r="H68" s="116"/>
      <c r="I68" s="116"/>
      <c r="J68" s="117"/>
      <c r="K68" s="117"/>
      <c r="L68" s="117"/>
      <c r="M68" s="118"/>
      <c r="N68" s="118"/>
      <c r="O68" s="119"/>
      <c r="P68" s="18"/>
      <c r="Q68" s="170" t="s">
        <v>194</v>
      </c>
      <c r="R68" s="171" t="s">
        <v>194</v>
      </c>
      <c r="S68" s="167" t="s">
        <v>194</v>
      </c>
      <c r="T68" s="165" t="s">
        <v>194</v>
      </c>
      <c r="U68" s="175" t="s">
        <v>194</v>
      </c>
      <c r="V68" s="176" t="s">
        <v>194</v>
      </c>
      <c r="W68" s="180" t="s">
        <v>194</v>
      </c>
      <c r="X68" s="181" t="s">
        <v>194</v>
      </c>
      <c r="Y68" s="167" t="s">
        <v>194</v>
      </c>
      <c r="Z68" s="165" t="s">
        <v>194</v>
      </c>
      <c r="AA68" s="175" t="s">
        <v>194</v>
      </c>
      <c r="AB68" s="176" t="s">
        <v>194</v>
      </c>
    </row>
    <row r="69" spans="1:28" s="12" customFormat="1" x14ac:dyDescent="0.25">
      <c r="A69" s="121" t="s">
        <v>105</v>
      </c>
      <c r="B69" s="120" t="s">
        <v>106</v>
      </c>
      <c r="C69" s="121"/>
      <c r="D69" s="122"/>
      <c r="E69" s="145"/>
      <c r="F69" s="122"/>
      <c r="G69" s="122"/>
      <c r="H69" s="123">
        <f>SUM(H70:H77)</f>
        <v>0</v>
      </c>
      <c r="I69" s="123">
        <f>SUM(I70:I77)</f>
        <v>0</v>
      </c>
      <c r="J69" s="123">
        <f>SUM(J70:J77)</f>
        <v>0</v>
      </c>
      <c r="K69" s="126">
        <f>SUM(K70:K77)</f>
        <v>0</v>
      </c>
      <c r="L69" s="124">
        <f>SUM(L70:L77)</f>
        <v>0</v>
      </c>
      <c r="M69" s="125"/>
      <c r="N69" s="125"/>
      <c r="O69" s="169" t="e">
        <f t="shared" si="41"/>
        <v>#DIV/0!</v>
      </c>
      <c r="P69" s="18"/>
      <c r="Q69" s="170" t="s">
        <v>194</v>
      </c>
      <c r="R69" s="171" t="s">
        <v>194</v>
      </c>
      <c r="S69" s="167" t="s">
        <v>194</v>
      </c>
      <c r="T69" s="165" t="s">
        <v>194</v>
      </c>
      <c r="U69" s="175" t="s">
        <v>194</v>
      </c>
      <c r="V69" s="176" t="s">
        <v>194</v>
      </c>
      <c r="W69" s="180" t="s">
        <v>194</v>
      </c>
      <c r="X69" s="181" t="s">
        <v>194</v>
      </c>
      <c r="Y69" s="167" t="s">
        <v>194</v>
      </c>
      <c r="Z69" s="165" t="s">
        <v>194</v>
      </c>
      <c r="AA69" s="175" t="s">
        <v>194</v>
      </c>
      <c r="AB69" s="176" t="s">
        <v>194</v>
      </c>
    </row>
    <row r="70" spans="1:28" x14ac:dyDescent="0.25">
      <c r="A70" s="19" t="s">
        <v>107</v>
      </c>
      <c r="B70" s="20" t="s">
        <v>108</v>
      </c>
      <c r="C70" s="21" t="s">
        <v>109</v>
      </c>
      <c r="D70" s="22">
        <v>1</v>
      </c>
      <c r="E70" s="137"/>
      <c r="F70" s="100"/>
      <c r="G70" s="100"/>
      <c r="H70" s="99"/>
      <c r="I70" s="98">
        <f t="shared" ref="I70:I77" si="42">(H70*D70)</f>
        <v>0</v>
      </c>
      <c r="J70" s="99"/>
      <c r="K70" s="100"/>
      <c r="L70" s="100">
        <f>D70*(H70+J70+K70)</f>
        <v>0</v>
      </c>
      <c r="M70" s="24" t="s">
        <v>166</v>
      </c>
      <c r="N70" s="21">
        <v>93570</v>
      </c>
      <c r="O70" s="169" t="e">
        <f t="shared" si="41"/>
        <v>#DIV/0!</v>
      </c>
      <c r="P70" s="18"/>
      <c r="Q70" s="172" t="e">
        <f>O70/6</f>
        <v>#DIV/0!</v>
      </c>
      <c r="R70" s="173">
        <f>L70/6</f>
        <v>0</v>
      </c>
      <c r="S70" s="164" t="e">
        <f>O70/6</f>
        <v>#DIV/0!</v>
      </c>
      <c r="T70" s="168">
        <f>L70/6</f>
        <v>0</v>
      </c>
      <c r="U70" s="177" t="e">
        <f>O70/6</f>
        <v>#DIV/0!</v>
      </c>
      <c r="V70" s="178">
        <f>L70/6</f>
        <v>0</v>
      </c>
      <c r="W70" s="182" t="e">
        <f>O70/6</f>
        <v>#DIV/0!</v>
      </c>
      <c r="X70" s="183">
        <f>L70/6</f>
        <v>0</v>
      </c>
      <c r="Y70" s="164" t="e">
        <f>O70/6</f>
        <v>#DIV/0!</v>
      </c>
      <c r="Z70" s="168">
        <f>L70/6</f>
        <v>0</v>
      </c>
      <c r="AA70" s="177" t="e">
        <f>O70/6</f>
        <v>#DIV/0!</v>
      </c>
      <c r="AB70" s="178">
        <f>L70/6</f>
        <v>0</v>
      </c>
    </row>
    <row r="71" spans="1:28" x14ac:dyDescent="0.25">
      <c r="A71" s="19" t="s">
        <v>110</v>
      </c>
      <c r="B71" s="20" t="s">
        <v>111</v>
      </c>
      <c r="C71" s="21" t="s">
        <v>109</v>
      </c>
      <c r="D71" s="22">
        <v>1</v>
      </c>
      <c r="E71" s="137"/>
      <c r="F71" s="100"/>
      <c r="G71" s="100"/>
      <c r="H71" s="99"/>
      <c r="I71" s="98">
        <f t="shared" si="42"/>
        <v>0</v>
      </c>
      <c r="J71" s="99"/>
      <c r="K71" s="100"/>
      <c r="L71" s="100">
        <f>D71*(H71+J71+K71)</f>
        <v>0</v>
      </c>
      <c r="M71" s="24" t="s">
        <v>166</v>
      </c>
      <c r="N71" s="21">
        <v>93572</v>
      </c>
      <c r="O71" s="169" t="e">
        <f t="shared" si="41"/>
        <v>#DIV/0!</v>
      </c>
      <c r="P71" s="18"/>
      <c r="Q71" s="172" t="e">
        <f t="shared" ref="Q71:Q74" si="43">O71/6</f>
        <v>#DIV/0!</v>
      </c>
      <c r="R71" s="173">
        <f t="shared" ref="R71:R74" si="44">L71/6</f>
        <v>0</v>
      </c>
      <c r="S71" s="164" t="e">
        <f t="shared" ref="S71:S74" si="45">O71/6</f>
        <v>#DIV/0!</v>
      </c>
      <c r="T71" s="168">
        <f t="shared" ref="T71:T74" si="46">L71/6</f>
        <v>0</v>
      </c>
      <c r="U71" s="177" t="e">
        <f t="shared" ref="U71:U74" si="47">O71/6</f>
        <v>#DIV/0!</v>
      </c>
      <c r="V71" s="178">
        <f t="shared" ref="V71:V74" si="48">L71/6</f>
        <v>0</v>
      </c>
      <c r="W71" s="182" t="e">
        <f t="shared" ref="W71:W74" si="49">O71/6</f>
        <v>#DIV/0!</v>
      </c>
      <c r="X71" s="183">
        <f t="shared" ref="X71:X74" si="50">L71/6</f>
        <v>0</v>
      </c>
      <c r="Y71" s="164" t="e">
        <f t="shared" ref="Y71:Y74" si="51">O71/6</f>
        <v>#DIV/0!</v>
      </c>
      <c r="Z71" s="168">
        <f t="shared" ref="Z71:Z74" si="52">L71/6</f>
        <v>0</v>
      </c>
      <c r="AA71" s="177" t="e">
        <f t="shared" ref="AA71:AA74" si="53">O71/6</f>
        <v>#DIV/0!</v>
      </c>
      <c r="AB71" s="178">
        <f t="shared" ref="AB71:AB74" si="54">L71/6</f>
        <v>0</v>
      </c>
    </row>
    <row r="72" spans="1:28" x14ac:dyDescent="0.25">
      <c r="A72" s="19" t="s">
        <v>112</v>
      </c>
      <c r="B72" s="20" t="s">
        <v>113</v>
      </c>
      <c r="C72" s="21" t="s">
        <v>109</v>
      </c>
      <c r="D72" s="22">
        <v>1</v>
      </c>
      <c r="E72" s="137"/>
      <c r="F72" s="100"/>
      <c r="G72" s="100"/>
      <c r="H72" s="99"/>
      <c r="I72" s="98">
        <f t="shared" si="42"/>
        <v>0</v>
      </c>
      <c r="J72" s="99"/>
      <c r="K72" s="100"/>
      <c r="L72" s="100">
        <f>D72*(H72+J72+K72)</f>
        <v>0</v>
      </c>
      <c r="M72" s="24" t="s">
        <v>166</v>
      </c>
      <c r="N72" s="21">
        <v>101399</v>
      </c>
      <c r="O72" s="169" t="e">
        <f t="shared" si="41"/>
        <v>#DIV/0!</v>
      </c>
      <c r="P72" s="18"/>
      <c r="Q72" s="172" t="e">
        <f t="shared" si="43"/>
        <v>#DIV/0!</v>
      </c>
      <c r="R72" s="173">
        <f t="shared" si="44"/>
        <v>0</v>
      </c>
      <c r="S72" s="164" t="e">
        <f t="shared" si="45"/>
        <v>#DIV/0!</v>
      </c>
      <c r="T72" s="168">
        <f t="shared" si="46"/>
        <v>0</v>
      </c>
      <c r="U72" s="177" t="e">
        <f t="shared" si="47"/>
        <v>#DIV/0!</v>
      </c>
      <c r="V72" s="178">
        <f t="shared" si="48"/>
        <v>0</v>
      </c>
      <c r="W72" s="182" t="e">
        <f t="shared" si="49"/>
        <v>#DIV/0!</v>
      </c>
      <c r="X72" s="183">
        <f t="shared" si="50"/>
        <v>0</v>
      </c>
      <c r="Y72" s="164" t="e">
        <f t="shared" si="51"/>
        <v>#DIV/0!</v>
      </c>
      <c r="Z72" s="168">
        <f t="shared" si="52"/>
        <v>0</v>
      </c>
      <c r="AA72" s="177" t="e">
        <f t="shared" si="53"/>
        <v>#DIV/0!</v>
      </c>
      <c r="AB72" s="178">
        <f t="shared" si="54"/>
        <v>0</v>
      </c>
    </row>
    <row r="73" spans="1:28" x14ac:dyDescent="0.25">
      <c r="A73" s="19" t="s">
        <v>114</v>
      </c>
      <c r="B73" s="20" t="s">
        <v>115</v>
      </c>
      <c r="C73" s="21" t="s">
        <v>109</v>
      </c>
      <c r="D73" s="22">
        <v>1</v>
      </c>
      <c r="E73" s="137"/>
      <c r="F73" s="100"/>
      <c r="G73" s="100"/>
      <c r="H73" s="99"/>
      <c r="I73" s="98">
        <f t="shared" si="42"/>
        <v>0</v>
      </c>
      <c r="J73" s="99"/>
      <c r="K73" s="100"/>
      <c r="L73" s="100">
        <f>D73*(H73+J73+K73)</f>
        <v>0</v>
      </c>
      <c r="M73" s="24" t="s">
        <v>166</v>
      </c>
      <c r="N73" s="21">
        <v>101375</v>
      </c>
      <c r="O73" s="169" t="e">
        <f t="shared" si="41"/>
        <v>#DIV/0!</v>
      </c>
      <c r="P73" s="18"/>
      <c r="Q73" s="172" t="e">
        <f t="shared" si="43"/>
        <v>#DIV/0!</v>
      </c>
      <c r="R73" s="173">
        <f t="shared" si="44"/>
        <v>0</v>
      </c>
      <c r="S73" s="164" t="e">
        <f t="shared" si="45"/>
        <v>#DIV/0!</v>
      </c>
      <c r="T73" s="168">
        <f t="shared" si="46"/>
        <v>0</v>
      </c>
      <c r="U73" s="177" t="e">
        <f t="shared" si="47"/>
        <v>#DIV/0!</v>
      </c>
      <c r="V73" s="178">
        <f t="shared" si="48"/>
        <v>0</v>
      </c>
      <c r="W73" s="182" t="e">
        <f t="shared" si="49"/>
        <v>#DIV/0!</v>
      </c>
      <c r="X73" s="183">
        <f t="shared" si="50"/>
        <v>0</v>
      </c>
      <c r="Y73" s="164" t="e">
        <f t="shared" si="51"/>
        <v>#DIV/0!</v>
      </c>
      <c r="Z73" s="168">
        <f t="shared" si="52"/>
        <v>0</v>
      </c>
      <c r="AA73" s="177" t="e">
        <f t="shared" si="53"/>
        <v>#DIV/0!</v>
      </c>
      <c r="AB73" s="178">
        <f t="shared" si="54"/>
        <v>0</v>
      </c>
    </row>
    <row r="74" spans="1:28" x14ac:dyDescent="0.25">
      <c r="A74" s="19" t="s">
        <v>116</v>
      </c>
      <c r="B74" s="20" t="s">
        <v>115</v>
      </c>
      <c r="C74" s="21" t="s">
        <v>109</v>
      </c>
      <c r="D74" s="22">
        <v>1</v>
      </c>
      <c r="E74" s="137"/>
      <c r="F74" s="100"/>
      <c r="G74" s="100"/>
      <c r="H74" s="99"/>
      <c r="I74" s="98">
        <f t="shared" si="42"/>
        <v>0</v>
      </c>
      <c r="J74" s="99"/>
      <c r="K74" s="100"/>
      <c r="L74" s="100">
        <f>D74*(H74+J74+K74)</f>
        <v>0</v>
      </c>
      <c r="M74" s="24" t="s">
        <v>166</v>
      </c>
      <c r="N74" s="21">
        <v>101375</v>
      </c>
      <c r="O74" s="169" t="e">
        <f t="shared" si="41"/>
        <v>#DIV/0!</v>
      </c>
      <c r="P74" s="18"/>
      <c r="Q74" s="172" t="e">
        <f t="shared" si="43"/>
        <v>#DIV/0!</v>
      </c>
      <c r="R74" s="173">
        <f t="shared" si="44"/>
        <v>0</v>
      </c>
      <c r="S74" s="164" t="e">
        <f t="shared" si="45"/>
        <v>#DIV/0!</v>
      </c>
      <c r="T74" s="168">
        <f t="shared" si="46"/>
        <v>0</v>
      </c>
      <c r="U74" s="177" t="e">
        <f t="shared" si="47"/>
        <v>#DIV/0!</v>
      </c>
      <c r="V74" s="178">
        <f t="shared" si="48"/>
        <v>0</v>
      </c>
      <c r="W74" s="182" t="e">
        <f t="shared" si="49"/>
        <v>#DIV/0!</v>
      </c>
      <c r="X74" s="183">
        <f t="shared" si="50"/>
        <v>0</v>
      </c>
      <c r="Y74" s="164" t="e">
        <f t="shared" si="51"/>
        <v>#DIV/0!</v>
      </c>
      <c r="Z74" s="168">
        <f t="shared" si="52"/>
        <v>0</v>
      </c>
      <c r="AA74" s="177" t="e">
        <f t="shared" si="53"/>
        <v>#DIV/0!</v>
      </c>
      <c r="AB74" s="178">
        <f t="shared" si="54"/>
        <v>0</v>
      </c>
    </row>
    <row r="75" spans="1:28" x14ac:dyDescent="0.25">
      <c r="A75" s="19" t="s">
        <v>118</v>
      </c>
      <c r="B75" s="20" t="s">
        <v>117</v>
      </c>
      <c r="C75" s="21" t="s">
        <v>87</v>
      </c>
      <c r="D75" s="22">
        <v>1</v>
      </c>
      <c r="E75" s="137">
        <v>0</v>
      </c>
      <c r="F75" s="100">
        <v>312</v>
      </c>
      <c r="G75" s="100">
        <v>0</v>
      </c>
      <c r="H75" s="98"/>
      <c r="I75" s="98">
        <f t="shared" si="42"/>
        <v>0</v>
      </c>
      <c r="J75" s="100"/>
      <c r="K75" s="100"/>
      <c r="L75" s="100">
        <f>D75*(H75+J75+K75)</f>
        <v>0</v>
      </c>
      <c r="M75" s="24" t="s">
        <v>67</v>
      </c>
      <c r="N75" s="19" t="str">
        <f>A75</f>
        <v>8.1.6</v>
      </c>
      <c r="O75" s="169" t="e">
        <f t="shared" si="41"/>
        <v>#DIV/0!</v>
      </c>
      <c r="P75" s="18"/>
      <c r="Q75" s="172" t="e">
        <f>O75</f>
        <v>#DIV/0!</v>
      </c>
      <c r="R75" s="173">
        <f>L75</f>
        <v>0</v>
      </c>
      <c r="S75" s="164"/>
      <c r="T75" s="168"/>
      <c r="U75" s="177"/>
      <c r="V75" s="178"/>
      <c r="W75" s="182"/>
      <c r="X75" s="183"/>
      <c r="Y75" s="164"/>
      <c r="Z75" s="168"/>
      <c r="AA75" s="177"/>
      <c r="AB75" s="178"/>
    </row>
    <row r="76" spans="1:28" x14ac:dyDescent="0.25">
      <c r="A76" s="19" t="s">
        <v>120</v>
      </c>
      <c r="B76" s="20" t="s">
        <v>119</v>
      </c>
      <c r="C76" s="21" t="s">
        <v>87</v>
      </c>
      <c r="D76" s="22">
        <v>1</v>
      </c>
      <c r="E76" s="137">
        <v>4000</v>
      </c>
      <c r="F76" s="100">
        <v>1604.49</v>
      </c>
      <c r="G76" s="100">
        <v>9800</v>
      </c>
      <c r="H76" s="98"/>
      <c r="I76" s="98">
        <f t="shared" si="42"/>
        <v>0</v>
      </c>
      <c r="J76" s="100"/>
      <c r="K76" s="100"/>
      <c r="L76" s="100">
        <f>D76*(H76+J76+K76)</f>
        <v>0</v>
      </c>
      <c r="M76" s="24" t="s">
        <v>67</v>
      </c>
      <c r="N76" s="162" t="str">
        <f>A76</f>
        <v>8.1.7</v>
      </c>
      <c r="O76" s="169" t="e">
        <f t="shared" si="41"/>
        <v>#DIV/0!</v>
      </c>
      <c r="P76" s="18"/>
      <c r="Q76" s="172"/>
      <c r="R76" s="173"/>
      <c r="S76" s="164"/>
      <c r="T76" s="168"/>
      <c r="U76" s="177"/>
      <c r="V76" s="178"/>
      <c r="W76" s="182"/>
      <c r="X76" s="183"/>
      <c r="Y76" s="164"/>
      <c r="Z76" s="168"/>
      <c r="AA76" s="177" t="e">
        <f>O76</f>
        <v>#DIV/0!</v>
      </c>
      <c r="AB76" s="178">
        <f>L76</f>
        <v>0</v>
      </c>
    </row>
    <row r="77" spans="1:28" x14ac:dyDescent="0.25">
      <c r="A77" s="19" t="s">
        <v>182</v>
      </c>
      <c r="B77" s="20" t="s">
        <v>121</v>
      </c>
      <c r="C77" s="21" t="s">
        <v>15</v>
      </c>
      <c r="D77" s="22">
        <v>631</v>
      </c>
      <c r="E77" s="137">
        <v>15</v>
      </c>
      <c r="F77" s="100">
        <v>23.59</v>
      </c>
      <c r="G77" s="100">
        <v>21.87</v>
      </c>
      <c r="H77" s="98"/>
      <c r="I77" s="98">
        <f t="shared" si="42"/>
        <v>0</v>
      </c>
      <c r="J77" s="100"/>
      <c r="K77" s="100"/>
      <c r="L77" s="100">
        <f>D77*(H77+J77+K77)</f>
        <v>0</v>
      </c>
      <c r="M77" s="24" t="s">
        <v>67</v>
      </c>
      <c r="N77" s="162" t="str">
        <f>A77</f>
        <v>8.1.8</v>
      </c>
      <c r="O77" s="169" t="e">
        <f t="shared" si="41"/>
        <v>#DIV/0!</v>
      </c>
      <c r="P77" s="18"/>
      <c r="Q77" s="172"/>
      <c r="R77" s="173"/>
      <c r="S77" s="164"/>
      <c r="T77" s="168"/>
      <c r="U77" s="177"/>
      <c r="V77" s="178"/>
      <c r="W77" s="182"/>
      <c r="X77" s="183"/>
      <c r="Y77" s="164"/>
      <c r="Z77" s="168"/>
      <c r="AA77" s="177" t="e">
        <f>O77</f>
        <v>#DIV/0!</v>
      </c>
      <c r="AB77" s="178">
        <f>L77</f>
        <v>0</v>
      </c>
    </row>
    <row r="78" spans="1:28" ht="15.75" x14ac:dyDescent="0.25">
      <c r="A78" s="96" t="s">
        <v>122</v>
      </c>
      <c r="B78" s="97" t="s">
        <v>170</v>
      </c>
      <c r="C78" s="74"/>
      <c r="D78" s="75"/>
      <c r="E78" s="146"/>
      <c r="F78" s="157"/>
      <c r="G78" s="157"/>
      <c r="H78" s="76"/>
      <c r="I78" s="77">
        <f>SUM(I69+I57+I53+I49+I46+I39+I34+I22+I6)</f>
        <v>0</v>
      </c>
      <c r="J78" s="77"/>
      <c r="K78" s="77"/>
      <c r="L78" s="77"/>
      <c r="M78" s="77"/>
      <c r="N78" s="77"/>
      <c r="O78" s="169" t="e">
        <f t="shared" si="41"/>
        <v>#DIV/0!</v>
      </c>
      <c r="P78" s="18"/>
      <c r="Q78" s="170" t="s">
        <v>194</v>
      </c>
      <c r="R78" s="171" t="s">
        <v>194</v>
      </c>
      <c r="S78" s="167" t="s">
        <v>194</v>
      </c>
      <c r="T78" s="165" t="s">
        <v>194</v>
      </c>
      <c r="U78" s="175" t="s">
        <v>194</v>
      </c>
      <c r="V78" s="176" t="s">
        <v>194</v>
      </c>
      <c r="W78" s="180" t="s">
        <v>194</v>
      </c>
      <c r="X78" s="181" t="s">
        <v>194</v>
      </c>
      <c r="Y78" s="167" t="s">
        <v>194</v>
      </c>
      <c r="Z78" s="165" t="s">
        <v>194</v>
      </c>
      <c r="AA78" s="175" t="s">
        <v>194</v>
      </c>
      <c r="AB78" s="176" t="s">
        <v>194</v>
      </c>
    </row>
    <row r="79" spans="1:28" s="12" customFormat="1" ht="13.5" customHeight="1" x14ac:dyDescent="0.25">
      <c r="A79" s="96" t="s">
        <v>125</v>
      </c>
      <c r="B79" s="97" t="s">
        <v>123</v>
      </c>
      <c r="C79" s="80" t="s">
        <v>124</v>
      </c>
      <c r="D79" s="129">
        <v>0.01</v>
      </c>
      <c r="E79" s="146"/>
      <c r="F79" s="157"/>
      <c r="G79" s="157"/>
      <c r="H79" s="76"/>
      <c r="I79" s="76"/>
      <c r="J79" s="77"/>
      <c r="K79" s="77"/>
      <c r="L79" s="77">
        <f>D79*(L67+K1969)</f>
        <v>0</v>
      </c>
      <c r="M79" s="78"/>
      <c r="N79" s="79"/>
      <c r="O79" s="169" t="e">
        <f t="shared" si="41"/>
        <v>#DIV/0!</v>
      </c>
      <c r="P79" s="18"/>
      <c r="Q79" s="170" t="e">
        <f>O79</f>
        <v>#DIV/0!</v>
      </c>
      <c r="R79" s="171">
        <f>L79</f>
        <v>0</v>
      </c>
      <c r="S79" s="167" t="s">
        <v>194</v>
      </c>
      <c r="T79" s="165" t="s">
        <v>194</v>
      </c>
      <c r="U79" s="175" t="s">
        <v>194</v>
      </c>
      <c r="V79" s="176" t="s">
        <v>194</v>
      </c>
      <c r="W79" s="180" t="s">
        <v>194</v>
      </c>
      <c r="X79" s="181" t="s">
        <v>194</v>
      </c>
      <c r="Y79" s="167" t="s">
        <v>194</v>
      </c>
      <c r="Z79" s="165" t="s">
        <v>194</v>
      </c>
      <c r="AA79" s="175" t="s">
        <v>194</v>
      </c>
      <c r="AB79" s="176" t="s">
        <v>194</v>
      </c>
    </row>
    <row r="80" spans="1:28" ht="31.5" x14ac:dyDescent="0.25">
      <c r="A80" s="96" t="s">
        <v>169</v>
      </c>
      <c r="B80" s="97" t="s">
        <v>188</v>
      </c>
      <c r="C80" s="80" t="s">
        <v>124</v>
      </c>
      <c r="D80" s="81">
        <v>1</v>
      </c>
      <c r="E80" s="147"/>
      <c r="F80" s="158"/>
      <c r="G80" s="158"/>
      <c r="H80" s="85" t="e">
        <f>BDI!E19</f>
        <v>#DIV/0!</v>
      </c>
      <c r="I80" s="85"/>
      <c r="J80" s="77"/>
      <c r="K80" s="77"/>
      <c r="L80" s="77" t="e">
        <f>(L67+L69+L79)*H80</f>
        <v>#DIV/0!</v>
      </c>
      <c r="M80" s="82"/>
      <c r="N80" s="83"/>
      <c r="O80" s="169" t="e">
        <f t="shared" si="41"/>
        <v>#DIV/0!</v>
      </c>
      <c r="P80" s="18"/>
      <c r="Q80" s="170" t="e">
        <f t="shared" ref="Q80:AB80" si="55">(SUM(Q6:Q79)*$H$80)</f>
        <v>#DIV/0!</v>
      </c>
      <c r="R80" s="171" t="e">
        <f t="shared" si="55"/>
        <v>#DIV/0!</v>
      </c>
      <c r="S80" s="167" t="e">
        <f t="shared" si="55"/>
        <v>#DIV/0!</v>
      </c>
      <c r="T80" s="165" t="e">
        <f t="shared" si="55"/>
        <v>#DIV/0!</v>
      </c>
      <c r="U80" s="175" t="e">
        <f t="shared" si="55"/>
        <v>#DIV/0!</v>
      </c>
      <c r="V80" s="176" t="e">
        <f t="shared" si="55"/>
        <v>#DIV/0!</v>
      </c>
      <c r="W80" s="180" t="e">
        <f t="shared" si="55"/>
        <v>#DIV/0!</v>
      </c>
      <c r="X80" s="181" t="e">
        <f t="shared" si="55"/>
        <v>#DIV/0!</v>
      </c>
      <c r="Y80" s="167" t="e">
        <f t="shared" si="55"/>
        <v>#DIV/0!</v>
      </c>
      <c r="Z80" s="165" t="e">
        <f t="shared" si="55"/>
        <v>#DIV/0!</v>
      </c>
      <c r="AA80" s="175" t="e">
        <f t="shared" si="55"/>
        <v>#DIV/0!</v>
      </c>
      <c r="AB80" s="176" t="e">
        <f t="shared" si="55"/>
        <v>#DIV/0!</v>
      </c>
    </row>
    <row r="81" spans="1:31" s="12" customFormat="1" ht="15.75" x14ac:dyDescent="0.25">
      <c r="A81" s="245" t="s">
        <v>245</v>
      </c>
      <c r="B81" s="245"/>
      <c r="C81" s="245"/>
      <c r="D81" s="245"/>
      <c r="E81" s="245"/>
      <c r="F81" s="245"/>
      <c r="G81" s="245"/>
      <c r="H81" s="245"/>
      <c r="I81" s="109"/>
      <c r="J81" s="110"/>
      <c r="K81" s="110"/>
      <c r="L81" s="110" t="e">
        <f>L69+L67+L79+L80</f>
        <v>#DIV/0!</v>
      </c>
      <c r="M81" s="111"/>
      <c r="N81" s="111"/>
      <c r="O81" s="169" t="e">
        <f t="shared" si="41"/>
        <v>#DIV/0!</v>
      </c>
      <c r="Q81" s="170" t="e">
        <f>SUM(Q7:Q80)</f>
        <v>#DIV/0!</v>
      </c>
      <c r="R81" s="171" t="e">
        <f t="shared" ref="R81:AB81" si="56">SUM(R7:R80)</f>
        <v>#DIV/0!</v>
      </c>
      <c r="S81" s="167" t="e">
        <f t="shared" si="56"/>
        <v>#DIV/0!</v>
      </c>
      <c r="T81" s="165" t="e">
        <f t="shared" si="56"/>
        <v>#DIV/0!</v>
      </c>
      <c r="U81" s="175" t="e">
        <f t="shared" si="56"/>
        <v>#DIV/0!</v>
      </c>
      <c r="V81" s="176" t="e">
        <f t="shared" si="56"/>
        <v>#DIV/0!</v>
      </c>
      <c r="W81" s="180" t="e">
        <f t="shared" si="56"/>
        <v>#DIV/0!</v>
      </c>
      <c r="X81" s="181" t="e">
        <f t="shared" si="56"/>
        <v>#DIV/0!</v>
      </c>
      <c r="Y81" s="167" t="e">
        <f t="shared" si="56"/>
        <v>#DIV/0!</v>
      </c>
      <c r="Z81" s="165" t="e">
        <f t="shared" si="56"/>
        <v>#DIV/0!</v>
      </c>
      <c r="AA81" s="175" t="e">
        <f t="shared" si="56"/>
        <v>#DIV/0!</v>
      </c>
      <c r="AB81" s="176" t="e">
        <f t="shared" si="56"/>
        <v>#DIV/0!</v>
      </c>
      <c r="AD81" s="166"/>
      <c r="AE81" s="220"/>
    </row>
    <row r="82" spans="1:31" s="12" customFormat="1" ht="31.5" x14ac:dyDescent="0.25">
      <c r="A82" s="213" t="s">
        <v>257</v>
      </c>
      <c r="B82" s="214" t="s">
        <v>260</v>
      </c>
      <c r="C82" s="215" t="s">
        <v>87</v>
      </c>
      <c r="D82" s="216">
        <v>1</v>
      </c>
      <c r="E82" s="215"/>
      <c r="F82" s="215"/>
      <c r="G82" s="215"/>
      <c r="H82" s="219">
        <f>PV!F22</f>
        <v>9.1172000000000003E-2</v>
      </c>
      <c r="I82" s="215"/>
      <c r="J82" s="217"/>
      <c r="K82" s="217"/>
      <c r="L82" s="217" t="e">
        <f>L81*H82</f>
        <v>#DIV/0!</v>
      </c>
      <c r="M82" s="218"/>
      <c r="N82" s="218"/>
      <c r="O82" s="169" t="e">
        <f t="shared" si="41"/>
        <v>#DIV/0!</v>
      </c>
      <c r="Q82" s="170" t="e">
        <f>O82/2</f>
        <v>#DIV/0!</v>
      </c>
      <c r="R82" s="171" t="e">
        <f>L82/2</f>
        <v>#DIV/0!</v>
      </c>
      <c r="S82" s="167" t="e">
        <f>O82/2</f>
        <v>#DIV/0!</v>
      </c>
      <c r="T82" s="165" t="e">
        <f>L82/2</f>
        <v>#DIV/0!</v>
      </c>
      <c r="U82" s="175" t="s">
        <v>194</v>
      </c>
      <c r="V82" s="176" t="s">
        <v>194</v>
      </c>
      <c r="W82" s="180" t="s">
        <v>194</v>
      </c>
      <c r="X82" s="181" t="s">
        <v>194</v>
      </c>
      <c r="Y82" s="167" t="s">
        <v>194</v>
      </c>
      <c r="Z82" s="165" t="s">
        <v>194</v>
      </c>
      <c r="AA82" s="175" t="s">
        <v>194</v>
      </c>
      <c r="AB82" s="176" t="s">
        <v>194</v>
      </c>
      <c r="AD82" s="166"/>
    </row>
    <row r="83" spans="1:31" s="12" customFormat="1" ht="15.75" x14ac:dyDescent="0.25">
      <c r="A83" s="245" t="s">
        <v>246</v>
      </c>
      <c r="B83" s="245"/>
      <c r="C83" s="245"/>
      <c r="D83" s="245"/>
      <c r="E83" s="245"/>
      <c r="F83" s="245"/>
      <c r="G83" s="245"/>
      <c r="H83" s="245"/>
      <c r="I83" s="109"/>
      <c r="J83" s="110"/>
      <c r="K83" s="110"/>
      <c r="L83" s="110" t="e">
        <f>L81+L82</f>
        <v>#DIV/0!</v>
      </c>
      <c r="M83" s="111"/>
      <c r="N83" s="111"/>
      <c r="O83" s="169" t="e">
        <f>L83/$L$83</f>
        <v>#DIV/0!</v>
      </c>
      <c r="Q83" s="170" t="e">
        <f>Q81+Q82</f>
        <v>#DIV/0!</v>
      </c>
      <c r="R83" s="171" t="e">
        <f>R81+R82</f>
        <v>#DIV/0!</v>
      </c>
      <c r="S83" s="167" t="e">
        <f>S81+S82</f>
        <v>#DIV/0!</v>
      </c>
      <c r="T83" s="165" t="e">
        <f>T81+T82</f>
        <v>#DIV/0!</v>
      </c>
      <c r="U83" s="175" t="e">
        <f t="shared" ref="U83:AB83" si="57">U81</f>
        <v>#DIV/0!</v>
      </c>
      <c r="V83" s="176" t="e">
        <f t="shared" si="57"/>
        <v>#DIV/0!</v>
      </c>
      <c r="W83" s="180" t="e">
        <f t="shared" si="57"/>
        <v>#DIV/0!</v>
      </c>
      <c r="X83" s="181" t="e">
        <f t="shared" si="57"/>
        <v>#DIV/0!</v>
      </c>
      <c r="Y83" s="167" t="e">
        <f t="shared" si="57"/>
        <v>#DIV/0!</v>
      </c>
      <c r="Z83" s="165" t="e">
        <f t="shared" si="57"/>
        <v>#DIV/0!</v>
      </c>
      <c r="AA83" s="175" t="e">
        <f t="shared" si="57"/>
        <v>#DIV/0!</v>
      </c>
      <c r="AB83" s="176" t="e">
        <f t="shared" si="57"/>
        <v>#DIV/0!</v>
      </c>
      <c r="AD83" s="166"/>
      <c r="AE83" s="220"/>
    </row>
    <row r="84" spans="1:31" s="12" customFormat="1" ht="12.75" customHeight="1" x14ac:dyDescent="0.25">
      <c r="A84" s="246" t="s">
        <v>127</v>
      </c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R84" s="223"/>
      <c r="T84" s="223"/>
      <c r="U84" s="229"/>
      <c r="V84" s="230"/>
      <c r="W84" s="235"/>
      <c r="X84" s="236"/>
      <c r="Z84" s="223"/>
      <c r="AA84" s="229"/>
      <c r="AB84" s="230"/>
    </row>
    <row r="85" spans="1:31" s="12" customFormat="1" ht="12.75" customHeight="1" x14ac:dyDescent="0.25">
      <c r="A85" s="244" t="s">
        <v>128</v>
      </c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R85" s="223"/>
      <c r="T85" s="223"/>
      <c r="U85" s="229"/>
      <c r="V85" s="230"/>
      <c r="W85" s="235"/>
      <c r="X85" s="236"/>
      <c r="Z85" s="223"/>
      <c r="AA85" s="229"/>
      <c r="AB85" s="230"/>
    </row>
    <row r="86" spans="1:31" s="12" customFormat="1" ht="12.75" customHeight="1" x14ac:dyDescent="0.25">
      <c r="A86" s="253" t="s">
        <v>129</v>
      </c>
      <c r="B86" s="253"/>
      <c r="C86" s="253"/>
      <c r="D86" s="253"/>
      <c r="E86" s="253"/>
      <c r="F86" s="253"/>
      <c r="G86" s="253"/>
      <c r="H86" s="253"/>
      <c r="I86" s="253"/>
      <c r="J86" s="253"/>
      <c r="K86" s="253"/>
      <c r="L86" s="253"/>
      <c r="M86" s="253"/>
      <c r="N86" s="253"/>
      <c r="O86" s="253"/>
      <c r="R86" s="223"/>
      <c r="T86" s="223"/>
      <c r="U86" s="229"/>
      <c r="V86" s="230"/>
      <c r="W86" s="235"/>
      <c r="X86" s="236"/>
      <c r="Z86" s="223"/>
      <c r="AA86" s="229"/>
      <c r="AB86" s="230"/>
    </row>
    <row r="87" spans="1:31" ht="12.75" customHeight="1" x14ac:dyDescent="0.25">
      <c r="A87" s="244" t="s">
        <v>130</v>
      </c>
      <c r="B87" s="244"/>
      <c r="C87" s="244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</row>
    <row r="88" spans="1:31" x14ac:dyDescent="0.25">
      <c r="A88" s="244" t="s">
        <v>131</v>
      </c>
      <c r="B88" s="244"/>
      <c r="C88" s="244"/>
      <c r="D88" s="244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</row>
    <row r="91" spans="1:31" x14ac:dyDescent="0.25">
      <c r="O91" s="184"/>
    </row>
  </sheetData>
  <mergeCells count="17">
    <mergeCell ref="AA4:AB4"/>
    <mergeCell ref="Q4:R4"/>
    <mergeCell ref="S4:T4"/>
    <mergeCell ref="U4:V4"/>
    <mergeCell ref="W4:X4"/>
    <mergeCell ref="Y4:Z4"/>
    <mergeCell ref="E3:G3"/>
    <mergeCell ref="A88:O88"/>
    <mergeCell ref="A81:H81"/>
    <mergeCell ref="A84:O84"/>
    <mergeCell ref="A85:O85"/>
    <mergeCell ref="A51:K51"/>
    <mergeCell ref="A65:K65"/>
    <mergeCell ref="A67:K67"/>
    <mergeCell ref="A86:O86"/>
    <mergeCell ref="A87:O87"/>
    <mergeCell ref="A83:H83"/>
  </mergeCells>
  <phoneticPr fontId="20" type="noConversion"/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ignoredErrors>
    <ignoredError sqref="H57:I57 J57 L5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90C60-7E15-4AFC-AF88-839E1386830E}">
  <dimension ref="A1:V51"/>
  <sheetViews>
    <sheetView tabSelected="1" topLeftCell="A14" zoomScale="85" zoomScaleNormal="85" workbookViewId="0">
      <selection activeCell="G15" sqref="G15"/>
    </sheetView>
  </sheetViews>
  <sheetFormatPr defaultRowHeight="15" x14ac:dyDescent="0.25"/>
  <cols>
    <col min="1" max="1" width="3.85546875" customWidth="1"/>
    <col min="3" max="3" width="38.85546875" customWidth="1"/>
    <col min="4" max="4" width="12.42578125" customWidth="1"/>
    <col min="5" max="5" width="18" customWidth="1"/>
    <col min="6" max="6" width="13.140625" bestFit="1" customWidth="1"/>
    <col min="7" max="7" width="12.5703125" customWidth="1"/>
    <col min="260" max="260" width="25.28515625" bestFit="1" customWidth="1"/>
    <col min="516" max="516" width="25.28515625" bestFit="1" customWidth="1"/>
    <col min="772" max="772" width="25.28515625" bestFit="1" customWidth="1"/>
    <col min="1028" max="1028" width="25.28515625" bestFit="1" customWidth="1"/>
    <col min="1284" max="1284" width="25.28515625" bestFit="1" customWidth="1"/>
    <col min="1540" max="1540" width="25.28515625" bestFit="1" customWidth="1"/>
    <col min="1796" max="1796" width="25.28515625" bestFit="1" customWidth="1"/>
    <col min="2052" max="2052" width="25.28515625" bestFit="1" customWidth="1"/>
    <col min="2308" max="2308" width="25.28515625" bestFit="1" customWidth="1"/>
    <col min="2564" max="2564" width="25.28515625" bestFit="1" customWidth="1"/>
    <col min="2820" max="2820" width="25.28515625" bestFit="1" customWidth="1"/>
    <col min="3076" max="3076" width="25.28515625" bestFit="1" customWidth="1"/>
    <col min="3332" max="3332" width="25.28515625" bestFit="1" customWidth="1"/>
    <col min="3588" max="3588" width="25.28515625" bestFit="1" customWidth="1"/>
    <col min="3844" max="3844" width="25.28515625" bestFit="1" customWidth="1"/>
    <col min="4100" max="4100" width="25.28515625" bestFit="1" customWidth="1"/>
    <col min="4356" max="4356" width="25.28515625" bestFit="1" customWidth="1"/>
    <col min="4612" max="4612" width="25.28515625" bestFit="1" customWidth="1"/>
    <col min="4868" max="4868" width="25.28515625" bestFit="1" customWidth="1"/>
    <col min="5124" max="5124" width="25.28515625" bestFit="1" customWidth="1"/>
    <col min="5380" max="5380" width="25.28515625" bestFit="1" customWidth="1"/>
    <col min="5636" max="5636" width="25.28515625" bestFit="1" customWidth="1"/>
    <col min="5892" max="5892" width="25.28515625" bestFit="1" customWidth="1"/>
    <col min="6148" max="6148" width="25.28515625" bestFit="1" customWidth="1"/>
    <col min="6404" max="6404" width="25.28515625" bestFit="1" customWidth="1"/>
    <col min="6660" max="6660" width="25.28515625" bestFit="1" customWidth="1"/>
    <col min="6916" max="6916" width="25.28515625" bestFit="1" customWidth="1"/>
    <col min="7172" max="7172" width="25.28515625" bestFit="1" customWidth="1"/>
    <col min="7428" max="7428" width="25.28515625" bestFit="1" customWidth="1"/>
    <col min="7684" max="7684" width="25.28515625" bestFit="1" customWidth="1"/>
    <col min="7940" max="7940" width="25.28515625" bestFit="1" customWidth="1"/>
    <col min="8196" max="8196" width="25.28515625" bestFit="1" customWidth="1"/>
    <col min="8452" max="8452" width="25.28515625" bestFit="1" customWidth="1"/>
    <col min="8708" max="8708" width="25.28515625" bestFit="1" customWidth="1"/>
    <col min="8964" max="8964" width="25.28515625" bestFit="1" customWidth="1"/>
    <col min="9220" max="9220" width="25.28515625" bestFit="1" customWidth="1"/>
    <col min="9476" max="9476" width="25.28515625" bestFit="1" customWidth="1"/>
    <col min="9732" max="9732" width="25.28515625" bestFit="1" customWidth="1"/>
    <col min="9988" max="9988" width="25.28515625" bestFit="1" customWidth="1"/>
    <col min="10244" max="10244" width="25.28515625" bestFit="1" customWidth="1"/>
    <col min="10500" max="10500" width="25.28515625" bestFit="1" customWidth="1"/>
    <col min="10756" max="10756" width="25.28515625" bestFit="1" customWidth="1"/>
    <col min="11012" max="11012" width="25.28515625" bestFit="1" customWidth="1"/>
    <col min="11268" max="11268" width="25.28515625" bestFit="1" customWidth="1"/>
    <col min="11524" max="11524" width="25.28515625" bestFit="1" customWidth="1"/>
    <col min="11780" max="11780" width="25.28515625" bestFit="1" customWidth="1"/>
    <col min="12036" max="12036" width="25.28515625" bestFit="1" customWidth="1"/>
    <col min="12292" max="12292" width="25.28515625" bestFit="1" customWidth="1"/>
    <col min="12548" max="12548" width="25.28515625" bestFit="1" customWidth="1"/>
    <col min="12804" max="12804" width="25.28515625" bestFit="1" customWidth="1"/>
    <col min="13060" max="13060" width="25.28515625" bestFit="1" customWidth="1"/>
    <col min="13316" max="13316" width="25.28515625" bestFit="1" customWidth="1"/>
    <col min="13572" max="13572" width="25.28515625" bestFit="1" customWidth="1"/>
    <col min="13828" max="13828" width="25.28515625" bestFit="1" customWidth="1"/>
    <col min="14084" max="14084" width="25.28515625" bestFit="1" customWidth="1"/>
    <col min="14340" max="14340" width="25.28515625" bestFit="1" customWidth="1"/>
    <col min="14596" max="14596" width="25.28515625" bestFit="1" customWidth="1"/>
    <col min="14852" max="14852" width="25.28515625" bestFit="1" customWidth="1"/>
    <col min="15108" max="15108" width="25.28515625" bestFit="1" customWidth="1"/>
    <col min="15364" max="15364" width="25.28515625" bestFit="1" customWidth="1"/>
    <col min="15620" max="15620" width="25.28515625" bestFit="1" customWidth="1"/>
    <col min="15876" max="15876" width="25.28515625" bestFit="1" customWidth="1"/>
    <col min="16132" max="16132" width="25.28515625" bestFit="1" customWidth="1"/>
  </cols>
  <sheetData>
    <row r="1" spans="1:21" s="203" customFormat="1" x14ac:dyDescent="0.25">
      <c r="B1" s="269" t="s">
        <v>221</v>
      </c>
      <c r="C1" s="269"/>
      <c r="D1" s="269"/>
      <c r="E1" s="269"/>
      <c r="F1" s="269"/>
      <c r="G1" s="269"/>
      <c r="H1" s="200"/>
      <c r="I1" s="201"/>
      <c r="J1" s="201"/>
      <c r="K1" s="202"/>
      <c r="L1" s="201"/>
      <c r="M1" s="201"/>
      <c r="N1" s="201"/>
      <c r="O1" s="201"/>
      <c r="P1" s="201"/>
      <c r="Q1" s="201"/>
      <c r="R1" s="201"/>
      <c r="S1" s="199"/>
    </row>
    <row r="2" spans="1:21" s="203" customFormat="1" ht="33" customHeight="1" x14ac:dyDescent="0.25">
      <c r="B2" s="268" t="s">
        <v>255</v>
      </c>
      <c r="C2" s="268"/>
      <c r="D2" s="268"/>
      <c r="E2" s="268"/>
      <c r="F2" s="268"/>
      <c r="G2" s="268"/>
      <c r="H2" s="242"/>
      <c r="I2" s="242"/>
      <c r="J2" s="242"/>
      <c r="K2" s="242"/>
      <c r="L2" s="242"/>
      <c r="M2" s="201"/>
      <c r="N2" s="201"/>
      <c r="O2" s="201"/>
      <c r="P2" s="201"/>
      <c r="Q2" s="201"/>
      <c r="R2" s="201"/>
      <c r="S2" s="199"/>
    </row>
    <row r="3" spans="1:21" s="203" customFormat="1" x14ac:dyDescent="0.25">
      <c r="B3" s="269" t="s">
        <v>234</v>
      </c>
      <c r="C3" s="269"/>
      <c r="D3" s="270">
        <v>730</v>
      </c>
      <c r="E3" s="270"/>
      <c r="F3" s="270"/>
      <c r="G3" s="270"/>
      <c r="H3" s="199"/>
      <c r="I3" s="199"/>
      <c r="J3" s="199"/>
      <c r="K3" s="199"/>
      <c r="L3" s="199"/>
      <c r="M3" s="201"/>
      <c r="N3" s="201"/>
      <c r="O3" s="201"/>
      <c r="P3" s="201"/>
      <c r="Q3" s="201"/>
      <c r="R3" s="201"/>
      <c r="S3" s="199"/>
    </row>
    <row r="4" spans="1:21" s="196" customFormat="1" ht="16.5" thickBot="1" x14ac:dyDescent="0.3">
      <c r="A4" s="195"/>
      <c r="C4" s="195"/>
      <c r="D4" s="197"/>
      <c r="E4" s="197"/>
      <c r="F4" s="197"/>
      <c r="G4" s="197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5"/>
    </row>
    <row r="5" spans="1:21" ht="15" customHeight="1" x14ac:dyDescent="0.25">
      <c r="B5" s="276" t="s">
        <v>258</v>
      </c>
      <c r="C5" s="277"/>
      <c r="D5" s="277"/>
      <c r="E5" s="277"/>
      <c r="F5" s="277"/>
      <c r="G5" s="278"/>
    </row>
    <row r="6" spans="1:21" x14ac:dyDescent="0.25">
      <c r="B6" s="279"/>
      <c r="C6" s="280"/>
      <c r="D6" s="280"/>
      <c r="E6" s="280"/>
      <c r="F6" s="280"/>
      <c r="G6" s="281"/>
    </row>
    <row r="7" spans="1:21" ht="15" customHeight="1" x14ac:dyDescent="0.25">
      <c r="B7" s="282" t="s">
        <v>3</v>
      </c>
      <c r="C7" s="274" t="s">
        <v>133</v>
      </c>
      <c r="D7" s="274" t="s">
        <v>218</v>
      </c>
      <c r="E7" s="274" t="s">
        <v>200</v>
      </c>
      <c r="F7" s="284" t="s">
        <v>135</v>
      </c>
      <c r="G7" s="285"/>
    </row>
    <row r="8" spans="1:21" x14ac:dyDescent="0.25">
      <c r="B8" s="283"/>
      <c r="C8" s="275"/>
      <c r="D8" s="275"/>
      <c r="E8" s="275"/>
      <c r="F8" s="286"/>
      <c r="G8" s="287"/>
    </row>
    <row r="9" spans="1:21" x14ac:dyDescent="0.25">
      <c r="B9" s="204">
        <v>1</v>
      </c>
      <c r="C9" s="205" t="s">
        <v>217</v>
      </c>
      <c r="D9" s="189" t="s">
        <v>192</v>
      </c>
      <c r="E9" s="189" t="s">
        <v>201</v>
      </c>
      <c r="F9" s="209">
        <f>G10-((G10-G11)*(G12-G13)/(G14-G13))</f>
        <v>9.1172000000000003E-2</v>
      </c>
      <c r="G9" s="193"/>
      <c r="T9" s="53"/>
      <c r="U9" s="53"/>
    </row>
    <row r="10" spans="1:21" x14ac:dyDescent="0.25">
      <c r="B10" s="191" t="s">
        <v>12</v>
      </c>
      <c r="C10" s="190" t="s">
        <v>202</v>
      </c>
      <c r="D10" s="189" t="s">
        <v>192</v>
      </c>
      <c r="E10" s="189" t="s">
        <v>204</v>
      </c>
      <c r="F10" s="194"/>
      <c r="G10" s="188">
        <v>9.6600000000000005E-2</v>
      </c>
      <c r="T10" s="53"/>
      <c r="U10" s="53"/>
    </row>
    <row r="11" spans="1:21" x14ac:dyDescent="0.25">
      <c r="B11" s="191" t="s">
        <v>44</v>
      </c>
      <c r="C11" s="190" t="s">
        <v>203</v>
      </c>
      <c r="D11" s="189" t="s">
        <v>192</v>
      </c>
      <c r="E11" s="189" t="s">
        <v>205</v>
      </c>
      <c r="F11" s="192"/>
      <c r="G11" s="188">
        <v>8.48E-2</v>
      </c>
      <c r="T11" s="53"/>
      <c r="U11" s="53"/>
    </row>
    <row r="12" spans="1:21" x14ac:dyDescent="0.25">
      <c r="B12" s="191" t="s">
        <v>206</v>
      </c>
      <c r="C12" s="190" t="s">
        <v>210</v>
      </c>
      <c r="D12" s="189" t="s">
        <v>219</v>
      </c>
      <c r="E12" s="189" t="s">
        <v>214</v>
      </c>
      <c r="F12" s="194"/>
      <c r="G12" s="208">
        <f>D3</f>
        <v>730</v>
      </c>
    </row>
    <row r="13" spans="1:21" x14ac:dyDescent="0.25">
      <c r="B13" s="191" t="s">
        <v>207</v>
      </c>
      <c r="C13" s="190" t="s">
        <v>208</v>
      </c>
      <c r="D13" s="189" t="s">
        <v>219</v>
      </c>
      <c r="E13" s="189" t="s">
        <v>215</v>
      </c>
      <c r="F13" s="192"/>
      <c r="G13" s="206">
        <v>500</v>
      </c>
    </row>
    <row r="14" spans="1:21" x14ac:dyDescent="0.25">
      <c r="B14" s="191" t="s">
        <v>211</v>
      </c>
      <c r="C14" s="190" t="s">
        <v>209</v>
      </c>
      <c r="D14" s="189" t="s">
        <v>219</v>
      </c>
      <c r="E14" s="189" t="s">
        <v>216</v>
      </c>
      <c r="F14" s="194"/>
      <c r="G14" s="206">
        <v>1000</v>
      </c>
    </row>
    <row r="15" spans="1:21" x14ac:dyDescent="0.25">
      <c r="B15" s="191">
        <v>2</v>
      </c>
      <c r="C15" s="211" t="s">
        <v>251</v>
      </c>
      <c r="D15" s="189" t="s">
        <v>224</v>
      </c>
      <c r="E15" s="189" t="s">
        <v>220</v>
      </c>
      <c r="F15" s="194"/>
      <c r="G15" s="212"/>
    </row>
    <row r="16" spans="1:21" ht="25.5" x14ac:dyDescent="0.25">
      <c r="B16" s="191">
        <v>3</v>
      </c>
      <c r="C16" s="211" t="s">
        <v>250</v>
      </c>
      <c r="D16" s="189" t="s">
        <v>233</v>
      </c>
      <c r="E16" s="189" t="s">
        <v>145</v>
      </c>
      <c r="F16" s="210">
        <f>F17/G12</f>
        <v>1</v>
      </c>
      <c r="G16" s="193"/>
    </row>
    <row r="17" spans="2:7" x14ac:dyDescent="0.25">
      <c r="B17" s="191" t="s">
        <v>72</v>
      </c>
      <c r="C17" s="190" t="s">
        <v>225</v>
      </c>
      <c r="D17" s="189" t="s">
        <v>219</v>
      </c>
      <c r="E17" s="189" t="s">
        <v>226</v>
      </c>
      <c r="F17" s="210">
        <f>G12+(G19*G20)</f>
        <v>730</v>
      </c>
      <c r="G17" s="193"/>
    </row>
    <row r="18" spans="2:7" x14ac:dyDescent="0.25">
      <c r="B18" s="191" t="s">
        <v>143</v>
      </c>
      <c r="C18" s="190" t="s">
        <v>227</v>
      </c>
      <c r="D18" s="189" t="s">
        <v>219</v>
      </c>
      <c r="E18" s="189" t="s">
        <v>229</v>
      </c>
      <c r="F18" s="194"/>
      <c r="G18" s="207">
        <f>G12</f>
        <v>730</v>
      </c>
    </row>
    <row r="19" spans="2:7" x14ac:dyDescent="0.25">
      <c r="B19" s="191" t="s">
        <v>248</v>
      </c>
      <c r="C19" s="190" t="s">
        <v>228</v>
      </c>
      <c r="D19" s="189" t="s">
        <v>219</v>
      </c>
      <c r="E19" s="189" t="s">
        <v>230</v>
      </c>
      <c r="F19" s="194"/>
      <c r="G19" s="206">
        <v>0</v>
      </c>
    </row>
    <row r="20" spans="2:7" x14ac:dyDescent="0.25">
      <c r="B20" s="191" t="s">
        <v>249</v>
      </c>
      <c r="C20" s="190" t="s">
        <v>231</v>
      </c>
      <c r="D20" s="189" t="s">
        <v>192</v>
      </c>
      <c r="E20" s="189" t="s">
        <v>232</v>
      </c>
      <c r="F20" s="192"/>
      <c r="G20" s="188">
        <v>1</v>
      </c>
    </row>
    <row r="21" spans="2:7" ht="15.75" thickBot="1" x14ac:dyDescent="0.3">
      <c r="B21" s="57"/>
      <c r="C21" s="58"/>
      <c r="D21" s="58"/>
      <c r="E21" s="58"/>
      <c r="F21" s="58"/>
      <c r="G21" s="59"/>
    </row>
    <row r="22" spans="2:7" ht="16.5" customHeight="1" thickBot="1" x14ac:dyDescent="0.3">
      <c r="B22" s="271" t="s">
        <v>259</v>
      </c>
      <c r="C22" s="272"/>
      <c r="D22" s="272"/>
      <c r="E22" s="273"/>
      <c r="F22" s="262">
        <f>(F9*F16)</f>
        <v>9.1172000000000003E-2</v>
      </c>
      <c r="G22" s="263"/>
    </row>
    <row r="23" spans="2:7" x14ac:dyDescent="0.25">
      <c r="B23" s="84" t="s">
        <v>199</v>
      </c>
      <c r="C23" s="63"/>
      <c r="D23" s="63"/>
      <c r="E23" s="63"/>
      <c r="F23" s="64">
        <v>0.85</v>
      </c>
      <c r="G23" s="65"/>
    </row>
    <row r="24" spans="2:7" x14ac:dyDescent="0.25">
      <c r="B24" s="66"/>
      <c r="C24" s="67"/>
      <c r="D24" s="67"/>
      <c r="E24" s="63"/>
      <c r="F24" s="68"/>
      <c r="G24" s="65"/>
    </row>
    <row r="25" spans="2:7" x14ac:dyDescent="0.25">
      <c r="B25" s="66"/>
      <c r="C25" s="63"/>
      <c r="D25" s="63"/>
      <c r="E25" s="63"/>
      <c r="F25" s="63"/>
      <c r="G25" s="65"/>
    </row>
    <row r="26" spans="2:7" x14ac:dyDescent="0.25">
      <c r="B26" s="66"/>
      <c r="C26" s="63"/>
      <c r="D26" s="63"/>
      <c r="E26" s="63"/>
      <c r="F26" s="63"/>
      <c r="G26" s="65"/>
    </row>
    <row r="27" spans="2:7" x14ac:dyDescent="0.25">
      <c r="B27" s="66"/>
      <c r="C27" s="63"/>
      <c r="D27" s="63"/>
      <c r="E27" s="63"/>
      <c r="F27" s="63"/>
      <c r="G27" s="65"/>
    </row>
    <row r="28" spans="2:7" x14ac:dyDescent="0.25">
      <c r="B28" s="84" t="s">
        <v>198</v>
      </c>
      <c r="C28" s="63"/>
      <c r="D28" s="63"/>
      <c r="E28" s="63"/>
      <c r="F28" s="63"/>
      <c r="G28" s="65"/>
    </row>
    <row r="29" spans="2:7" x14ac:dyDescent="0.25">
      <c r="B29" s="66"/>
      <c r="C29" s="63"/>
      <c r="D29" s="63"/>
      <c r="E29" s="63"/>
      <c r="F29" s="63"/>
      <c r="G29" s="65"/>
    </row>
    <row r="30" spans="2:7" x14ac:dyDescent="0.25">
      <c r="B30" s="66"/>
      <c r="C30" s="63"/>
      <c r="D30" s="63"/>
      <c r="E30" s="63"/>
      <c r="F30" s="63"/>
      <c r="G30" s="65"/>
    </row>
    <row r="31" spans="2:7" x14ac:dyDescent="0.25">
      <c r="B31" s="66"/>
      <c r="C31" s="63"/>
      <c r="D31" s="63"/>
      <c r="E31" s="63"/>
      <c r="F31" s="63"/>
      <c r="G31" s="65"/>
    </row>
    <row r="32" spans="2:7" x14ac:dyDescent="0.25">
      <c r="B32" s="66"/>
      <c r="C32" s="63"/>
      <c r="D32" s="63"/>
      <c r="E32" s="63"/>
      <c r="F32" s="63"/>
      <c r="G32" s="65"/>
    </row>
    <row r="33" spans="2:22" x14ac:dyDescent="0.25">
      <c r="B33" s="84" t="s">
        <v>223</v>
      </c>
      <c r="C33" s="63"/>
      <c r="D33" s="63"/>
      <c r="E33" s="63"/>
      <c r="F33" s="63"/>
      <c r="G33" s="65"/>
    </row>
    <row r="34" spans="2:22" x14ac:dyDescent="0.25">
      <c r="B34" s="66"/>
      <c r="C34" s="63"/>
      <c r="D34" s="63"/>
      <c r="E34" s="63"/>
      <c r="F34" s="63"/>
      <c r="G34" s="65"/>
    </row>
    <row r="35" spans="2:22" x14ac:dyDescent="0.25">
      <c r="B35" s="66"/>
      <c r="C35" s="63"/>
      <c r="D35" s="63"/>
      <c r="E35" s="63"/>
      <c r="F35" s="63"/>
      <c r="G35" s="65"/>
    </row>
    <row r="36" spans="2:22" x14ac:dyDescent="0.25">
      <c r="B36" s="66"/>
      <c r="C36" s="63"/>
      <c r="D36" s="63"/>
      <c r="E36" s="63"/>
      <c r="F36" s="63"/>
      <c r="G36" s="65"/>
    </row>
    <row r="37" spans="2:22" x14ac:dyDescent="0.25">
      <c r="B37" s="84"/>
      <c r="C37" s="63"/>
      <c r="D37" s="63"/>
      <c r="E37" s="63"/>
      <c r="F37" s="63"/>
      <c r="G37" s="65"/>
    </row>
    <row r="38" spans="2:22" x14ac:dyDescent="0.25">
      <c r="B38" s="66"/>
      <c r="C38" s="63"/>
      <c r="D38" s="63"/>
      <c r="E38" s="63"/>
      <c r="F38" s="63"/>
      <c r="G38" s="65"/>
    </row>
    <row r="39" spans="2:22" x14ac:dyDescent="0.25">
      <c r="B39" s="66"/>
      <c r="C39" s="63"/>
      <c r="D39" s="63"/>
      <c r="E39" s="63"/>
      <c r="F39" s="63"/>
      <c r="G39" s="65"/>
    </row>
    <row r="40" spans="2:22" x14ac:dyDescent="0.25">
      <c r="B40" s="66"/>
      <c r="C40" s="63"/>
      <c r="D40" s="63"/>
      <c r="E40" s="63"/>
      <c r="F40" s="63"/>
      <c r="G40" s="65"/>
    </row>
    <row r="41" spans="2:22" x14ac:dyDescent="0.25">
      <c r="B41" s="66"/>
      <c r="C41" s="63"/>
      <c r="D41" s="63"/>
      <c r="E41" s="63"/>
      <c r="F41" s="63"/>
      <c r="G41" s="65"/>
    </row>
    <row r="42" spans="2:22" ht="15.75" thickBot="1" x14ac:dyDescent="0.3">
      <c r="B42" s="69"/>
      <c r="C42" s="70"/>
      <c r="D42" s="70"/>
      <c r="E42" s="70"/>
      <c r="F42" s="70"/>
      <c r="G42" s="71"/>
    </row>
    <row r="44" spans="2:22" ht="36.75" customHeight="1" x14ac:dyDescent="0.25">
      <c r="B44" s="265" t="s">
        <v>247</v>
      </c>
      <c r="C44" s="266"/>
      <c r="D44" s="266"/>
      <c r="E44" s="266"/>
      <c r="F44" s="266"/>
      <c r="G44" s="267"/>
    </row>
    <row r="46" spans="2:22" x14ac:dyDescent="0.25">
      <c r="B46" s="72" t="s">
        <v>158</v>
      </c>
    </row>
    <row r="47" spans="2:22" ht="25.5" customHeight="1" x14ac:dyDescent="0.25">
      <c r="B47" s="264" t="s">
        <v>256</v>
      </c>
      <c r="C47" s="264"/>
      <c r="D47" s="264"/>
      <c r="E47" s="264"/>
      <c r="F47" s="264"/>
      <c r="G47" s="264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</row>
    <row r="48" spans="2:22" x14ac:dyDescent="0.25">
      <c r="B48" s="241" t="s">
        <v>222</v>
      </c>
      <c r="C48" s="241"/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187"/>
      <c r="Q48" s="187"/>
      <c r="R48" s="187"/>
      <c r="S48" s="187"/>
      <c r="T48" s="187"/>
      <c r="U48" s="187"/>
      <c r="V48" s="187"/>
    </row>
    <row r="49" spans="2:22" x14ac:dyDescent="0.25">
      <c r="B49" s="241" t="s">
        <v>252</v>
      </c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187"/>
      <c r="Q49" s="187"/>
      <c r="R49" s="187"/>
      <c r="S49" s="187"/>
      <c r="T49" s="187"/>
      <c r="U49" s="187"/>
      <c r="V49" s="187"/>
    </row>
    <row r="50" spans="2:22" x14ac:dyDescent="0.25">
      <c r="B50" s="241" t="s">
        <v>253</v>
      </c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187"/>
      <c r="Q50" s="187"/>
      <c r="R50" s="187"/>
      <c r="S50" s="187"/>
      <c r="T50" s="187"/>
      <c r="U50" s="187"/>
      <c r="V50" s="187"/>
    </row>
    <row r="51" spans="2:22" x14ac:dyDescent="0.25">
      <c r="B51" s="241" t="s">
        <v>254</v>
      </c>
      <c r="C51" s="241"/>
      <c r="D51" s="241"/>
      <c r="E51" s="241"/>
      <c r="F51" s="241"/>
      <c r="G51" s="241"/>
      <c r="H51" s="241"/>
      <c r="I51" s="241"/>
      <c r="J51" s="241"/>
      <c r="K51" s="241"/>
      <c r="L51" s="241"/>
      <c r="M51" s="241"/>
      <c r="N51" s="241"/>
      <c r="O51" s="241"/>
      <c r="P51" s="187"/>
      <c r="Q51" s="187"/>
      <c r="R51" s="187"/>
      <c r="S51" s="187"/>
      <c r="T51" s="187"/>
      <c r="U51" s="187"/>
      <c r="V51" s="187"/>
    </row>
  </sheetData>
  <mergeCells count="14">
    <mergeCell ref="F22:G22"/>
    <mergeCell ref="B47:G47"/>
    <mergeCell ref="B44:G44"/>
    <mergeCell ref="B2:G2"/>
    <mergeCell ref="B1:G1"/>
    <mergeCell ref="B3:C3"/>
    <mergeCell ref="D3:G3"/>
    <mergeCell ref="B22:E22"/>
    <mergeCell ref="D7:D8"/>
    <mergeCell ref="B5:G6"/>
    <mergeCell ref="B7:B8"/>
    <mergeCell ref="C7:C8"/>
    <mergeCell ref="E7:E8"/>
    <mergeCell ref="F7:G8"/>
  </mergeCells>
  <phoneticPr fontId="20" type="noConversion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A360A-9B23-4095-B507-E3FD89775E90}">
  <dimension ref="B1:T39"/>
  <sheetViews>
    <sheetView topLeftCell="A12" workbookViewId="0">
      <selection activeCell="G44" sqref="G44"/>
    </sheetView>
  </sheetViews>
  <sheetFormatPr defaultRowHeight="15" x14ac:dyDescent="0.25"/>
  <cols>
    <col min="1" max="1" width="3.85546875" customWidth="1"/>
    <col min="3" max="3" width="25.28515625" bestFit="1" customWidth="1"/>
    <col min="4" max="4" width="11.7109375" customWidth="1"/>
    <col min="259" max="259" width="25.28515625" bestFit="1" customWidth="1"/>
    <col min="515" max="515" width="25.28515625" bestFit="1" customWidth="1"/>
    <col min="771" max="771" width="25.28515625" bestFit="1" customWidth="1"/>
    <col min="1027" max="1027" width="25.28515625" bestFit="1" customWidth="1"/>
    <col min="1283" max="1283" width="25.28515625" bestFit="1" customWidth="1"/>
    <col min="1539" max="1539" width="25.28515625" bestFit="1" customWidth="1"/>
    <col min="1795" max="1795" width="25.28515625" bestFit="1" customWidth="1"/>
    <col min="2051" max="2051" width="25.28515625" bestFit="1" customWidth="1"/>
    <col min="2307" max="2307" width="25.28515625" bestFit="1" customWidth="1"/>
    <col min="2563" max="2563" width="25.28515625" bestFit="1" customWidth="1"/>
    <col min="2819" max="2819" width="25.28515625" bestFit="1" customWidth="1"/>
    <col min="3075" max="3075" width="25.28515625" bestFit="1" customWidth="1"/>
    <col min="3331" max="3331" width="25.28515625" bestFit="1" customWidth="1"/>
    <col min="3587" max="3587" width="25.28515625" bestFit="1" customWidth="1"/>
    <col min="3843" max="3843" width="25.28515625" bestFit="1" customWidth="1"/>
    <col min="4099" max="4099" width="25.28515625" bestFit="1" customWidth="1"/>
    <col min="4355" max="4355" width="25.28515625" bestFit="1" customWidth="1"/>
    <col min="4611" max="4611" width="25.28515625" bestFit="1" customWidth="1"/>
    <col min="4867" max="4867" width="25.28515625" bestFit="1" customWidth="1"/>
    <col min="5123" max="5123" width="25.28515625" bestFit="1" customWidth="1"/>
    <col min="5379" max="5379" width="25.28515625" bestFit="1" customWidth="1"/>
    <col min="5635" max="5635" width="25.28515625" bestFit="1" customWidth="1"/>
    <col min="5891" max="5891" width="25.28515625" bestFit="1" customWidth="1"/>
    <col min="6147" max="6147" width="25.28515625" bestFit="1" customWidth="1"/>
    <col min="6403" max="6403" width="25.28515625" bestFit="1" customWidth="1"/>
    <col min="6659" max="6659" width="25.28515625" bestFit="1" customWidth="1"/>
    <col min="6915" max="6915" width="25.28515625" bestFit="1" customWidth="1"/>
    <col min="7171" max="7171" width="25.28515625" bestFit="1" customWidth="1"/>
    <col min="7427" max="7427" width="25.28515625" bestFit="1" customWidth="1"/>
    <col min="7683" max="7683" width="25.28515625" bestFit="1" customWidth="1"/>
    <col min="7939" max="7939" width="25.28515625" bestFit="1" customWidth="1"/>
    <col min="8195" max="8195" width="25.28515625" bestFit="1" customWidth="1"/>
    <col min="8451" max="8451" width="25.28515625" bestFit="1" customWidth="1"/>
    <col min="8707" max="8707" width="25.28515625" bestFit="1" customWidth="1"/>
    <col min="8963" max="8963" width="25.28515625" bestFit="1" customWidth="1"/>
    <col min="9219" max="9219" width="25.28515625" bestFit="1" customWidth="1"/>
    <col min="9475" max="9475" width="25.28515625" bestFit="1" customWidth="1"/>
    <col min="9731" max="9731" width="25.28515625" bestFit="1" customWidth="1"/>
    <col min="9987" max="9987" width="25.28515625" bestFit="1" customWidth="1"/>
    <col min="10243" max="10243" width="25.28515625" bestFit="1" customWidth="1"/>
    <col min="10499" max="10499" width="25.28515625" bestFit="1" customWidth="1"/>
    <col min="10755" max="10755" width="25.28515625" bestFit="1" customWidth="1"/>
    <col min="11011" max="11011" width="25.28515625" bestFit="1" customWidth="1"/>
    <col min="11267" max="11267" width="25.28515625" bestFit="1" customWidth="1"/>
    <col min="11523" max="11523" width="25.28515625" bestFit="1" customWidth="1"/>
    <col min="11779" max="11779" width="25.28515625" bestFit="1" customWidth="1"/>
    <col min="12035" max="12035" width="25.28515625" bestFit="1" customWidth="1"/>
    <col min="12291" max="12291" width="25.28515625" bestFit="1" customWidth="1"/>
    <col min="12547" max="12547" width="25.28515625" bestFit="1" customWidth="1"/>
    <col min="12803" max="12803" width="25.28515625" bestFit="1" customWidth="1"/>
    <col min="13059" max="13059" width="25.28515625" bestFit="1" customWidth="1"/>
    <col min="13315" max="13315" width="25.28515625" bestFit="1" customWidth="1"/>
    <col min="13571" max="13571" width="25.28515625" bestFit="1" customWidth="1"/>
    <col min="13827" max="13827" width="25.28515625" bestFit="1" customWidth="1"/>
    <col min="14083" max="14083" width="25.28515625" bestFit="1" customWidth="1"/>
    <col min="14339" max="14339" width="25.28515625" bestFit="1" customWidth="1"/>
    <col min="14595" max="14595" width="25.28515625" bestFit="1" customWidth="1"/>
    <col min="14851" max="14851" width="25.28515625" bestFit="1" customWidth="1"/>
    <col min="15107" max="15107" width="25.28515625" bestFit="1" customWidth="1"/>
    <col min="15363" max="15363" width="25.28515625" bestFit="1" customWidth="1"/>
    <col min="15619" max="15619" width="25.28515625" bestFit="1" customWidth="1"/>
    <col min="15875" max="15875" width="25.28515625" bestFit="1" customWidth="1"/>
    <col min="16131" max="16131" width="25.28515625" bestFit="1" customWidth="1"/>
  </cols>
  <sheetData>
    <row r="1" spans="2:20" ht="15.75" thickBot="1" x14ac:dyDescent="0.3"/>
    <row r="2" spans="2:20" x14ac:dyDescent="0.25">
      <c r="B2" s="291" t="s">
        <v>132</v>
      </c>
      <c r="C2" s="292"/>
      <c r="D2" s="292"/>
      <c r="E2" s="292"/>
      <c r="F2" s="293"/>
    </row>
    <row r="3" spans="2:20" x14ac:dyDescent="0.25">
      <c r="B3" s="294"/>
      <c r="C3" s="295"/>
      <c r="D3" s="295"/>
      <c r="E3" s="295"/>
      <c r="F3" s="296"/>
    </row>
    <row r="4" spans="2:20" ht="15" customHeight="1" x14ac:dyDescent="0.25">
      <c r="B4" s="282" t="s">
        <v>3</v>
      </c>
      <c r="C4" s="274" t="s">
        <v>133</v>
      </c>
      <c r="D4" s="274" t="s">
        <v>134</v>
      </c>
      <c r="E4" s="284" t="s">
        <v>135</v>
      </c>
      <c r="F4" s="285"/>
    </row>
    <row r="5" spans="2:20" x14ac:dyDescent="0.25">
      <c r="B5" s="283"/>
      <c r="C5" s="275"/>
      <c r="D5" s="275"/>
      <c r="E5" s="286"/>
      <c r="F5" s="287"/>
    </row>
    <row r="6" spans="2:20" x14ac:dyDescent="0.25">
      <c r="B6" s="48">
        <v>1</v>
      </c>
      <c r="C6" s="49" t="s">
        <v>136</v>
      </c>
      <c r="D6" s="50" t="s">
        <v>137</v>
      </c>
      <c r="E6" s="159">
        <v>0.04</v>
      </c>
      <c r="F6" s="52"/>
      <c r="S6" s="53"/>
      <c r="T6" s="53"/>
    </row>
    <row r="7" spans="2:20" x14ac:dyDescent="0.25">
      <c r="B7" s="48">
        <v>2</v>
      </c>
      <c r="C7" s="49" t="s">
        <v>138</v>
      </c>
      <c r="D7" s="50" t="s">
        <v>139</v>
      </c>
      <c r="E7" s="160">
        <v>1.23E-2</v>
      </c>
      <c r="F7" s="52"/>
      <c r="S7" s="53"/>
      <c r="T7" s="53"/>
    </row>
    <row r="8" spans="2:20" x14ac:dyDescent="0.25">
      <c r="B8" s="48">
        <v>3</v>
      </c>
      <c r="C8" s="49" t="s">
        <v>140</v>
      </c>
      <c r="D8" s="50"/>
      <c r="E8" s="51">
        <f>F9+F10</f>
        <v>2.07E-2</v>
      </c>
      <c r="F8" s="52"/>
      <c r="S8" s="53"/>
      <c r="T8" s="53"/>
    </row>
    <row r="9" spans="2:20" x14ac:dyDescent="0.25">
      <c r="B9" s="48" t="s">
        <v>72</v>
      </c>
      <c r="C9" s="55" t="s">
        <v>141</v>
      </c>
      <c r="D9" s="50" t="s">
        <v>142</v>
      </c>
      <c r="E9" s="54"/>
      <c r="F9" s="161">
        <v>8.0000000000000002E-3</v>
      </c>
    </row>
    <row r="10" spans="2:20" x14ac:dyDescent="0.25">
      <c r="B10" s="48" t="s">
        <v>143</v>
      </c>
      <c r="C10" s="55" t="s">
        <v>144</v>
      </c>
      <c r="D10" s="50" t="s">
        <v>145</v>
      </c>
      <c r="E10" s="51"/>
      <c r="F10" s="161">
        <v>1.2699999999999999E-2</v>
      </c>
    </row>
    <row r="11" spans="2:20" x14ac:dyDescent="0.25">
      <c r="B11" s="48"/>
      <c r="C11" s="55"/>
      <c r="D11" s="50"/>
      <c r="E11" s="54"/>
      <c r="F11" s="52"/>
    </row>
    <row r="12" spans="2:20" x14ac:dyDescent="0.25">
      <c r="B12" s="48">
        <v>4</v>
      </c>
      <c r="C12" s="56" t="s">
        <v>146</v>
      </c>
      <c r="D12" s="50" t="s">
        <v>147</v>
      </c>
      <c r="E12" s="51" t="e">
        <f>SUM(F13:F16)</f>
        <v>#DIV/0!</v>
      </c>
      <c r="F12" s="52"/>
    </row>
    <row r="13" spans="2:20" x14ac:dyDescent="0.25">
      <c r="B13" s="48" t="s">
        <v>81</v>
      </c>
      <c r="C13" s="55" t="s">
        <v>148</v>
      </c>
      <c r="D13" s="50"/>
      <c r="E13" s="54"/>
      <c r="F13" s="52" t="e">
        <f>5%*E39</f>
        <v>#DIV/0!</v>
      </c>
    </row>
    <row r="14" spans="2:20" x14ac:dyDescent="0.25">
      <c r="B14" s="48" t="s">
        <v>149</v>
      </c>
      <c r="C14" s="55" t="s">
        <v>150</v>
      </c>
      <c r="D14" s="50"/>
      <c r="E14" s="51"/>
      <c r="F14" s="161">
        <v>6.4999999999999997E-3</v>
      </c>
    </row>
    <row r="15" spans="2:20" x14ac:dyDescent="0.25">
      <c r="B15" s="48" t="s">
        <v>151</v>
      </c>
      <c r="C15" s="55" t="s">
        <v>152</v>
      </c>
      <c r="D15" s="50"/>
      <c r="E15" s="54"/>
      <c r="F15" s="161">
        <v>0.03</v>
      </c>
    </row>
    <row r="16" spans="2:20" x14ac:dyDescent="0.25">
      <c r="B16" s="48" t="s">
        <v>153</v>
      </c>
      <c r="C16" s="55" t="s">
        <v>154</v>
      </c>
      <c r="D16" s="50"/>
      <c r="E16" s="54"/>
      <c r="F16" s="161">
        <v>4.4999999999999998E-2</v>
      </c>
    </row>
    <row r="17" spans="2:6" x14ac:dyDescent="0.25">
      <c r="B17" s="48">
        <v>5</v>
      </c>
      <c r="C17" s="55" t="s">
        <v>155</v>
      </c>
      <c r="D17" s="50" t="s">
        <v>156</v>
      </c>
      <c r="E17" s="159">
        <v>7.3999999999999996E-2</v>
      </c>
      <c r="F17" s="52"/>
    </row>
    <row r="18" spans="2:6" ht="15.75" thickBot="1" x14ac:dyDescent="0.3">
      <c r="B18" s="57"/>
      <c r="C18" s="58"/>
      <c r="D18" s="58"/>
      <c r="E18" s="58"/>
      <c r="F18" s="59"/>
    </row>
    <row r="19" spans="2:6" ht="16.5" thickBot="1" x14ac:dyDescent="0.3">
      <c r="B19" s="60" t="s">
        <v>126</v>
      </c>
      <c r="C19" s="61"/>
      <c r="D19" s="62"/>
      <c r="E19" s="289" t="e">
        <f>(((1+(E6+E8))*(1+E7)*(1+E17))/(1-E12))-1</f>
        <v>#DIV/0!</v>
      </c>
      <c r="F19" s="290">
        <f>(((1+(G37+G38+G39))*(1+G40)*(1+G41))/(1-G42))-1</f>
        <v>0</v>
      </c>
    </row>
    <row r="20" spans="2:6" x14ac:dyDescent="0.25">
      <c r="B20" s="84" t="s">
        <v>157</v>
      </c>
      <c r="C20" s="63"/>
      <c r="D20" s="63"/>
      <c r="E20" s="64">
        <v>0.85</v>
      </c>
      <c r="F20" s="65"/>
    </row>
    <row r="21" spans="2:6" x14ac:dyDescent="0.25">
      <c r="B21" s="66"/>
      <c r="C21" s="67"/>
      <c r="D21" s="63"/>
      <c r="E21" s="68"/>
      <c r="F21" s="65"/>
    </row>
    <row r="22" spans="2:6" x14ac:dyDescent="0.25">
      <c r="B22" s="66"/>
      <c r="C22" s="63"/>
      <c r="D22" s="63"/>
      <c r="E22" s="63"/>
      <c r="F22" s="65"/>
    </row>
    <row r="23" spans="2:6" x14ac:dyDescent="0.25">
      <c r="B23" s="66"/>
      <c r="C23" s="63"/>
      <c r="D23" s="63"/>
      <c r="E23" s="63"/>
      <c r="F23" s="65"/>
    </row>
    <row r="24" spans="2:6" x14ac:dyDescent="0.25">
      <c r="B24" s="66"/>
      <c r="C24" s="63"/>
      <c r="D24" s="63"/>
      <c r="E24" s="63"/>
      <c r="F24" s="65"/>
    </row>
    <row r="25" spans="2:6" x14ac:dyDescent="0.25">
      <c r="B25" s="66"/>
      <c r="C25" s="63"/>
      <c r="D25" s="63"/>
      <c r="E25" s="63"/>
      <c r="F25" s="65"/>
    </row>
    <row r="26" spans="2:6" x14ac:dyDescent="0.25">
      <c r="B26" s="66"/>
      <c r="C26" s="63"/>
      <c r="D26" s="63"/>
      <c r="E26" s="63"/>
      <c r="F26" s="65"/>
    </row>
    <row r="27" spans="2:6" x14ac:dyDescent="0.25">
      <c r="B27" s="66"/>
      <c r="C27" s="63"/>
      <c r="D27" s="63"/>
      <c r="E27" s="63"/>
      <c r="F27" s="65"/>
    </row>
    <row r="28" spans="2:6" x14ac:dyDescent="0.25">
      <c r="B28" s="66"/>
      <c r="C28" s="63"/>
      <c r="D28" s="63"/>
      <c r="E28" s="63"/>
      <c r="F28" s="65"/>
    </row>
    <row r="29" spans="2:6" x14ac:dyDescent="0.25">
      <c r="B29" s="66"/>
      <c r="C29" s="63"/>
      <c r="D29" s="63"/>
      <c r="E29" s="63"/>
      <c r="F29" s="65"/>
    </row>
    <row r="30" spans="2:6" x14ac:dyDescent="0.25">
      <c r="B30" s="66"/>
      <c r="C30" s="63"/>
      <c r="D30" s="63"/>
      <c r="E30" s="63"/>
      <c r="F30" s="65"/>
    </row>
    <row r="31" spans="2:6" ht="15.75" thickBot="1" x14ac:dyDescent="0.3">
      <c r="B31" s="69"/>
      <c r="C31" s="70"/>
      <c r="D31" s="70"/>
      <c r="E31" s="70"/>
      <c r="F31" s="71"/>
    </row>
    <row r="33" spans="2:6" x14ac:dyDescent="0.25">
      <c r="B33" s="72" t="s">
        <v>158</v>
      </c>
    </row>
    <row r="34" spans="2:6" ht="51.75" customHeight="1" x14ac:dyDescent="0.25">
      <c r="B34" s="288" t="s">
        <v>159</v>
      </c>
      <c r="C34" s="288"/>
      <c r="D34" s="288"/>
      <c r="E34" s="288"/>
      <c r="F34" s="288"/>
    </row>
    <row r="35" spans="2:6" x14ac:dyDescent="0.25">
      <c r="B35" s="73" t="s">
        <v>160</v>
      </c>
    </row>
    <row r="36" spans="2:6" x14ac:dyDescent="0.25">
      <c r="B36" s="73" t="s">
        <v>161</v>
      </c>
    </row>
    <row r="37" spans="2:6" x14ac:dyDescent="0.25">
      <c r="B37" s="73" t="s">
        <v>162</v>
      </c>
    </row>
    <row r="39" spans="2:6" x14ac:dyDescent="0.25">
      <c r="B39" s="130" t="s">
        <v>173</v>
      </c>
      <c r="C39" s="131"/>
      <c r="D39" s="131"/>
      <c r="E39" s="132" t="e">
        <f>ORÇAMENTO!I78/(ORÇAMENTO!L67+ORÇAMENTO!L69+ORÇAMENTO!L79)</f>
        <v>#DIV/0!</v>
      </c>
    </row>
  </sheetData>
  <mergeCells count="7">
    <mergeCell ref="B34:F34"/>
    <mergeCell ref="E19:F19"/>
    <mergeCell ref="B2:F3"/>
    <mergeCell ref="B4:B5"/>
    <mergeCell ref="C4:C5"/>
    <mergeCell ref="D4:D5"/>
    <mergeCell ref="E4:F5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030f6dc-ed46-4bef-9811-6fe3c12c3f1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C73D8F9C2AE0945AFDA9ECC080FFBA4" ma:contentTypeVersion="15" ma:contentTypeDescription="Crie um novo documento." ma:contentTypeScope="" ma:versionID="78c869c6d5f0e17a1f9adeb61bf4a6a8">
  <xsd:schema xmlns:xsd="http://www.w3.org/2001/XMLSchema" xmlns:xs="http://www.w3.org/2001/XMLSchema" xmlns:p="http://schemas.microsoft.com/office/2006/metadata/properties" xmlns:ns3="0030f6dc-ed46-4bef-9811-6fe3c12c3f13" xmlns:ns4="c8535ce8-bcc2-4439-8a3d-ccc151c8f3d8" targetNamespace="http://schemas.microsoft.com/office/2006/metadata/properties" ma:root="true" ma:fieldsID="382812e78efc90c68c13de197cfa776c" ns3:_="" ns4:_="">
    <xsd:import namespace="0030f6dc-ed46-4bef-9811-6fe3c12c3f13"/>
    <xsd:import namespace="c8535ce8-bcc2-4439-8a3d-ccc151c8f3d8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30f6dc-ed46-4bef-9811-6fe3c12c3f13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35ce8-bcc2-4439-8a3d-ccc151c8f3d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C916F2-A068-4416-93DA-9D9943FCBC46}">
  <ds:schemaRefs>
    <ds:schemaRef ds:uri="http://purl.org/dc/elements/1.1/"/>
    <ds:schemaRef ds:uri="c8535ce8-bcc2-4439-8a3d-ccc151c8f3d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0030f6dc-ed46-4bef-9811-6fe3c12c3f1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781796B-C841-47F5-B551-D26ED31D12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B9B21F-E8C0-49BA-B304-F3161077AD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30f6dc-ed46-4bef-9811-6fe3c12c3f13"/>
    <ds:schemaRef ds:uri="c8535ce8-bcc2-4439-8a3d-ccc151c8f3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ORÇAMENTO</vt:lpstr>
      <vt:lpstr>PV</vt:lpstr>
      <vt:lpstr>BDI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Andressa Lannes</dc:creator>
  <cp:lastModifiedBy>Jomar Rolland Braga Neto</cp:lastModifiedBy>
  <cp:lastPrinted>2024-07-05T13:25:50Z</cp:lastPrinted>
  <dcterms:created xsi:type="dcterms:W3CDTF">2024-07-05T13:18:10Z</dcterms:created>
  <dcterms:modified xsi:type="dcterms:W3CDTF">2025-01-21T18:29:52Z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0x010100BC73D8F9C2AE0945AFDA9ECC080FFBA4</vt:lpwstr>
  </property>
</Properties>
</file>