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4\1 - Processamento\Limpeza, conservação e copeiragem - RC 6024\Fase Interna\"/>
    </mc:Choice>
  </mc:AlternateContent>
  <xr:revisionPtr revIDLastSave="0" documentId="13_ncr:1_{D361A218-5AE0-442D-BF50-DC83A942A29D}" xr6:coauthVersionLast="47" xr6:coauthVersionMax="47" xr10:uidLastSave="{00000000-0000-0000-0000-000000000000}"/>
  <bookViews>
    <workbookView xWindow="-120" yWindow="-120" windowWidth="29040" windowHeight="15720" tabRatio="877" activeTab="8" xr2:uid="{00000000-000D-0000-FFFF-FFFF00000000}"/>
  </bookViews>
  <sheets>
    <sheet name="Quadro resumo" sheetId="7" r:id="rId1"/>
    <sheet name="Encarregada" sheetId="27" r:id="rId2"/>
    <sheet name="Copeira" sheetId="28" r:id="rId3"/>
    <sheet name="Garçonete" sheetId="29" r:id="rId4"/>
    <sheet name="ASG" sheetId="30" r:id="rId5"/>
    <sheet name="Uniformes" sheetId="23" r:id="rId6"/>
    <sheet name="Relatório de Impacto Ambiental" sheetId="33" r:id="rId7"/>
    <sheet name="Materiais" sheetId="31" r:id="rId8"/>
    <sheet name="Equipamentos" sheetId="32" r:id="rId9"/>
  </sheets>
  <definedNames>
    <definedName name="_xlnm._FilterDatabase" localSheetId="1" hidden="1">Encarregada!$B$74:$H$82</definedName>
    <definedName name="_xlnm.Print_Area" localSheetId="1">Encarregada!$A$1:$I$149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30" l="1"/>
  <c r="H59" i="29"/>
  <c r="H59" i="28"/>
  <c r="H60" i="27"/>
  <c r="H108" i="30"/>
  <c r="H110" i="27"/>
  <c r="I4" i="33"/>
  <c r="H4" i="33"/>
  <c r="D44" i="23"/>
  <c r="D45" i="23"/>
  <c r="D46" i="23"/>
  <c r="D47" i="23"/>
  <c r="K27" i="31" l="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4" i="31"/>
  <c r="K28" i="31" l="1"/>
  <c r="K29" i="31" s="1"/>
  <c r="K31" i="31" s="1"/>
  <c r="E52" i="31"/>
  <c r="E53" i="31"/>
  <c r="E54" i="31"/>
  <c r="E55" i="31"/>
  <c r="E31" i="31"/>
  <c r="F5" i="32"/>
  <c r="F6" i="32"/>
  <c r="E56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57" i="31" s="1"/>
  <c r="D5" i="23"/>
  <c r="D4" i="23"/>
  <c r="D43" i="23"/>
  <c r="D42" i="23"/>
  <c r="D41" i="23"/>
  <c r="D40" i="23"/>
  <c r="D39" i="23"/>
  <c r="D48" i="23" s="1"/>
  <c r="D49" i="23" s="1"/>
  <c r="H106" i="30" s="1"/>
  <c r="D32" i="23"/>
  <c r="D31" i="23"/>
  <c r="D30" i="23"/>
  <c r="D29" i="23"/>
  <c r="D28" i="23"/>
  <c r="D27" i="23"/>
  <c r="D20" i="23"/>
  <c r="D19" i="23"/>
  <c r="D18" i="23"/>
  <c r="D17" i="23"/>
  <c r="D16" i="23"/>
  <c r="D15" i="23"/>
  <c r="D8" i="23"/>
  <c r="D7" i="23"/>
  <c r="D6" i="23"/>
  <c r="H107" i="29" l="1"/>
  <c r="H107" i="28"/>
  <c r="F7" i="32"/>
  <c r="F9" i="32" s="1"/>
  <c r="E59" i="31"/>
  <c r="H107" i="30" s="1"/>
  <c r="D9" i="23"/>
  <c r="D10" i="23" s="1"/>
  <c r="H107" i="27" s="1"/>
  <c r="D33" i="23"/>
  <c r="D34" i="23" s="1"/>
  <c r="H106" i="28" s="1"/>
  <c r="D21" i="23"/>
  <c r="D22" i="23" s="1"/>
  <c r="H106" i="29" s="1"/>
  <c r="F11" i="32" l="1"/>
  <c r="C13" i="7" l="1"/>
  <c r="G144" i="30"/>
  <c r="G143" i="30"/>
  <c r="G142" i="30"/>
  <c r="G117" i="30"/>
  <c r="H60" i="30"/>
  <c r="H63" i="30"/>
  <c r="H69" i="30" s="1"/>
  <c r="G55" i="30"/>
  <c r="G48" i="30"/>
  <c r="G42" i="30"/>
  <c r="G41" i="30"/>
  <c r="G40" i="30"/>
  <c r="H33" i="30"/>
  <c r="H30" i="30" s="1"/>
  <c r="H27" i="30"/>
  <c r="H26" i="30"/>
  <c r="G144" i="29"/>
  <c r="G143" i="29"/>
  <c r="G142" i="29"/>
  <c r="G117" i="29"/>
  <c r="H60" i="29"/>
  <c r="H63" i="29"/>
  <c r="H69" i="29" s="1"/>
  <c r="G55" i="29"/>
  <c r="G48" i="29"/>
  <c r="G42" i="29"/>
  <c r="G41" i="29"/>
  <c r="G40" i="29"/>
  <c r="H33" i="29"/>
  <c r="H30" i="29" s="1"/>
  <c r="H27" i="29"/>
  <c r="H26" i="29"/>
  <c r="H29" i="29" s="1"/>
  <c r="G144" i="28"/>
  <c r="G143" i="28"/>
  <c r="G142" i="28"/>
  <c r="G117" i="28"/>
  <c r="H60" i="28"/>
  <c r="G55" i="28"/>
  <c r="G48" i="28"/>
  <c r="G41" i="28"/>
  <c r="G40" i="28"/>
  <c r="G42" i="28" s="1"/>
  <c r="H33" i="28"/>
  <c r="H30" i="28" s="1"/>
  <c r="H27" i="28"/>
  <c r="H26" i="28"/>
  <c r="H61" i="27"/>
  <c r="H110" i="30" l="1"/>
  <c r="H131" i="30" s="1"/>
  <c r="H110" i="29"/>
  <c r="H131" i="29" s="1"/>
  <c r="H28" i="30"/>
  <c r="H29" i="30"/>
  <c r="H28" i="29"/>
  <c r="H31" i="29" s="1"/>
  <c r="H110" i="28"/>
  <c r="H131" i="28" s="1"/>
  <c r="H63" i="28"/>
  <c r="H69" i="28" s="1"/>
  <c r="H28" i="28"/>
  <c r="H29" i="28"/>
  <c r="H31" i="30" l="1"/>
  <c r="H127" i="30" s="1"/>
  <c r="H41" i="29"/>
  <c r="H127" i="29"/>
  <c r="H40" i="29"/>
  <c r="H31" i="28"/>
  <c r="H40" i="28" s="1"/>
  <c r="H40" i="30" l="1"/>
  <c r="H41" i="30"/>
  <c r="H42" i="29"/>
  <c r="H42" i="28"/>
  <c r="H53" i="28" s="1"/>
  <c r="H41" i="28"/>
  <c r="H127" i="28"/>
  <c r="H67" i="28"/>
  <c r="H42" i="30" l="1"/>
  <c r="H141" i="29"/>
  <c r="H67" i="29"/>
  <c r="H54" i="29"/>
  <c r="H76" i="29" s="1"/>
  <c r="H50" i="29"/>
  <c r="H46" i="29"/>
  <c r="H53" i="29"/>
  <c r="H48" i="29"/>
  <c r="H52" i="29"/>
  <c r="H51" i="29"/>
  <c r="H47" i="29"/>
  <c r="H141" i="28"/>
  <c r="H47" i="28"/>
  <c r="H54" i="28"/>
  <c r="H76" i="28" s="1"/>
  <c r="H48" i="28"/>
  <c r="H46" i="28"/>
  <c r="H55" i="28" s="1"/>
  <c r="H50" i="28"/>
  <c r="H52" i="28"/>
  <c r="H51" i="28"/>
  <c r="H47" i="30" l="1"/>
  <c r="H53" i="30"/>
  <c r="H50" i="30"/>
  <c r="H51" i="30"/>
  <c r="H141" i="30"/>
  <c r="H54" i="30"/>
  <c r="H67" i="30"/>
  <c r="H52" i="30"/>
  <c r="H46" i="30"/>
  <c r="H48" i="30"/>
  <c r="H55" i="29"/>
  <c r="H79" i="29"/>
  <c r="H78" i="29" s="1"/>
  <c r="H77" i="29"/>
  <c r="H75" i="29" s="1"/>
  <c r="H77" i="28"/>
  <c r="H75" i="28" s="1"/>
  <c r="H79" i="28"/>
  <c r="H78" i="28" s="1"/>
  <c r="H68" i="28"/>
  <c r="H70" i="28" s="1"/>
  <c r="H80" i="28"/>
  <c r="H79" i="30" l="1"/>
  <c r="H78" i="30" s="1"/>
  <c r="H77" i="30"/>
  <c r="H76" i="30"/>
  <c r="H55" i="30"/>
  <c r="H68" i="29"/>
  <c r="H70" i="29" s="1"/>
  <c r="H128" i="29" s="1"/>
  <c r="H80" i="29"/>
  <c r="H81" i="29" s="1"/>
  <c r="H81" i="28"/>
  <c r="H129" i="28" s="1"/>
  <c r="H128" i="28"/>
  <c r="H75" i="30" l="1"/>
  <c r="H68" i="30"/>
  <c r="H70" i="30" s="1"/>
  <c r="H80" i="30"/>
  <c r="H81" i="30" s="1"/>
  <c r="H129" i="30" s="1"/>
  <c r="H129" i="29"/>
  <c r="H89" i="29"/>
  <c r="H87" i="29" s="1"/>
  <c r="H94" i="29"/>
  <c r="H95" i="29" s="1"/>
  <c r="H100" i="29" s="1"/>
  <c r="H88" i="29"/>
  <c r="H89" i="28"/>
  <c r="H87" i="28" s="1"/>
  <c r="H94" i="28"/>
  <c r="H95" i="28" s="1"/>
  <c r="H100" i="28" s="1"/>
  <c r="H128" i="30" l="1"/>
  <c r="H89" i="30"/>
  <c r="H94" i="30"/>
  <c r="H95" i="30" s="1"/>
  <c r="H100" i="30" s="1"/>
  <c r="H90" i="29"/>
  <c r="H99" i="29" s="1"/>
  <c r="H88" i="28"/>
  <c r="H90" i="28" s="1"/>
  <c r="H99" i="28" s="1"/>
  <c r="H88" i="30" l="1"/>
  <c r="H87" i="30"/>
  <c r="H101" i="29"/>
  <c r="H130" i="29" s="1"/>
  <c r="H132" i="29" s="1"/>
  <c r="H140" i="29"/>
  <c r="H101" i="28"/>
  <c r="H130" i="28" s="1"/>
  <c r="H132" i="28" s="1"/>
  <c r="H115" i="28" s="1"/>
  <c r="H140" i="28"/>
  <c r="H142" i="28" s="1"/>
  <c r="H90" i="30" l="1"/>
  <c r="H99" i="30" s="1"/>
  <c r="H101" i="30" s="1"/>
  <c r="H130" i="30" s="1"/>
  <c r="H132" i="30" s="1"/>
  <c r="H115" i="30" s="1"/>
  <c r="H116" i="30" s="1"/>
  <c r="H142" i="29"/>
  <c r="H115" i="29"/>
  <c r="H143" i="28"/>
  <c r="H116" i="28"/>
  <c r="H117" i="28" s="1"/>
  <c r="H140" i="30" l="1"/>
  <c r="H142" i="30" s="1"/>
  <c r="H143" i="30" s="1"/>
  <c r="H144" i="30"/>
  <c r="H145" i="30" s="1"/>
  <c r="H117" i="30"/>
  <c r="H119" i="30" s="1"/>
  <c r="H116" i="29"/>
  <c r="H117" i="29" s="1"/>
  <c r="H143" i="29"/>
  <c r="H119" i="28"/>
  <c r="H120" i="28"/>
  <c r="H118" i="28"/>
  <c r="H144" i="28"/>
  <c r="H145" i="28" s="1"/>
  <c r="H121" i="28" l="1"/>
  <c r="H133" i="28" s="1"/>
  <c r="H134" i="28" s="1"/>
  <c r="H139" i="28" s="1"/>
  <c r="H146" i="28" s="1"/>
  <c r="H118" i="30"/>
  <c r="H120" i="30"/>
  <c r="H120" i="29"/>
  <c r="H119" i="29"/>
  <c r="H118" i="29"/>
  <c r="H144" i="29"/>
  <c r="H145" i="29" s="1"/>
  <c r="H121" i="30" l="1"/>
  <c r="H133" i="30" s="1"/>
  <c r="H134" i="30" s="1"/>
  <c r="H139" i="30" s="1"/>
  <c r="H146" i="30" s="1"/>
  <c r="E10" i="7"/>
  <c r="F10" i="7" s="1"/>
  <c r="G10" i="7" s="1"/>
  <c r="H121" i="29"/>
  <c r="H133" i="29" s="1"/>
  <c r="H134" i="29" s="1"/>
  <c r="E12" i="7" l="1"/>
  <c r="F12" i="7" s="1"/>
  <c r="G12" i="7" s="1"/>
  <c r="H139" i="29"/>
  <c r="H146" i="29" s="1"/>
  <c r="E11" i="7"/>
  <c r="F11" i="7" s="1"/>
  <c r="G11" i="7" s="1"/>
  <c r="H31" i="27"/>
  <c r="H34" i="27"/>
  <c r="H30" i="27" l="1"/>
  <c r="G145" i="27" l="1"/>
  <c r="G144" i="27"/>
  <c r="G143" i="27"/>
  <c r="G118" i="27"/>
  <c r="G49" i="27"/>
  <c r="G56" i="27" s="1"/>
  <c r="G42" i="27"/>
  <c r="G41" i="27"/>
  <c r="H27" i="27"/>
  <c r="H26" i="27"/>
  <c r="H29" i="27" s="1"/>
  <c r="H64" i="27" l="1"/>
  <c r="H70" i="27" s="1"/>
  <c r="H28" i="27"/>
  <c r="G43" i="27"/>
  <c r="H32" i="27" l="1"/>
  <c r="H42" i="27" s="1"/>
  <c r="H128" i="27" l="1"/>
  <c r="H41" i="27"/>
  <c r="H43" i="27" s="1"/>
  <c r="H142" i="27" s="1"/>
  <c r="H53" i="27" l="1"/>
  <c r="H52" i="27"/>
  <c r="H51" i="27"/>
  <c r="H55" i="27"/>
  <c r="H77" i="27" s="1"/>
  <c r="H48" i="27"/>
  <c r="H54" i="27"/>
  <c r="H49" i="27"/>
  <c r="H68" i="27"/>
  <c r="H47" i="27"/>
  <c r="H80" i="27" l="1"/>
  <c r="H79" i="27" s="1"/>
  <c r="H78" i="27"/>
  <c r="H76" i="27" s="1"/>
  <c r="H56" i="27"/>
  <c r="H81" i="27" s="1"/>
  <c r="H69" i="27" l="1"/>
  <c r="H71" i="27" s="1"/>
  <c r="H82" i="27"/>
  <c r="H95" i="27" l="1"/>
  <c r="H96" i="27" s="1"/>
  <c r="H101" i="27" s="1"/>
  <c r="H129" i="27"/>
  <c r="H90" i="27"/>
  <c r="H89" i="27" s="1"/>
  <c r="H130" i="27"/>
  <c r="H88" i="27" l="1"/>
  <c r="H91" i="27" s="1"/>
  <c r="H100" i="27" s="1"/>
  <c r="H141" i="27" l="1"/>
  <c r="H143" i="27" s="1"/>
  <c r="H102" i="27"/>
  <c r="H131" i="27" s="1"/>
  <c r="H144" i="27" l="1"/>
  <c r="H145" i="27" s="1"/>
  <c r="H146" i="27" l="1"/>
  <c r="H111" i="27" l="1"/>
  <c r="H132" i="27" s="1"/>
  <c r="H133" i="27" s="1"/>
  <c r="H116" i="27" l="1"/>
  <c r="H117" i="27" s="1"/>
  <c r="H118" i="27" l="1"/>
  <c r="H121" i="27" l="1"/>
  <c r="H119" i="27"/>
  <c r="H120" i="27"/>
  <c r="H122" i="27" l="1"/>
  <c r="H134" i="27" l="1"/>
  <c r="H135" i="27" l="1"/>
  <c r="E9" i="7" s="1"/>
  <c r="F9" i="7" l="1"/>
  <c r="H140" i="27"/>
  <c r="G9" i="7" l="1"/>
  <c r="G13" i="7" s="1"/>
  <c r="G14" i="7" s="1"/>
  <c r="F13" i="7"/>
  <c r="H14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00000000-0006-0000-0100-00000200000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0000000-0006-0000-0100-000003000000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00000000-0006-0000-0100-000004000000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00000000-0006-0000-0100-00000500000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00000000-0006-0000-0100-00000600000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00000000-0006-0000-0100-00000800000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00000000-0006-0000-0100-00000900000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00000000-0006-0000-0100-00000A00000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00000000-0006-0000-0100-00000B00000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00000000-0006-0000-0100-00000C00000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00000000-0006-0000-0100-00000D000000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00000000-0006-0000-0100-00000E00000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00000000-0006-0000-0100-00000F00000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00000000-0006-0000-0100-00001000000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00000000-0006-0000-0100-00001100000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00000000-0006-0000-0100-000012000000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00000000-0006-0000-0100-000013000000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00000000-0006-0000-0100-000014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00000000-0006-0000-0100-000015000000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00000000-0006-0000-0100-000016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00000000-0006-0000-0100-000017000000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G81" authorId="1" shapeId="0" xr:uid="{00000000-0006-0000-0100-00001900000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00000000-0006-0000-0100-00001A000000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00000000-0006-0000-0100-00001B00000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00000000-0006-0000-0100-00001C00000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00000000-0006-0000-0100-00001D000000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00000000-0006-0000-0100-00001E000000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00000000-0006-0000-0100-00001F00000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00000000-0006-0000-0100-00002000000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5C4DCE4D-B364-4212-A6EE-E8A1174D01F1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7E6BDA70-557F-4E07-A779-0D55E14FCC0A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D02EDD8E-E697-44EA-A8F5-9564098626E4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8" authorId="0" shapeId="0" xr:uid="{F6AB78D7-D2AA-427E-8182-980FA14741CF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0" authorId="1" shapeId="0" xr:uid="{ACBE1704-8C69-4A25-8A48-9558F49A386C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1" authorId="1" shapeId="0" xr:uid="{A92ED419-0D1B-490C-9FA8-23B4CBAECBF5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4" authorId="0" shapeId="0" xr:uid="{5A6E617C-A2D8-4554-AE7E-50E20177F937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6" authorId="0" shapeId="0" xr:uid="{36B3AA53-5ECC-4C97-BC39-A35ED6473021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7" authorId="0" shapeId="0" xr:uid="{49D9A029-D006-4C57-A4E8-25CAC5FD1365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8" authorId="0" shapeId="0" xr:uid="{F95B0CC2-7937-4C87-A861-0B861B0F37CF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8" authorId="0" shapeId="0" xr:uid="{6AB1C5B9-1493-4F03-A155-46CDE8E56E32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0" authorId="0" shapeId="0" xr:uid="{2F4B0C49-41E8-47D7-9C0D-EB96DD425E67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1" authorId="0" shapeId="0" xr:uid="{3C48AAEC-2BEF-4EBE-B40F-CABD4C312396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2" authorId="0" shapeId="0" xr:uid="{791B155B-FA33-4029-8BD3-70D3E4B0B2BA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3" authorId="0" shapeId="0" xr:uid="{B909F487-4CCD-45F6-9EE4-F489B9BB056C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4" authorId="0" shapeId="0" xr:uid="{BC45A82C-2885-4F7C-9517-3B82146BA0B3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7" authorId="0" shapeId="0" xr:uid="{ED6B5EC1-7074-48CB-A568-58AECAC6961C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8" authorId="1" shapeId="0" xr:uid="{16B56900-149F-4B0D-BBAD-F774136154CC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 xr:uid="{449A1E5C-8169-4078-A0E8-E8C34FF96A1B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 xr:uid="{CE58CB11-B569-4DD4-A466-3556DFD1C2AC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 xr:uid="{3CD22565-032F-4F13-9C9E-933BF985023A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 xr:uid="{1FAF93FA-D8FA-4943-8D78-293B1111C4E8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 xr:uid="{52C57B6B-8590-4C90-97C2-33A9314B462F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 xr:uid="{E0B75575-0E5B-4E2F-AA5D-810F80EE9009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0" authorId="1" shapeId="0" xr:uid="{3D5E282C-084C-449C-96B3-BFC0837C4B2D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 xr:uid="{FB153EB9-21E5-4EC0-B939-BFF6378DFD8A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 xr:uid="{D12A2812-7D2F-4E02-AE21-95556CD0BA4F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 xr:uid="{A016A3B8-0555-4408-96C1-1715B0C0B7BB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 xr:uid="{67EFE9B8-DEFE-4E98-A406-2964043D259E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 xr:uid="{146EDE20-27A0-4857-9DE3-0A77A7A6E676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 xr:uid="{8EFEAB83-41FA-402F-997C-78EA799555D5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 xr:uid="{F51E00D5-EE93-4710-978E-9453B6AD2ED9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88413B88-A172-4C3B-BA05-DE62064EC9B7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5E174D99-9CD5-4D16-94F4-63AEAD63F0DC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1D57E74B-AE85-48B3-BA57-282D3540DE6B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8" authorId="0" shapeId="0" xr:uid="{2ACC8A0D-86E3-4EEF-99A9-07D495C0204D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0" authorId="1" shapeId="0" xr:uid="{0A947B25-5584-4A42-AD87-CC9666AA6E56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1" authorId="1" shapeId="0" xr:uid="{F7E593AD-6F9D-4B51-9F82-7C8C886CFD0B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4" authorId="0" shapeId="0" xr:uid="{5BD1BFF3-428C-4902-89C8-666A835EA89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6" authorId="0" shapeId="0" xr:uid="{31C677AF-EAF2-4FAA-B718-CB83E15EE32E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7" authorId="0" shapeId="0" xr:uid="{AC2862B7-B4B1-4203-A19D-A108A32831D8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8" authorId="0" shapeId="0" xr:uid="{11E90FEC-70A6-4395-9F3E-E8C7BEAA6ACF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8" authorId="0" shapeId="0" xr:uid="{E3A9E304-F353-480A-93A7-973C7B4FD634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0" authorId="0" shapeId="0" xr:uid="{58DF347A-A300-4C3B-8459-E2CB36FF37E5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1" authorId="0" shapeId="0" xr:uid="{BFD30D34-C87E-445D-B6A9-BA18924F2E51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2" authorId="0" shapeId="0" xr:uid="{0D6F78B8-D001-458B-9FF4-B4F4EB183914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3" authorId="0" shapeId="0" xr:uid="{218523F2-852F-417C-93BA-D4155E33551E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4" authorId="0" shapeId="0" xr:uid="{4FA37046-94AC-4191-B600-CF1AEC10A1F5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7" authorId="0" shapeId="0" xr:uid="{92E9C17C-5D5D-4301-850E-822A0C4ED5AD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8" authorId="1" shapeId="0" xr:uid="{9B73E04C-9436-4A8D-AD90-21F78BC4C15C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 xr:uid="{BDCA95E5-309D-44DB-8BB6-D503BD0BDB5C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 xr:uid="{EEA41620-975B-45A9-B0A4-B95A611363B5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 xr:uid="{68E10726-C0C3-43BA-855F-71FC4BB6363A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 xr:uid="{B435DC42-6598-42C5-A386-5213F99CD49D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 xr:uid="{70008277-3069-4035-AA1D-E56F1AEACBE5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 xr:uid="{65DAB10B-392C-4B08-A2FA-F9DA927C08C5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0" authorId="1" shapeId="0" xr:uid="{9CCA9CBA-B84A-49BF-ACED-A077A761FA8F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 xr:uid="{679047B6-F72D-4273-8655-D16763D23A71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 xr:uid="{8B440A66-8C05-4AA9-BC85-93C463CC50AC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 xr:uid="{B99FE557-E44D-4607-95E8-F18D661C2454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 xr:uid="{1B7E5FED-8B30-43B0-A7C8-22E8D5C454C4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 xr:uid="{62F99359-4994-42DE-B858-45F3547E6673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 xr:uid="{EB5E2153-7378-4225-B7A9-DC77B073BFFB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 xr:uid="{C5F865C4-8C05-4BC9-99F5-8D31D5166C44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52882D7C-0CB9-4E4D-8CE5-088D745ED11F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44D8CBA6-E639-4C51-928D-8B539B44A7A2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E7BE36C1-4F48-466F-A2F6-CC0CA9F3999F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8" authorId="0" shapeId="0" xr:uid="{A2ED0E96-82EB-46D6-9DA9-A506D8E63EBE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0" authorId="1" shapeId="0" xr:uid="{E5955308-9787-4C4B-9D3C-8244C4913415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1" authorId="1" shapeId="0" xr:uid="{4D251A1A-8040-489C-BE16-FFB7120BE1B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4" authorId="0" shapeId="0" xr:uid="{36A70FC3-10D8-473F-A845-CA13BBB298BE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6" authorId="0" shapeId="0" xr:uid="{13F6674D-F7E6-4809-9967-80EB88563CE3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7" authorId="0" shapeId="0" xr:uid="{5E4A1222-AEC2-405D-AE8F-4ADBDD207E8F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8" authorId="0" shapeId="0" xr:uid="{778DE235-941E-4573-B833-FAC672B61F6F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8" authorId="0" shapeId="0" xr:uid="{5E6ECFAC-8F76-4FBF-AF4C-5AF6980804C8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0" authorId="0" shapeId="0" xr:uid="{2658EE02-3E76-4AC6-A42C-FD932513FCC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1" authorId="0" shapeId="0" xr:uid="{FE7DAEF1-A7A8-4E58-BBBA-E3475A8F87B9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2" authorId="0" shapeId="0" xr:uid="{A7151BDF-DDE5-4A15-84B0-C3F9043F93DB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3" authorId="0" shapeId="0" xr:uid="{EA51C7BD-7DC2-4CF6-8C2D-93128DF00D3B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4" authorId="0" shapeId="0" xr:uid="{C579CC9F-4339-4C5A-928E-26F252960625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7" authorId="0" shapeId="0" xr:uid="{F02E352E-2360-4700-88AF-ED17D93CE2BB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8" authorId="1" shapeId="0" xr:uid="{EB905FAA-3A0E-438D-A853-BA606C6AA5A5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6" authorId="1" shapeId="0" xr:uid="{9A1A0F58-142E-4BAE-8F9E-E20B63B36B4D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7" authorId="1" shapeId="0" xr:uid="{20E5D8B9-D5F2-429C-8EDE-666C69DBF1D5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8" authorId="1" shapeId="0" xr:uid="{39AD9A97-40C2-42C7-8703-F88BF5332288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9" authorId="1" shapeId="0" xr:uid="{4F989C46-900F-44C6-8FF7-12FCD2D1D208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0" authorId="1" shapeId="0" xr:uid="{9D350CB1-9BF5-4B9C-804C-1CD91B33307B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0" authorId="1" shapeId="0" xr:uid="{DCBBFDA5-626A-4FCA-9524-AE53375AE7F4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0" authorId="1" shapeId="0" xr:uid="{1CF70A4E-3B9F-4097-A8F9-EB8759343C47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4" authorId="0" shapeId="0" xr:uid="{E991535A-33DD-4009-B3C4-BD2D4E1D056E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6" authorId="0" shapeId="0" xr:uid="{CAE208D6-859A-42F2-9929-C5230ACCB0F8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7" authorId="1" shapeId="0" xr:uid="{EEAB7EF8-DAF7-4FE9-8A9E-CEBF22B2FE21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8" authorId="0" shapeId="0" xr:uid="{BDA99FBD-697D-4EA5-B818-82B7EDFDDCB6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9" authorId="1" shapeId="0" xr:uid="{29F0307D-CC6F-47C8-B688-F261D8748977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3" authorId="0" shapeId="0" xr:uid="{96099F8B-49FD-426A-99C5-FA4CA6A7B6AC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4" authorId="0" shapeId="0" xr:uid="{5479B1A5-0275-4A10-AB63-1B23D6EC6B07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<sst xmlns="http://schemas.openxmlformats.org/spreadsheetml/2006/main" count="1372" uniqueCount="357">
  <si>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</si>
  <si>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</si>
  <si>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</si>
  <si>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</si>
  <si>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</si>
  <si>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</si>
  <si>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</si>
  <si>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</si>
  <si>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</si>
  <si>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</si>
  <si>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</si>
  <si>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</si>
  <si>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</si>
  <si>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</si>
  <si>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</si>
  <si>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</si>
  <si>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</si>
  <si>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</si>
  <si>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</si>
  <si>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</si>
  <si>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</si>
  <si>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</si>
  <si>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</si>
  <si>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</si>
  <si>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</si>
  <si>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</si>
  <si>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</si>
  <si>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</si>
  <si>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</si>
  <si>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</si>
  <si>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</si>
  <si>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</si>
  <si>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</si>
  <si>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</si>
  <si>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</si>
  <si>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</si>
  <si>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</si>
  <si>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</si>
  <si>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</si>
  <si>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</si>
  <si>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</si>
  <si>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</si>
  <si>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</si>
  <si>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</si>
  <si>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</si>
  <si>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</si>
  <si>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</si>
  <si>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</si>
  <si>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</si>
  <si>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</si>
  <si>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</si>
  <si>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</si>
  <si>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</si>
  <si>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</si>
  <si>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</si>
  <si>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</si>
  <si>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</si>
  <si>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</si>
  <si>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</si>
  <si>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</si>
  <si>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</si>
  <si>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</si>
  <si>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</si>
  <si>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</si>
  <si>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</si>
  <si>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</si>
  <si>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</si>
  <si>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</si>
  <si>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</si>
  <si>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</si>
  <si>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</si>
  <si>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</si>
  <si>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</si>
  <si>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</si>
  <si>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</si>
  <si>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</si>
  <si>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</si>
  <si>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</si>
  <si>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</si>
  <si>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</si>
  <si>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</si>
  <si>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</si>
  <si>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</si>
  <si>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</si>
  <si>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</si>
  <si>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</si>
  <si>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</si>
  <si>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</si>
  <si>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</si>
  <si>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</si>
  <si>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</si>
  <si>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</si>
  <si>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</si>
  <si>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</si>
  <si>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</si>
  <si>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</si>
  <si>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</si>
  <si>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</si>
  <si>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</si>
  <si>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</si>
  <si>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</si>
  <si>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</si>
  <si>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</si>
  <si>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</si>
  <si>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</si>
  <si>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</si>
  <si>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</si>
  <si>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</si>
  <si>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</si>
  <si>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</si>
  <si>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</si>
  <si>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</si>
  <si>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</si>
  <si>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Calça</t>
  </si>
  <si>
    <t>EQUIPAMENTOS</t>
  </si>
  <si>
    <t>BASE DE CÁLCULO DOS TRIBUTOS</t>
  </si>
  <si>
    <t>Mão de Obra vinculada à execução contratual (valor por posto)</t>
  </si>
  <si>
    <t>Memória de cálculo da hora extra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</si>
  <si>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</si>
  <si>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</si>
  <si>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</si>
  <si>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</si>
  <si>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</si>
  <si>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</si>
  <si>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</si>
  <si>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</si>
  <si>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</si>
  <si>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</si>
  <si>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</si>
  <si>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</si>
  <si>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</si>
  <si>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</si>
  <si>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</si>
  <si>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</si>
  <si>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</si>
  <si>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</si>
  <si>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</si>
  <si>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</si>
  <si>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</si>
  <si>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</si>
  <si>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</si>
  <si>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</si>
  <si>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</si>
  <si>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</si>
  <si>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</si>
  <si>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</si>
  <si>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</si>
  <si>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</si>
  <si>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</si>
  <si>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</si>
  <si>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</si>
  <si>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</si>
  <si>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</si>
  <si>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</si>
  <si>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</si>
  <si>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</si>
  <si>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</si>
  <si>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</si>
  <si>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</si>
  <si>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</si>
  <si>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</si>
  <si>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</si>
  <si>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</si>
  <si>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</si>
  <si>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</si>
  <si>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</si>
  <si>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</si>
  <si>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</si>
  <si>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</si>
  <si>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</si>
  <si>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</si>
  <si>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</si>
  <si>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</si>
  <si>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</si>
  <si>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</si>
  <si>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</si>
  <si>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</si>
  <si>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</si>
  <si>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</si>
  <si>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</si>
  <si>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</si>
  <si>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</si>
  <si>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</si>
  <si>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</si>
  <si>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</si>
  <si>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</si>
  <si>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</si>
  <si>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</si>
  <si>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</si>
  <si>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Preencher apenas as células em amarelo e substituir os caracteres em vermelho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</si>
  <si>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</si>
  <si>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</si>
  <si>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</si>
  <si>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</si>
  <si>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Gratificação de função de encarregado</t>
  </si>
  <si>
    <t>30% do salário base</t>
  </si>
  <si>
    <t>Benefício Social Familiar</t>
  </si>
  <si>
    <t>Cláusula 29 da CCT</t>
  </si>
  <si>
    <t>Copeira</t>
  </si>
  <si>
    <t>Copeira (o)</t>
  </si>
  <si>
    <t>Encarregada (o)</t>
  </si>
  <si>
    <t>Garçonete (garçom)</t>
  </si>
  <si>
    <t>Auxiliar de Serviços Gerais (ASG)</t>
  </si>
  <si>
    <t>Encarregada</t>
  </si>
  <si>
    <t>Garçonete</t>
  </si>
  <si>
    <t>ASG</t>
  </si>
  <si>
    <r>
      <t>OBJETO:</t>
    </r>
    <r>
      <rPr>
        <sz val="9"/>
        <rFont val="Tahoma"/>
        <family val="2"/>
      </rPr>
      <t xml:space="preserve"> Prestação de serviços continuados de limpeza, conservação e copeiragem, com fornecimento de materiais, equipamentos e itens de copa/cozinha para as dependências da Finep no Rio de Janeiro.</t>
    </r>
  </si>
  <si>
    <t>Encarregado/a</t>
  </si>
  <si>
    <t>Descrição</t>
  </si>
  <si>
    <t>Preço Unitário médio</t>
  </si>
  <si>
    <t>Preço Total</t>
  </si>
  <si>
    <t>Calça social</t>
  </si>
  <si>
    <t>Cinto</t>
  </si>
  <si>
    <t>Custo por profissional por mês</t>
  </si>
  <si>
    <t>Garçom/Garçonete</t>
  </si>
  <si>
    <t>Copeiro/a</t>
  </si>
  <si>
    <t>Camisa social</t>
  </si>
  <si>
    <t>Pares de meias</t>
  </si>
  <si>
    <t>Tênis (sapetenis)</t>
  </si>
  <si>
    <t>Quantidade para 30 meses</t>
  </si>
  <si>
    <t>Valor Total (30 meses)</t>
  </si>
  <si>
    <t>Sapato social</t>
  </si>
  <si>
    <t>Agasalho tipo moleton</t>
  </si>
  <si>
    <t>Avental/jaleco</t>
  </si>
  <si>
    <t>Camisa de malha</t>
  </si>
  <si>
    <t>Bota</t>
  </si>
  <si>
    <t>ITEM</t>
  </si>
  <si>
    <t>UN. MED.</t>
  </si>
  <si>
    <t xml:space="preserve">QTD Mensal </t>
  </si>
  <si>
    <t>Preço Unitário 
Médio</t>
  </si>
  <si>
    <t>Litro</t>
  </si>
  <si>
    <t>bombona 5L</t>
  </si>
  <si>
    <t>Frasco</t>
  </si>
  <si>
    <t>Detergente biodegradável concentrado</t>
  </si>
  <si>
    <t>Esponja dupla face</t>
  </si>
  <si>
    <t>unidade</t>
  </si>
  <si>
    <t>Flanela branca</t>
  </si>
  <si>
    <t>Hipoclorito de sódio concentrado</t>
  </si>
  <si>
    <t>Luvas G</t>
  </si>
  <si>
    <t>Luvas M</t>
  </si>
  <si>
    <t>Multi Uso 500 ml</t>
  </si>
  <si>
    <t>Pano de limpeza branco</t>
  </si>
  <si>
    <t>Saco de lixo 200L preto</t>
  </si>
  <si>
    <t>Fardo</t>
  </si>
  <si>
    <t>Saco de lixo 40L preto</t>
  </si>
  <si>
    <t>Escova Oval</t>
  </si>
  <si>
    <t>Esponja de aço (tipo Bombril ou similar)</t>
  </si>
  <si>
    <t>Pacotes</t>
  </si>
  <si>
    <t>Vaselina líquida 1L</t>
  </si>
  <si>
    <t>Lata</t>
  </si>
  <si>
    <t>Fibra</t>
  </si>
  <si>
    <t>Unidades</t>
  </si>
  <si>
    <t>Potes</t>
  </si>
  <si>
    <t>Caixa</t>
  </si>
  <si>
    <t>Unidade</t>
  </si>
  <si>
    <t xml:space="preserve"> Unidade</t>
  </si>
  <si>
    <t>pcte</t>
  </si>
  <si>
    <t>kg</t>
  </si>
  <si>
    <t>frasco</t>
  </si>
  <si>
    <t>Desentupidor de vaso</t>
  </si>
  <si>
    <t>Desentupidor de pia</t>
  </si>
  <si>
    <t>Borrifador</t>
  </si>
  <si>
    <t>Vassoura de tina</t>
  </si>
  <si>
    <t>Feiticeira</t>
  </si>
  <si>
    <t>Rodo de pia</t>
  </si>
  <si>
    <t>Papel toalha interfolhado</t>
  </si>
  <si>
    <t>fardo</t>
  </si>
  <si>
    <t xml:space="preserve">Valor Total </t>
  </si>
  <si>
    <t xml:space="preserve">MATERIAIS </t>
  </si>
  <si>
    <t>Equipamento</t>
  </si>
  <si>
    <t>Unid. Medida</t>
  </si>
  <si>
    <t>valor unitário</t>
  </si>
  <si>
    <t>Valor mensal</t>
  </si>
  <si>
    <t>Aspirador de Pó</t>
  </si>
  <si>
    <t>03</t>
  </si>
  <si>
    <t>Limpador de Vidros</t>
  </si>
  <si>
    <t>04</t>
  </si>
  <si>
    <t>Total equipamentos já amortizados</t>
  </si>
  <si>
    <t>Total mensal</t>
  </si>
  <si>
    <t>Valor por empregado por mês</t>
  </si>
  <si>
    <t>Óculos de proteção</t>
  </si>
  <si>
    <t>Quantidade 30 meses</t>
  </si>
  <si>
    <t>Valor 30 meses</t>
  </si>
  <si>
    <t>Bota Galocha</t>
  </si>
  <si>
    <t>Protetor Auricular</t>
  </si>
  <si>
    <t>Luva</t>
  </si>
  <si>
    <t>Álcool 70º</t>
  </si>
  <si>
    <t>Aromatizante</t>
  </si>
  <si>
    <t>Desinfetante</t>
  </si>
  <si>
    <t>Luvas GG</t>
  </si>
  <si>
    <t>Saco de lixo 300L preto</t>
  </si>
  <si>
    <t>Rolo</t>
  </si>
  <si>
    <t>Pano Multiuso</t>
  </si>
  <si>
    <t>Pasta de Limpeza Multiuso</t>
  </si>
  <si>
    <t>Papel higiênico interfolhado</t>
  </si>
  <si>
    <t>Papel toalha</t>
  </si>
  <si>
    <t>Sabonete líquido</t>
  </si>
  <si>
    <t>Dispensador papel toalha</t>
  </si>
  <si>
    <t>Dispensador de papel higiênico</t>
  </si>
  <si>
    <t>Dispensador de papel assento sanitário</t>
  </si>
  <si>
    <t>Dispensador absorvente</t>
  </si>
  <si>
    <t>Café em pó</t>
  </si>
  <si>
    <t>Açúcar refinado</t>
  </si>
  <si>
    <t>Adoçante dietético</t>
  </si>
  <si>
    <t>Mexedor de bambu ou madeira</t>
  </si>
  <si>
    <t>Pá de lixo</t>
  </si>
  <si>
    <t>Colher de pau</t>
  </si>
  <si>
    <t>Rodo</t>
  </si>
  <si>
    <t>Refil para mop</t>
  </si>
  <si>
    <t>Coador de café</t>
  </si>
  <si>
    <t>Álcool em gel 70º para as mãos</t>
  </si>
  <si>
    <t>Papel protetor de assento sanitário</t>
  </si>
  <si>
    <t>caixa</t>
  </si>
  <si>
    <t>Sacos de descarte de absorvente</t>
  </si>
  <si>
    <t>Balde</t>
  </si>
  <si>
    <t>Suporte para fibra</t>
  </si>
  <si>
    <t>Guardanapo</t>
  </si>
  <si>
    <t>Sabão de coco</t>
  </si>
  <si>
    <t>Quantidade de ASG</t>
  </si>
  <si>
    <t>QTD</t>
  </si>
  <si>
    <t>Copo de água</t>
  </si>
  <si>
    <t>Peça</t>
  </si>
  <si>
    <t>Xícara de café</t>
  </si>
  <si>
    <t>Xícara de chá</t>
  </si>
  <si>
    <t>Taça de sobremesa</t>
  </si>
  <si>
    <t>Jarro de vidro</t>
  </si>
  <si>
    <t>Bandeja retangular</t>
  </si>
  <si>
    <t>Bandeja redonda</t>
  </si>
  <si>
    <t>Porta copos</t>
  </si>
  <si>
    <t>Cesta de vime redonda</t>
  </si>
  <si>
    <t>Cesta de vime oval</t>
  </si>
  <si>
    <t>Dispenser para detergente</t>
  </si>
  <si>
    <t>Porta guardanapo</t>
  </si>
  <si>
    <t>Colher de sobremesa</t>
  </si>
  <si>
    <t>Colher de café</t>
  </si>
  <si>
    <t>Colher de chá</t>
  </si>
  <si>
    <t>Garfo de sobremesa</t>
  </si>
  <si>
    <t>Pratos para sobremesa</t>
  </si>
  <si>
    <t>Pegadores</t>
  </si>
  <si>
    <t>Espátula de bolo</t>
  </si>
  <si>
    <t>Bule de cafezinho</t>
  </si>
  <si>
    <t>Prato raso</t>
  </si>
  <si>
    <t>Açucareiro</t>
  </si>
  <si>
    <t>Garrafa térmica</t>
  </si>
  <si>
    <t>Jogo americano (forro de mesa)</t>
  </si>
  <si>
    <t>(VR/VA x 22 d.u.) - (Custo do empregado) Cláusula 23 da CCT</t>
  </si>
  <si>
    <t>Vassoura de piaçava</t>
  </si>
  <si>
    <t>Quantidade de copeiras e garçonetes</t>
  </si>
  <si>
    <t>Relatório de impacto ambiental</t>
  </si>
  <si>
    <t>Serviço</t>
  </si>
  <si>
    <t>Periodicidade</t>
  </si>
  <si>
    <t>Coleta e Compostagem de resíduos orgânicos (borra de café e cápsulas de café expresso)</t>
  </si>
  <si>
    <t>MENSAL</t>
  </si>
  <si>
    <t>O serviço de coleta e compostagem de resíduos orgânicos (borra de café e capsulas de café expresso), no mínimo semanalmente, com disponibilização de recipiente próprio para armazenagem. A empresa deverá enviar um relatório de impacto ambiental todo mês, informando o peso dos resíduos coletados, quantidade de adubo produzido e emissões evitadas em CO2-eq</t>
  </si>
  <si>
    <t>Valor Mensal por encarregada</t>
  </si>
  <si>
    <t>{[(Tot.1+Tot.2.1+Tot.2.2)÷30 dias]x 3 dias}÷ 12 meses</t>
  </si>
  <si>
    <t>Copo de papel descartável, biodegradável, impermeável, com capacidade aproximada de 200ml, caixa com 1.000 unidades, próprio para consumo de líquidos quentes e gelados.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</si>
</sst>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  <numFmt numFmtId="168" formatCode="0.000%"/>
    <numFmt numFmtId="169" formatCode="0_ ;\-0\ "/>
    <numFmt numFmtId="170" formatCode="0.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9"/>
      <color theme="3"/>
      <name val="Tahoma"/>
      <family val="2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9">
    <xf numFmtId="0" fontId="0" fillId="0" borderId="0" xfId="0"/>
    <xf numFmtId="0" fontId="13" fillId="0" borderId="0" xfId="0" applyFont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8" fontId="13" fillId="0" borderId="1" xfId="0" applyNumberFormat="1" applyFont="1" applyBorder="1" applyAlignment="1">
      <alignment vertical="center" wrapText="1"/>
    </xf>
    <xf numFmtId="8" fontId="13" fillId="5" borderId="1" xfId="0" applyNumberFormat="1" applyFont="1" applyFill="1" applyBorder="1" applyAlignment="1">
      <alignment horizontal="right" vertical="center" wrapText="1"/>
    </xf>
    <xf numFmtId="8" fontId="14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19" fillId="6" borderId="17" xfId="0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vertical="center"/>
    </xf>
    <xf numFmtId="10" fontId="13" fillId="0" borderId="1" xfId="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0" borderId="1" xfId="3" applyFont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14" fillId="2" borderId="1" xfId="0" applyNumberFormat="1" applyFont="1" applyFill="1" applyBorder="1" applyAlignment="1">
      <alignment vertical="center"/>
    </xf>
    <xf numFmtId="43" fontId="7" fillId="7" borderId="1" xfId="3" applyFont="1" applyFill="1" applyBorder="1" applyAlignment="1">
      <alignment vertical="center"/>
    </xf>
    <xf numFmtId="9" fontId="7" fillId="7" borderId="1" xfId="2" applyFont="1" applyFill="1" applyBorder="1" applyAlignment="1">
      <alignment horizontal="center" vertical="center"/>
    </xf>
    <xf numFmtId="10" fontId="7" fillId="7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3" fontId="7" fillId="7" borderId="1" xfId="3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right" vertical="center"/>
    </xf>
    <xf numFmtId="10" fontId="7" fillId="7" borderId="1" xfId="2" applyNumberFormat="1" applyFont="1" applyFill="1" applyBorder="1" applyAlignment="1">
      <alignment horizontal="right" vertical="center"/>
    </xf>
    <xf numFmtId="0" fontId="7" fillId="3" borderId="1" xfId="2" applyNumberFormat="1" applyFont="1" applyFill="1" applyBorder="1" applyAlignment="1">
      <alignment horizontal="right" vertical="center"/>
    </xf>
    <xf numFmtId="43" fontId="7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6" fontId="13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43" fontId="7" fillId="5" borderId="1" xfId="3" applyFont="1" applyFill="1" applyBorder="1" applyAlignment="1">
      <alignment vertical="center"/>
    </xf>
    <xf numFmtId="43" fontId="6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5" fillId="5" borderId="14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10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3" fillId="7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3" fontId="7" fillId="0" borderId="0" xfId="3" applyFont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3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6" fillId="0" borderId="0" xfId="3" applyFont="1" applyFill="1" applyBorder="1" applyAlignment="1">
      <alignment horizontal="center" vertical="center"/>
    </xf>
    <xf numFmtId="43" fontId="7" fillId="0" borderId="0" xfId="3" applyFont="1" applyFill="1" applyBorder="1" applyAlignment="1">
      <alignment horizontal="center" vertical="center"/>
    </xf>
    <xf numFmtId="165" fontId="13" fillId="5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3" fillId="0" borderId="1" xfId="0" applyNumberFormat="1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3" applyFont="1" applyFill="1" applyBorder="1" applyAlignment="1">
      <alignment horizontal="right" vertical="center"/>
    </xf>
    <xf numFmtId="164" fontId="6" fillId="0" borderId="0" xfId="1" applyFont="1" applyFill="1" applyBorder="1" applyAlignment="1">
      <alignment vertical="center"/>
    </xf>
    <xf numFmtId="165" fontId="14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10" fontId="7" fillId="8" borderId="1" xfId="2" applyNumberFormat="1" applyFont="1" applyFill="1" applyBorder="1" applyAlignment="1">
      <alignment horizontal="center" vertical="center"/>
    </xf>
    <xf numFmtId="43" fontId="7" fillId="8" borderId="1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10" fontId="7" fillId="8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65" fontId="26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15" fillId="5" borderId="0" xfId="0" applyFont="1" applyFill="1" applyAlignment="1">
      <alignment vertical="center"/>
    </xf>
    <xf numFmtId="0" fontId="26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13" fillId="5" borderId="2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vertical="center"/>
    </xf>
    <xf numFmtId="0" fontId="24" fillId="2" borderId="10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0" fillId="3" borderId="10" xfId="0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20" fillId="0" borderId="9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3" fillId="0" borderId="1" xfId="1" applyBorder="1"/>
    <xf numFmtId="0" fontId="0" fillId="0" borderId="0" xfId="0" applyAlignment="1">
      <alignment wrapText="1"/>
    </xf>
    <xf numFmtId="164" fontId="3" fillId="0" borderId="0" xfId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3" fillId="0" borderId="1" xfId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64" fontId="3" fillId="0" borderId="1" xfId="1" applyFill="1" applyBorder="1"/>
    <xf numFmtId="164" fontId="4" fillId="0" borderId="1" xfId="1" applyFont="1" applyBorder="1" applyAlignment="1">
      <alignment horizontal="center"/>
    </xf>
    <xf numFmtId="0" fontId="7" fillId="0" borderId="0" xfId="0" applyFont="1"/>
    <xf numFmtId="0" fontId="6" fillId="11" borderId="19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/>
    </xf>
    <xf numFmtId="168" fontId="6" fillId="0" borderId="0" xfId="0" applyNumberFormat="1" applyFont="1"/>
    <xf numFmtId="0" fontId="7" fillId="0" borderId="22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27" fillId="0" borderId="22" xfId="0" applyFont="1" applyBorder="1" applyAlignment="1">
      <alignment horizontal="justify" vertical="center"/>
    </xf>
    <xf numFmtId="43" fontId="7" fillId="0" borderId="0" xfId="0" applyNumberFormat="1" applyFont="1"/>
    <xf numFmtId="0" fontId="7" fillId="0" borderId="14" xfId="0" applyFont="1" applyBorder="1" applyAlignment="1">
      <alignment vertical="center"/>
    </xf>
    <xf numFmtId="169" fontId="6" fillId="2" borderId="1" xfId="3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7" fontId="0" fillId="0" borderId="1" xfId="0" applyNumberFormat="1" applyBorder="1"/>
    <xf numFmtId="1" fontId="0" fillId="12" borderId="1" xfId="0" applyNumberFormat="1" applyFill="1" applyBorder="1"/>
    <xf numFmtId="167" fontId="4" fillId="13" borderId="1" xfId="0" applyNumberFormat="1" applyFont="1" applyFill="1" applyBorder="1"/>
    <xf numFmtId="0" fontId="0" fillId="0" borderId="1" xfId="0" applyBorder="1" applyAlignment="1">
      <alignment horizontal="left"/>
    </xf>
    <xf numFmtId="0" fontId="7" fillId="0" borderId="2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justify" vertical="center"/>
    </xf>
    <xf numFmtId="0" fontId="7" fillId="0" borderId="24" xfId="0" applyFont="1" applyBorder="1" applyAlignment="1">
      <alignment horizontal="justify" vertical="center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164" fontId="3" fillId="0" borderId="1" xfId="1" applyFill="1" applyBorder="1" applyAlignment="1">
      <alignment horizontal="center"/>
    </xf>
    <xf numFmtId="164" fontId="3" fillId="0" borderId="1" xfId="1" applyBorder="1" applyAlignment="1">
      <alignment horizontal="center" vertical="center"/>
    </xf>
    <xf numFmtId="164" fontId="3" fillId="0" borderId="1" xfId="1" applyFill="1" applyBorder="1" applyAlignment="1">
      <alignment horizontal="center" vertical="center"/>
    </xf>
    <xf numFmtId="164" fontId="3" fillId="0" borderId="1" xfId="1" applyBorder="1" applyAlignment="1">
      <alignment vertical="center"/>
    </xf>
    <xf numFmtId="164" fontId="3" fillId="0" borderId="9" xfId="1" applyFill="1" applyBorder="1" applyAlignment="1">
      <alignment horizontal="center" vertical="center"/>
    </xf>
    <xf numFmtId="164" fontId="3" fillId="2" borderId="1" xfId="1" applyFill="1" applyBorder="1" applyAlignment="1">
      <alignment vertical="center"/>
    </xf>
    <xf numFmtId="0" fontId="4" fillId="0" borderId="1" xfId="0" applyFont="1" applyBorder="1"/>
    <xf numFmtId="0" fontId="0" fillId="0" borderId="1" xfId="0" applyBorder="1" applyAlignment="1">
      <alignment wrapText="1"/>
    </xf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0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8" fillId="5" borderId="0" xfId="0" applyFont="1" applyFill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24" fillId="2" borderId="9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left" vertical="center"/>
    </xf>
    <xf numFmtId="0" fontId="15" fillId="8" borderId="3" xfId="0" applyFont="1" applyFill="1" applyBorder="1" applyAlignment="1">
      <alignment horizontal="left" vertical="center"/>
    </xf>
    <xf numFmtId="0" fontId="15" fillId="8" borderId="10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167" fontId="13" fillId="7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3" fontId="6" fillId="9" borderId="0" xfId="3" applyFont="1" applyFill="1" applyBorder="1" applyAlignment="1">
      <alignment horizontal="center"/>
    </xf>
  </cellXfs>
  <cellStyles count="14">
    <cellStyle name="Moeda" xfId="1" builtinId="4"/>
    <cellStyle name="Moeda 2" xfId="6" xr:uid="{00000000-0005-0000-0000-000001000000}"/>
    <cellStyle name="Moeda 3" xfId="11" xr:uid="{00000000-0005-0000-0000-000002000000}"/>
    <cellStyle name="Normal" xfId="0" builtinId="0"/>
    <cellStyle name="Normal 2" xfId="5" xr:uid="{00000000-0005-0000-0000-000004000000}"/>
    <cellStyle name="Normal 3" xfId="4" xr:uid="{00000000-0005-0000-0000-000005000000}"/>
    <cellStyle name="Normal 4" xfId="12" xr:uid="{00000000-0005-0000-0000-000006000000}"/>
    <cellStyle name="Porcentagem" xfId="2" builtinId="5"/>
    <cellStyle name="Porcentagem 2" xfId="7" xr:uid="{00000000-0005-0000-0000-000008000000}"/>
    <cellStyle name="Porcentagem 3" xfId="10" xr:uid="{00000000-0005-0000-0000-000009000000}"/>
    <cellStyle name="Vírgula" xfId="3" builtinId="3"/>
    <cellStyle name="Vírgula 2" xfId="8" xr:uid="{00000000-0005-0000-0000-00000B000000}"/>
    <cellStyle name="Vírgula 3" xfId="9" xr:uid="{00000000-0005-0000-0000-00000C000000}"/>
    <cellStyle name="Vírgula 4" xfId="13" xr:uid="{00000000-0005-0000-0000-00000D000000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H27"/>
  <sheetViews>
    <sheetView showGridLines="0" zoomScaleNormal="100" workbookViewId="0">
      <selection activeCell="N11" sqref="N11:N12"/>
    </sheetView>
  </sheetViews>
  <sheetFormatPr defaultColWidth="9.140625" defaultRowHeight="22.5" customHeight="1" x14ac:dyDescent="0.2"/>
  <cols>
    <col min="1" max="1" width="3.28515625" style="54" customWidth="1"/>
    <col min="2" max="2" width="20.85546875" style="54" customWidth="1"/>
    <col min="3" max="4" width="13.28515625" style="54" customWidth="1"/>
    <col min="5" max="5" width="14.28515625" style="54" customWidth="1"/>
    <col min="6" max="6" width="14.42578125" style="54" bestFit="1" customWidth="1"/>
    <col min="7" max="7" width="16.140625" style="54" bestFit="1" customWidth="1"/>
    <col min="8" max="8" width="14.7109375" style="54" bestFit="1" customWidth="1"/>
    <col min="9" max="16384" width="9.140625" style="54"/>
  </cols>
  <sheetData>
    <row r="1" spans="2:8" ht="22.5" customHeight="1" x14ac:dyDescent="0.2">
      <c r="B1" s="224" t="s">
        <v>121</v>
      </c>
      <c r="C1" s="224"/>
      <c r="D1" s="224"/>
      <c r="E1" s="224"/>
      <c r="F1" s="224"/>
      <c r="G1" s="224"/>
    </row>
    <row r="3" spans="2:8" ht="22.5" customHeight="1" x14ac:dyDescent="0.2">
      <c r="B3" s="58" t="s">
        <v>122</v>
      </c>
    </row>
    <row r="4" spans="2:8" ht="48.75" customHeight="1" x14ac:dyDescent="0.2">
      <c r="B4" s="225" t="s">
        <v>206</v>
      </c>
      <c r="C4" s="225"/>
      <c r="D4" s="225"/>
      <c r="E4" s="225"/>
      <c r="F4" s="225"/>
      <c r="G4" s="225"/>
      <c r="H4" s="55"/>
    </row>
    <row r="5" spans="2:8" ht="22.5" customHeight="1" thickBot="1" x14ac:dyDescent="0.25"/>
    <row r="6" spans="2:8" ht="22.5" customHeight="1" thickBot="1" x14ac:dyDescent="0.25">
      <c r="B6" s="218" t="s">
        <v>89</v>
      </c>
      <c r="C6" s="219"/>
      <c r="D6" s="219"/>
      <c r="E6" s="219"/>
      <c r="F6" s="219"/>
      <c r="G6" s="220"/>
    </row>
    <row r="7" spans="2:8" ht="22.5" customHeight="1" x14ac:dyDescent="0.2">
      <c r="B7" s="13"/>
      <c r="C7" s="13"/>
      <c r="D7" s="13"/>
      <c r="E7" s="13"/>
      <c r="F7" s="13"/>
      <c r="G7" s="13"/>
    </row>
    <row r="8" spans="2:8" ht="22.5" customHeight="1" x14ac:dyDescent="0.2">
      <c r="B8" s="44" t="s">
        <v>85</v>
      </c>
      <c r="C8" s="44" t="s">
        <v>120</v>
      </c>
      <c r="D8" s="44" t="s">
        <v>86</v>
      </c>
      <c r="E8" s="44" t="s">
        <v>95</v>
      </c>
      <c r="F8" s="44" t="s">
        <v>87</v>
      </c>
      <c r="G8" s="44" t="s">
        <v>88</v>
      </c>
    </row>
    <row r="9" spans="2:8" ht="22.5" customHeight="1" x14ac:dyDescent="0.2">
      <c r="B9" s="169" t="s">
        <v>203</v>
      </c>
      <c r="C9" s="53">
        <v>2</v>
      </c>
      <c r="D9" s="5">
        <v>30</v>
      </c>
      <c r="E9" s="6">
        <f>Encarregada!H135</f>
        <v>8035.5926666666692</v>
      </c>
      <c r="F9" s="7">
        <f>E9*C9</f>
        <v>16071.185333333338</v>
      </c>
      <c r="G9" s="7">
        <f>F9*D9</f>
        <v>482135.56000000017</v>
      </c>
    </row>
    <row r="10" spans="2:8" ht="22.5" customHeight="1" x14ac:dyDescent="0.2">
      <c r="B10" s="169" t="s">
        <v>198</v>
      </c>
      <c r="C10" s="53">
        <v>4</v>
      </c>
      <c r="D10" s="5">
        <v>30</v>
      </c>
      <c r="E10" s="6">
        <f>Copeira!H134</f>
        <v>5532.1952727272719</v>
      </c>
      <c r="F10" s="7">
        <f t="shared" ref="F10:F12" si="0">E10*C10</f>
        <v>22128.781090909088</v>
      </c>
      <c r="G10" s="7">
        <f t="shared" ref="G10:G12" si="1">F10*D10</f>
        <v>663863.43272727262</v>
      </c>
    </row>
    <row r="11" spans="2:8" ht="22.5" customHeight="1" x14ac:dyDescent="0.2">
      <c r="B11" s="169" t="s">
        <v>204</v>
      </c>
      <c r="C11" s="53">
        <v>7</v>
      </c>
      <c r="D11" s="5">
        <v>30</v>
      </c>
      <c r="E11" s="6">
        <f>Garçonete!H134</f>
        <v>7204.4538441558425</v>
      </c>
      <c r="F11" s="7">
        <f t="shared" si="0"/>
        <v>50431.1769090909</v>
      </c>
      <c r="G11" s="7">
        <f t="shared" si="1"/>
        <v>1512935.3072727269</v>
      </c>
    </row>
    <row r="12" spans="2:8" ht="22.5" customHeight="1" x14ac:dyDescent="0.2">
      <c r="B12" s="169" t="s">
        <v>205</v>
      </c>
      <c r="C12" s="53">
        <v>19</v>
      </c>
      <c r="D12" s="5">
        <v>30</v>
      </c>
      <c r="E12" s="6">
        <f>ASG!H134</f>
        <v>7979.010649122808</v>
      </c>
      <c r="F12" s="7">
        <f t="shared" si="0"/>
        <v>151601.20233333335</v>
      </c>
      <c r="G12" s="7">
        <f t="shared" si="1"/>
        <v>4548036.07</v>
      </c>
    </row>
    <row r="13" spans="2:8" ht="22.5" customHeight="1" x14ac:dyDescent="0.2">
      <c r="B13" s="16" t="s">
        <v>61</v>
      </c>
      <c r="C13" s="53">
        <f>SUM(C9:C12)</f>
        <v>32</v>
      </c>
      <c r="D13" s="222"/>
      <c r="E13" s="223"/>
      <c r="F13" s="9">
        <f>SUM(F9:F12)</f>
        <v>240232.34566666669</v>
      </c>
      <c r="G13" s="8">
        <f>SUM(G9:G12)</f>
        <v>7206970.3700000001</v>
      </c>
    </row>
    <row r="14" spans="2:8" ht="22.5" customHeight="1" x14ac:dyDescent="0.2">
      <c r="B14" s="221" t="s">
        <v>118</v>
      </c>
      <c r="C14" s="221"/>
      <c r="D14" s="221"/>
      <c r="E14" s="221"/>
      <c r="F14" s="221"/>
      <c r="G14" s="56">
        <f>G13</f>
        <v>7206970.3700000001</v>
      </c>
    </row>
    <row r="15" spans="2:8" ht="22.5" customHeight="1" x14ac:dyDescent="0.2">
      <c r="F15" s="1"/>
    </row>
    <row r="16" spans="2:8" ht="22.5" customHeight="1" x14ac:dyDescent="0.2">
      <c r="F16" s="1"/>
    </row>
    <row r="17" spans="2:6" ht="22.5" customHeight="1" x14ac:dyDescent="0.2">
      <c r="B17" s="2" t="s">
        <v>53</v>
      </c>
      <c r="C17" s="3"/>
      <c r="D17" s="74"/>
      <c r="E17" s="1" t="s">
        <v>54</v>
      </c>
      <c r="F17" s="1"/>
    </row>
    <row r="18" spans="2:6" ht="22.5" customHeight="1" x14ac:dyDescent="0.2">
      <c r="B18" s="54" t="s">
        <v>188</v>
      </c>
      <c r="F18" s="1"/>
    </row>
    <row r="19" spans="2:6" ht="22.5" customHeight="1" x14ac:dyDescent="0.2">
      <c r="F19" s="1"/>
    </row>
    <row r="20" spans="2:6" ht="22.5" customHeight="1" x14ac:dyDescent="0.2">
      <c r="E20" s="124" t="s">
        <v>181</v>
      </c>
      <c r="F20" s="1"/>
    </row>
    <row r="21" spans="2:6" ht="22.5" customHeight="1" x14ac:dyDescent="0.2">
      <c r="E21" s="125"/>
    </row>
    <row r="22" spans="2:6" ht="22.5" customHeight="1" x14ac:dyDescent="0.2">
      <c r="E22" s="125" t="s">
        <v>182</v>
      </c>
    </row>
    <row r="23" spans="2:6" ht="22.5" customHeight="1" x14ac:dyDescent="0.2">
      <c r="E23" s="125" t="s">
        <v>183</v>
      </c>
    </row>
    <row r="24" spans="2:6" ht="22.5" customHeight="1" x14ac:dyDescent="0.2">
      <c r="E24" s="125" t="s">
        <v>184</v>
      </c>
    </row>
    <row r="25" spans="2:6" ht="22.5" customHeight="1" x14ac:dyDescent="0.2">
      <c r="E25" s="125" t="s">
        <v>185</v>
      </c>
    </row>
    <row r="26" spans="2:6" ht="22.5" customHeight="1" x14ac:dyDescent="0.2">
      <c r="E26" s="125" t="s">
        <v>186</v>
      </c>
    </row>
    <row r="27" spans="2:6" ht="22.5" customHeight="1" x14ac:dyDescent="0.2">
      <c r="E27" s="125" t="s">
        <v>187</v>
      </c>
    </row>
  </sheetData>
  <mergeCells count="5">
    <mergeCell ref="B6:G6"/>
    <mergeCell ref="B14:F14"/>
    <mergeCell ref="D13:E13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B1:I148"/>
  <sheetViews>
    <sheetView showGridLines="0" topLeftCell="B1" zoomScaleNormal="100" workbookViewId="0">
      <selection activeCell="B74" sqref="B74:I148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 customWidth="1"/>
    <col min="8" max="9" width="15.28515625" style="59" customWidth="1"/>
    <col min="10" max="16384" width="9.140625" style="59"/>
  </cols>
  <sheetData>
    <row r="1" spans="2:9" x14ac:dyDescent="0.2">
      <c r="C1" s="107"/>
      <c r="D1" s="14"/>
      <c r="E1" s="14"/>
      <c r="F1" s="14"/>
      <c r="G1" s="14"/>
      <c r="H1" s="14"/>
      <c r="I1" s="14"/>
    </row>
    <row r="2" spans="2:9" x14ac:dyDescent="0.2">
      <c r="B2" s="288" t="s">
        <v>50</v>
      </c>
      <c r="C2" s="288"/>
      <c r="D2" s="288"/>
      <c r="E2" s="288"/>
      <c r="F2" s="288"/>
      <c r="G2" s="288"/>
      <c r="H2" s="288"/>
      <c r="I2" s="93"/>
    </row>
    <row r="3" spans="2:9" x14ac:dyDescent="0.2">
      <c r="B3" s="289" t="s">
        <v>189</v>
      </c>
      <c r="C3" s="289"/>
      <c r="D3" s="289"/>
      <c r="E3" s="289"/>
      <c r="F3" s="289"/>
      <c r="G3" s="289"/>
      <c r="H3" s="289"/>
      <c r="I3" s="95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0" t="s">
        <v>125</v>
      </c>
      <c r="C6" s="130"/>
      <c r="D6" s="291" t="s">
        <v>200</v>
      </c>
      <c r="E6" s="292"/>
      <c r="F6" s="293"/>
      <c r="I6" s="15"/>
    </row>
    <row r="7" spans="2:9" x14ac:dyDescent="0.2">
      <c r="B7" s="61"/>
      <c r="C7" s="61"/>
      <c r="D7" s="61"/>
      <c r="E7" s="61"/>
      <c r="F7" s="61"/>
      <c r="G7" s="61"/>
      <c r="H7" s="61"/>
      <c r="I7" s="14"/>
    </row>
    <row r="8" spans="2:9" x14ac:dyDescent="0.2">
      <c r="B8" s="294" t="s">
        <v>51</v>
      </c>
      <c r="C8" s="294"/>
      <c r="D8" s="294"/>
      <c r="E8" s="294"/>
      <c r="F8" s="294"/>
      <c r="G8" s="131"/>
      <c r="H8" s="131"/>
      <c r="I8" s="60"/>
    </row>
    <row r="9" spans="2:9" x14ac:dyDescent="0.2">
      <c r="B9" s="290">
        <v>1</v>
      </c>
      <c r="C9" s="295" t="s">
        <v>52</v>
      </c>
      <c r="D9" s="295"/>
      <c r="E9" s="295"/>
      <c r="F9" s="295"/>
      <c r="G9" s="131"/>
      <c r="H9" s="131"/>
      <c r="I9" s="60"/>
    </row>
    <row r="10" spans="2:9" x14ac:dyDescent="0.2">
      <c r="B10" s="290"/>
      <c r="C10" s="296"/>
      <c r="D10" s="296"/>
      <c r="E10" s="296"/>
      <c r="F10" s="296"/>
      <c r="G10" s="131"/>
      <c r="H10" s="131"/>
      <c r="I10" s="60"/>
    </row>
    <row r="11" spans="2:9" x14ac:dyDescent="0.2">
      <c r="B11" s="290">
        <v>2</v>
      </c>
      <c r="C11" s="295" t="s">
        <v>55</v>
      </c>
      <c r="D11" s="295"/>
      <c r="E11" s="295"/>
      <c r="F11" s="295"/>
      <c r="G11" s="131"/>
      <c r="H11" s="131"/>
      <c r="I11" s="60"/>
    </row>
    <row r="12" spans="2:9" x14ac:dyDescent="0.2">
      <c r="B12" s="290"/>
      <c r="C12" s="296"/>
      <c r="D12" s="296"/>
      <c r="E12" s="296"/>
      <c r="F12" s="296"/>
      <c r="G12" s="131"/>
      <c r="H12" s="131"/>
      <c r="I12" s="60"/>
    </row>
    <row r="13" spans="2:9" x14ac:dyDescent="0.2">
      <c r="B13" s="290">
        <v>3</v>
      </c>
      <c r="C13" s="295" t="s">
        <v>56</v>
      </c>
      <c r="D13" s="295"/>
      <c r="E13" s="295"/>
      <c r="F13" s="295"/>
      <c r="G13" s="131"/>
      <c r="H13" s="131"/>
      <c r="I13" s="60"/>
    </row>
    <row r="14" spans="2:9" x14ac:dyDescent="0.2">
      <c r="B14" s="290"/>
      <c r="C14" s="297"/>
      <c r="D14" s="297"/>
      <c r="E14" s="297"/>
      <c r="F14" s="297"/>
      <c r="G14" s="131"/>
      <c r="H14" s="131"/>
      <c r="I14" s="60"/>
    </row>
    <row r="15" spans="2:9" x14ac:dyDescent="0.2">
      <c r="B15" s="290">
        <v>4</v>
      </c>
      <c r="C15" s="295" t="s">
        <v>57</v>
      </c>
      <c r="D15" s="295"/>
      <c r="E15" s="295"/>
      <c r="F15" s="295"/>
      <c r="G15" s="131"/>
      <c r="H15" s="131"/>
      <c r="I15" s="60"/>
    </row>
    <row r="16" spans="2:9" x14ac:dyDescent="0.2">
      <c r="B16" s="290"/>
      <c r="C16" s="296"/>
      <c r="D16" s="296"/>
      <c r="E16" s="296"/>
      <c r="F16" s="296"/>
      <c r="G16" s="131"/>
      <c r="H16" s="131"/>
      <c r="I16" s="60"/>
    </row>
    <row r="17" spans="2:9" x14ac:dyDescent="0.2">
      <c r="B17" s="290">
        <v>5</v>
      </c>
      <c r="C17" s="295" t="s">
        <v>58</v>
      </c>
      <c r="D17" s="295"/>
      <c r="E17" s="295"/>
      <c r="F17" s="295"/>
      <c r="G17" s="131"/>
      <c r="H17" s="131"/>
      <c r="I17" s="60"/>
    </row>
    <row r="18" spans="2:9" x14ac:dyDescent="0.2">
      <c r="B18" s="290"/>
      <c r="C18" s="296"/>
      <c r="D18" s="296"/>
      <c r="E18" s="296"/>
      <c r="F18" s="296"/>
      <c r="G18" s="131"/>
      <c r="H18" s="131"/>
      <c r="I18" s="60"/>
    </row>
    <row r="19" spans="2:9" x14ac:dyDescent="0.2">
      <c r="B19" s="290">
        <v>6</v>
      </c>
      <c r="C19" s="295" t="s">
        <v>59</v>
      </c>
      <c r="D19" s="295"/>
      <c r="E19" s="295"/>
      <c r="F19" s="295"/>
      <c r="G19" s="131"/>
      <c r="H19" s="131"/>
      <c r="I19" s="60"/>
    </row>
    <row r="20" spans="2:9" x14ac:dyDescent="0.2">
      <c r="B20" s="290"/>
      <c r="C20" s="296"/>
      <c r="D20" s="296"/>
      <c r="E20" s="296"/>
      <c r="F20" s="296"/>
      <c r="G20" s="131"/>
      <c r="H20" s="131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</row>
    <row r="23" spans="2:9" x14ac:dyDescent="0.2">
      <c r="B23" s="248" t="s">
        <v>66</v>
      </c>
      <c r="C23" s="249"/>
      <c r="D23" s="249"/>
      <c r="E23" s="249"/>
      <c r="F23" s="249"/>
      <c r="G23" s="134"/>
      <c r="H23" s="135"/>
      <c r="I23" s="94"/>
    </row>
    <row r="24" spans="2:9" x14ac:dyDescent="0.2">
      <c r="B24" s="89">
        <v>1</v>
      </c>
      <c r="C24" s="222" t="s">
        <v>60</v>
      </c>
      <c r="D24" s="247"/>
      <c r="E24" s="247"/>
      <c r="F24" s="223"/>
      <c r="G24" s="133" t="s">
        <v>1</v>
      </c>
      <c r="H24" s="133" t="s">
        <v>49</v>
      </c>
      <c r="I24" s="94"/>
    </row>
    <row r="25" spans="2:9" ht="12.75" customHeight="1" x14ac:dyDescent="0.2">
      <c r="B25" s="16" t="s">
        <v>4</v>
      </c>
      <c r="C25" s="87" t="s">
        <v>17</v>
      </c>
      <c r="D25" s="244"/>
      <c r="E25" s="245"/>
      <c r="F25" s="246"/>
      <c r="G25" s="17"/>
      <c r="H25" s="34">
        <v>1893.27</v>
      </c>
      <c r="I25" s="100"/>
    </row>
    <row r="26" spans="2:9" x14ac:dyDescent="0.2">
      <c r="B26" s="16" t="s">
        <v>5</v>
      </c>
      <c r="C26" s="87" t="s">
        <v>24</v>
      </c>
      <c r="D26" s="244" t="s">
        <v>126</v>
      </c>
      <c r="E26" s="245"/>
      <c r="F26" s="246"/>
      <c r="G26" s="35"/>
      <c r="H26" s="18">
        <f>TRUNC(H$25*$G26,2)</f>
        <v>0</v>
      </c>
      <c r="I26" s="96"/>
    </row>
    <row r="27" spans="2:9" x14ac:dyDescent="0.2">
      <c r="B27" s="16" t="s">
        <v>6</v>
      </c>
      <c r="C27" s="88" t="s">
        <v>25</v>
      </c>
      <c r="D27" s="244" t="s">
        <v>168</v>
      </c>
      <c r="E27" s="245"/>
      <c r="F27" s="246"/>
      <c r="G27" s="35"/>
      <c r="H27" s="18">
        <f>TRUNC(H$25*$G27,2)</f>
        <v>0</v>
      </c>
      <c r="I27" s="96"/>
    </row>
    <row r="28" spans="2:9" x14ac:dyDescent="0.2">
      <c r="B28" s="16" t="s">
        <v>7</v>
      </c>
      <c r="C28" s="88" t="s">
        <v>0</v>
      </c>
      <c r="D28" s="244" t="s">
        <v>175</v>
      </c>
      <c r="E28" s="245"/>
      <c r="F28" s="246"/>
      <c r="G28" s="36"/>
      <c r="H28" s="65">
        <f>TRUNC(((H$25+H26)*$G28)/220*8*15,2)</f>
        <v>0</v>
      </c>
      <c r="I28" s="97"/>
    </row>
    <row r="29" spans="2:9" x14ac:dyDescent="0.2">
      <c r="B29" s="117" t="s">
        <v>8</v>
      </c>
      <c r="C29" s="118" t="s">
        <v>26</v>
      </c>
      <c r="D29" s="285" t="s">
        <v>175</v>
      </c>
      <c r="E29" s="286"/>
      <c r="F29" s="287"/>
      <c r="G29" s="119"/>
      <c r="H29" s="120">
        <f>TRUNC(((H25+H26)*$G29)/220*1*15,2)</f>
        <v>0</v>
      </c>
      <c r="I29" s="121" t="s">
        <v>180</v>
      </c>
    </row>
    <row r="30" spans="2:9" x14ac:dyDescent="0.2">
      <c r="B30" s="122" t="s">
        <v>9</v>
      </c>
      <c r="C30" s="118" t="s">
        <v>108</v>
      </c>
      <c r="D30" s="285" t="s">
        <v>176</v>
      </c>
      <c r="E30" s="286"/>
      <c r="F30" s="287"/>
      <c r="G30" s="123"/>
      <c r="H30" s="120">
        <f>TRUNC($G$34*H34*(1+$G$30),2)</f>
        <v>0</v>
      </c>
      <c r="I30" s="121" t="s">
        <v>180</v>
      </c>
    </row>
    <row r="31" spans="2:9" x14ac:dyDescent="0.2">
      <c r="B31" s="16" t="s">
        <v>10</v>
      </c>
      <c r="C31" s="88" t="s">
        <v>194</v>
      </c>
      <c r="D31" s="244" t="s">
        <v>195</v>
      </c>
      <c r="E31" s="245"/>
      <c r="F31" s="246"/>
      <c r="G31" s="36">
        <v>0.3</v>
      </c>
      <c r="H31" s="49">
        <f>H25*G31</f>
        <v>567.98099999999999</v>
      </c>
      <c r="I31" s="98"/>
    </row>
    <row r="32" spans="2:9" x14ac:dyDescent="0.2">
      <c r="B32" s="16" t="s">
        <v>127</v>
      </c>
      <c r="C32" s="222" t="s">
        <v>61</v>
      </c>
      <c r="D32" s="247"/>
      <c r="E32" s="247"/>
      <c r="F32" s="223"/>
      <c r="G32" s="30"/>
      <c r="H32" s="19">
        <f>SUM(H25:H31)</f>
        <v>2461.2510000000002</v>
      </c>
      <c r="I32" s="20"/>
    </row>
    <row r="33" spans="2:9" ht="22.5" x14ac:dyDescent="0.2">
      <c r="B33" s="93"/>
      <c r="C33" s="284" t="s">
        <v>117</v>
      </c>
      <c r="D33" s="284"/>
      <c r="E33" s="284"/>
      <c r="F33" s="284"/>
      <c r="G33" s="52" t="s">
        <v>109</v>
      </c>
      <c r="H33" s="51" t="s">
        <v>119</v>
      </c>
      <c r="I33" s="4"/>
    </row>
    <row r="34" spans="2:9" x14ac:dyDescent="0.2">
      <c r="B34" s="93"/>
      <c r="C34" s="284"/>
      <c r="D34" s="284"/>
      <c r="E34" s="284"/>
      <c r="F34" s="284"/>
      <c r="G34" s="50"/>
      <c r="H34" s="37">
        <f>IF($G$34="",0,TRUNC((H25+H26+H27)/220,2))</f>
        <v>0</v>
      </c>
      <c r="I34" s="99"/>
    </row>
    <row r="35" spans="2:9" x14ac:dyDescent="0.2">
      <c r="B35" s="93"/>
      <c r="C35" s="93"/>
      <c r="D35" s="93"/>
      <c r="E35" s="93"/>
      <c r="F35" s="93"/>
      <c r="G35" s="93"/>
      <c r="H35" s="66"/>
      <c r="I35" s="20"/>
    </row>
    <row r="36" spans="2:9" x14ac:dyDescent="0.2">
      <c r="B36" s="93"/>
      <c r="C36" s="93"/>
      <c r="D36" s="93"/>
      <c r="E36" s="93"/>
      <c r="F36" s="93"/>
      <c r="G36" s="93"/>
      <c r="H36" s="66"/>
      <c r="I36" s="20"/>
    </row>
    <row r="37" spans="2:9" ht="12.75" customHeight="1" x14ac:dyDescent="0.2">
      <c r="B37" s="248" t="s">
        <v>67</v>
      </c>
      <c r="C37" s="249"/>
      <c r="D37" s="249"/>
      <c r="E37" s="249"/>
      <c r="F37" s="249"/>
      <c r="G37" s="134"/>
      <c r="H37" s="135"/>
      <c r="I37" s="94"/>
    </row>
    <row r="38" spans="2:9" x14ac:dyDescent="0.2">
      <c r="B38" s="271"/>
      <c r="C38" s="272"/>
      <c r="D38" s="272"/>
      <c r="E38" s="272"/>
      <c r="F38" s="272"/>
      <c r="G38" s="58"/>
      <c r="H38" s="58"/>
      <c r="I38" s="94"/>
    </row>
    <row r="39" spans="2:9" x14ac:dyDescent="0.2">
      <c r="B39" s="270" t="s">
        <v>36</v>
      </c>
      <c r="C39" s="270"/>
      <c r="D39" s="270"/>
      <c r="E39" s="270"/>
      <c r="F39" s="270"/>
      <c r="G39" s="58"/>
      <c r="H39" s="58"/>
      <c r="I39" s="94"/>
    </row>
    <row r="40" spans="2:9" x14ac:dyDescent="0.2">
      <c r="B40" s="133" t="s">
        <v>38</v>
      </c>
      <c r="C40" s="278" t="s">
        <v>27</v>
      </c>
      <c r="D40" s="279"/>
      <c r="E40" s="279"/>
      <c r="F40" s="280"/>
      <c r="G40" s="89" t="s">
        <v>1</v>
      </c>
      <c r="H40" s="89" t="s">
        <v>49</v>
      </c>
      <c r="I40" s="94"/>
    </row>
    <row r="41" spans="2:9" x14ac:dyDescent="0.2">
      <c r="B41" s="16" t="s">
        <v>4</v>
      </c>
      <c r="C41" s="87" t="s">
        <v>111</v>
      </c>
      <c r="D41" s="244" t="s">
        <v>128</v>
      </c>
      <c r="E41" s="245"/>
      <c r="F41" s="246"/>
      <c r="G41" s="138">
        <f>1/12</f>
        <v>8.3333333333333329E-2</v>
      </c>
      <c r="H41" s="139">
        <f>TRUNC((H$32*$G41),2)</f>
        <v>205.1</v>
      </c>
      <c r="I41" s="100"/>
    </row>
    <row r="42" spans="2:9" x14ac:dyDescent="0.2">
      <c r="B42" s="16" t="s">
        <v>5</v>
      </c>
      <c r="C42" s="87" t="s">
        <v>65</v>
      </c>
      <c r="D42" s="244" t="s">
        <v>130</v>
      </c>
      <c r="E42" s="245"/>
      <c r="F42" s="246"/>
      <c r="G42" s="21">
        <f>(1/12)+(1/3/12)</f>
        <v>0.1111111111111111</v>
      </c>
      <c r="H42" s="22">
        <f>TRUNC((H$32*$G42),2)</f>
        <v>273.47000000000003</v>
      </c>
      <c r="I42" s="100"/>
    </row>
    <row r="43" spans="2:9" x14ac:dyDescent="0.2">
      <c r="B43" s="16" t="s">
        <v>129</v>
      </c>
      <c r="C43" s="222" t="s">
        <v>61</v>
      </c>
      <c r="D43" s="247"/>
      <c r="E43" s="247"/>
      <c r="F43" s="223"/>
      <c r="G43" s="23">
        <f>TRUNC(SUM(G41:G42),4)</f>
        <v>0.19439999999999999</v>
      </c>
      <c r="H43" s="19">
        <f>SUM(H41:H42)</f>
        <v>478.57000000000005</v>
      </c>
      <c r="I43" s="20"/>
    </row>
    <row r="44" spans="2:9" x14ac:dyDescent="0.2">
      <c r="B44" s="260"/>
      <c r="C44" s="259"/>
      <c r="D44" s="259"/>
      <c r="E44" s="259"/>
      <c r="F44" s="259"/>
      <c r="G44" s="259"/>
      <c r="H44" s="261"/>
      <c r="I44" s="93"/>
    </row>
    <row r="45" spans="2:9" ht="30" customHeight="1" x14ac:dyDescent="0.2">
      <c r="B45" s="264" t="s">
        <v>68</v>
      </c>
      <c r="C45" s="265"/>
      <c r="D45" s="265"/>
      <c r="E45" s="265"/>
      <c r="F45" s="266"/>
      <c r="G45" s="136"/>
      <c r="H45" s="137"/>
      <c r="I45" s="101"/>
    </row>
    <row r="46" spans="2:9" x14ac:dyDescent="0.2">
      <c r="B46" s="89" t="s">
        <v>39</v>
      </c>
      <c r="C46" s="222" t="s">
        <v>69</v>
      </c>
      <c r="D46" s="247"/>
      <c r="E46" s="247"/>
      <c r="F46" s="223"/>
      <c r="G46" s="89" t="s">
        <v>1</v>
      </c>
      <c r="H46" s="89" t="s">
        <v>49</v>
      </c>
      <c r="I46" s="94"/>
    </row>
    <row r="47" spans="2:9" x14ac:dyDescent="0.2">
      <c r="B47" s="16" t="s">
        <v>4</v>
      </c>
      <c r="C47" s="87" t="s">
        <v>30</v>
      </c>
      <c r="D47" s="244" t="s">
        <v>131</v>
      </c>
      <c r="E47" s="245"/>
      <c r="F47" s="246"/>
      <c r="G47" s="21">
        <v>0.2</v>
      </c>
      <c r="H47" s="22">
        <f>TRUNC((H$32+H$43)*$G47,2)</f>
        <v>587.96</v>
      </c>
      <c r="I47" s="100"/>
    </row>
    <row r="48" spans="2:9" x14ac:dyDescent="0.2">
      <c r="B48" s="16" t="s">
        <v>5</v>
      </c>
      <c r="C48" s="75" t="s">
        <v>31</v>
      </c>
      <c r="D48" s="244" t="s">
        <v>132</v>
      </c>
      <c r="E48" s="245"/>
      <c r="F48" s="246"/>
      <c r="G48" s="21">
        <v>2.5000000000000001E-2</v>
      </c>
      <c r="H48" s="22">
        <f>TRUNC((H$32+H$43)*$G48,2)</f>
        <v>73.489999999999995</v>
      </c>
      <c r="I48" s="100"/>
    </row>
    <row r="49" spans="2:9" x14ac:dyDescent="0.2">
      <c r="B49" s="273" t="s">
        <v>6</v>
      </c>
      <c r="C49" s="275" t="s">
        <v>102</v>
      </c>
      <c r="D49" s="277" t="s">
        <v>138</v>
      </c>
      <c r="E49" s="10" t="s">
        <v>103</v>
      </c>
      <c r="F49" s="10" t="s">
        <v>101</v>
      </c>
      <c r="G49" s="281">
        <f>E50*F50</f>
        <v>0.03</v>
      </c>
      <c r="H49" s="283">
        <f>TRUNC((H$32+H$43)*$G49,2)</f>
        <v>88.19</v>
      </c>
      <c r="I49" s="103"/>
    </row>
    <row r="50" spans="2:9" x14ac:dyDescent="0.2">
      <c r="B50" s="274"/>
      <c r="C50" s="276"/>
      <c r="D50" s="277"/>
      <c r="E50" s="38">
        <v>0.03</v>
      </c>
      <c r="F50" s="39">
        <v>1</v>
      </c>
      <c r="G50" s="282"/>
      <c r="H50" s="283"/>
      <c r="I50" s="103"/>
    </row>
    <row r="51" spans="2:9" x14ac:dyDescent="0.2">
      <c r="B51" s="16" t="s">
        <v>7</v>
      </c>
      <c r="C51" s="87" t="s">
        <v>29</v>
      </c>
      <c r="D51" s="244" t="s">
        <v>133</v>
      </c>
      <c r="E51" s="245"/>
      <c r="F51" s="246"/>
      <c r="G51" s="21">
        <v>1.4999999999999999E-2</v>
      </c>
      <c r="H51" s="22">
        <f>TRUNC((H$32+H$43)*$G51,2)</f>
        <v>44.09</v>
      </c>
      <c r="I51" s="100"/>
    </row>
    <row r="52" spans="2:9" x14ac:dyDescent="0.2">
      <c r="B52" s="16" t="s">
        <v>8</v>
      </c>
      <c r="C52" s="87" t="s">
        <v>32</v>
      </c>
      <c r="D52" s="244" t="s">
        <v>134</v>
      </c>
      <c r="E52" s="245"/>
      <c r="F52" s="246"/>
      <c r="G52" s="21">
        <v>0.01</v>
      </c>
      <c r="H52" s="22">
        <f>TRUNC((H$32+H$43)*$G52,2)</f>
        <v>29.39</v>
      </c>
      <c r="I52" s="100"/>
    </row>
    <row r="53" spans="2:9" x14ac:dyDescent="0.2">
      <c r="B53" s="16" t="s">
        <v>9</v>
      </c>
      <c r="C53" s="87" t="s">
        <v>33</v>
      </c>
      <c r="D53" s="244" t="s">
        <v>135</v>
      </c>
      <c r="E53" s="245"/>
      <c r="F53" s="246"/>
      <c r="G53" s="21">
        <v>6.0000000000000001E-3</v>
      </c>
      <c r="H53" s="22">
        <f>TRUNC((H$32+H$43)*$G53,2)</f>
        <v>17.63</v>
      </c>
      <c r="I53" s="100"/>
    </row>
    <row r="54" spans="2:9" x14ac:dyDescent="0.2">
      <c r="B54" s="16" t="s">
        <v>10</v>
      </c>
      <c r="C54" s="87" t="s">
        <v>34</v>
      </c>
      <c r="D54" s="244" t="s">
        <v>136</v>
      </c>
      <c r="E54" s="245"/>
      <c r="F54" s="246"/>
      <c r="G54" s="21">
        <v>2E-3</v>
      </c>
      <c r="H54" s="22">
        <f>TRUNC((H$32+H$43)*$G54,2)</f>
        <v>5.87</v>
      </c>
      <c r="I54" s="100"/>
    </row>
    <row r="55" spans="2:9" x14ac:dyDescent="0.2">
      <c r="B55" s="16" t="s">
        <v>11</v>
      </c>
      <c r="C55" s="87" t="s">
        <v>35</v>
      </c>
      <c r="D55" s="244" t="s">
        <v>137</v>
      </c>
      <c r="E55" s="245"/>
      <c r="F55" s="246"/>
      <c r="G55" s="21">
        <v>0.08</v>
      </c>
      <c r="H55" s="22">
        <f>TRUNC((H$32+H$43)*$G55,2)</f>
        <v>235.18</v>
      </c>
      <c r="I55" s="100"/>
    </row>
    <row r="56" spans="2:9" x14ac:dyDescent="0.2">
      <c r="B56" s="16" t="s">
        <v>139</v>
      </c>
      <c r="C56" s="222" t="s">
        <v>61</v>
      </c>
      <c r="D56" s="247"/>
      <c r="E56" s="247"/>
      <c r="F56" s="223"/>
      <c r="G56" s="24">
        <f>SUM(G47:G55)</f>
        <v>0.36800000000000005</v>
      </c>
      <c r="H56" s="19">
        <f>SUM(H47:H55)</f>
        <v>1081.8000000000002</v>
      </c>
      <c r="I56" s="20"/>
    </row>
    <row r="57" spans="2:9" x14ac:dyDescent="0.2">
      <c r="B57" s="267"/>
      <c r="C57" s="268"/>
      <c r="D57" s="268"/>
      <c r="E57" s="268"/>
      <c r="F57" s="268"/>
      <c r="G57" s="268"/>
      <c r="H57" s="269"/>
      <c r="I57" s="112"/>
    </row>
    <row r="58" spans="2:9" ht="12.75" customHeight="1" x14ac:dyDescent="0.2">
      <c r="B58" s="264" t="s">
        <v>37</v>
      </c>
      <c r="C58" s="265"/>
      <c r="D58" s="265"/>
      <c r="E58" s="265"/>
      <c r="F58" s="266"/>
      <c r="G58" s="136"/>
      <c r="H58" s="137"/>
      <c r="I58" s="112"/>
    </row>
    <row r="59" spans="2:9" x14ac:dyDescent="0.2">
      <c r="B59" s="89" t="s">
        <v>40</v>
      </c>
      <c r="C59" s="222" t="s">
        <v>41</v>
      </c>
      <c r="D59" s="247"/>
      <c r="E59" s="247"/>
      <c r="F59" s="247"/>
      <c r="G59" s="76"/>
      <c r="H59" s="89" t="s">
        <v>49</v>
      </c>
      <c r="I59" s="94"/>
    </row>
    <row r="60" spans="2:9" ht="12.75" customHeight="1" x14ac:dyDescent="0.2">
      <c r="B60" s="16" t="s">
        <v>4</v>
      </c>
      <c r="C60" s="87" t="s">
        <v>47</v>
      </c>
      <c r="D60" s="159" t="s">
        <v>142</v>
      </c>
      <c r="E60" s="160"/>
      <c r="F60" s="160"/>
      <c r="G60" s="161"/>
      <c r="H60" s="40">
        <f>TRUNC((8.55*2*22)-(H$25*6%),2)</f>
        <v>262.60000000000002</v>
      </c>
      <c r="I60" s="113"/>
    </row>
    <row r="61" spans="2:9" ht="12.75" customHeight="1" x14ac:dyDescent="0.2">
      <c r="B61" s="16" t="s">
        <v>5</v>
      </c>
      <c r="C61" s="87" t="s">
        <v>48</v>
      </c>
      <c r="D61" s="159" t="s">
        <v>345</v>
      </c>
      <c r="E61" s="160"/>
      <c r="F61" s="160"/>
      <c r="G61" s="161"/>
      <c r="H61" s="40">
        <f>22.5*22*0.9</f>
        <v>445.5</v>
      </c>
      <c r="I61" s="113"/>
    </row>
    <row r="62" spans="2:9" x14ac:dyDescent="0.2">
      <c r="B62" s="16" t="s">
        <v>6</v>
      </c>
      <c r="C62" s="87" t="s">
        <v>196</v>
      </c>
      <c r="D62" s="159" t="s">
        <v>197</v>
      </c>
      <c r="E62" s="160"/>
      <c r="F62" s="160"/>
      <c r="G62" s="161"/>
      <c r="H62" s="40">
        <v>19</v>
      </c>
      <c r="I62" s="113"/>
    </row>
    <row r="63" spans="2:9" s="67" customFormat="1" x14ac:dyDescent="0.2">
      <c r="B63" s="16" t="s">
        <v>7</v>
      </c>
      <c r="C63" s="87" t="s">
        <v>2</v>
      </c>
      <c r="D63" s="159"/>
      <c r="E63" s="160"/>
      <c r="F63" s="160"/>
      <c r="G63" s="161"/>
      <c r="H63" s="40"/>
      <c r="I63" s="113"/>
    </row>
    <row r="64" spans="2:9" x14ac:dyDescent="0.2">
      <c r="B64" s="16" t="s">
        <v>140</v>
      </c>
      <c r="C64" s="222" t="s">
        <v>61</v>
      </c>
      <c r="D64" s="247"/>
      <c r="E64" s="247"/>
      <c r="F64" s="247"/>
      <c r="G64" s="76"/>
      <c r="H64" s="19">
        <f>SUM(H60:H63)</f>
        <v>727.1</v>
      </c>
      <c r="I64" s="20"/>
    </row>
    <row r="65" spans="2:9" x14ac:dyDescent="0.2">
      <c r="B65" s="260"/>
      <c r="C65" s="259"/>
      <c r="D65" s="259"/>
      <c r="E65" s="259"/>
      <c r="F65" s="259"/>
      <c r="G65" s="259"/>
      <c r="H65" s="261"/>
      <c r="I65" s="93"/>
    </row>
    <row r="66" spans="2:9" x14ac:dyDescent="0.2">
      <c r="B66" s="257" t="s">
        <v>71</v>
      </c>
      <c r="C66" s="258"/>
      <c r="D66" s="258"/>
      <c r="E66" s="258"/>
      <c r="F66" s="258"/>
      <c r="G66" s="140"/>
      <c r="H66" s="140"/>
      <c r="I66" s="93"/>
    </row>
    <row r="67" spans="2:9" x14ac:dyDescent="0.2">
      <c r="B67" s="89">
        <v>2</v>
      </c>
      <c r="C67" s="222" t="s">
        <v>70</v>
      </c>
      <c r="D67" s="247"/>
      <c r="E67" s="247"/>
      <c r="F67" s="247"/>
      <c r="G67" s="76"/>
      <c r="H67" s="89" t="s">
        <v>49</v>
      </c>
      <c r="I67" s="94"/>
    </row>
    <row r="68" spans="2:9" x14ac:dyDescent="0.2">
      <c r="B68" s="16" t="s">
        <v>38</v>
      </c>
      <c r="C68" s="77" t="s">
        <v>27</v>
      </c>
      <c r="D68" s="159" t="s">
        <v>129</v>
      </c>
      <c r="E68" s="160"/>
      <c r="F68" s="160"/>
      <c r="G68" s="161"/>
      <c r="H68" s="22">
        <f>H43</f>
        <v>478.57000000000005</v>
      </c>
      <c r="I68" s="100"/>
    </row>
    <row r="69" spans="2:9" x14ac:dyDescent="0.2">
      <c r="B69" s="16" t="s">
        <v>39</v>
      </c>
      <c r="C69" s="77" t="s">
        <v>28</v>
      </c>
      <c r="D69" s="159" t="s">
        <v>139</v>
      </c>
      <c r="E69" s="160"/>
      <c r="F69" s="160"/>
      <c r="G69" s="161"/>
      <c r="H69" s="22">
        <f>H56</f>
        <v>1081.8000000000002</v>
      </c>
      <c r="I69" s="100"/>
    </row>
    <row r="70" spans="2:9" x14ac:dyDescent="0.2">
      <c r="B70" s="16" t="s">
        <v>40</v>
      </c>
      <c r="C70" s="77" t="s">
        <v>41</v>
      </c>
      <c r="D70" s="159" t="s">
        <v>140</v>
      </c>
      <c r="E70" s="160"/>
      <c r="F70" s="160"/>
      <c r="G70" s="161"/>
      <c r="H70" s="22">
        <f>H64</f>
        <v>727.1</v>
      </c>
      <c r="I70" s="100"/>
    </row>
    <row r="71" spans="2:9" x14ac:dyDescent="0.2">
      <c r="B71" s="16" t="s">
        <v>141</v>
      </c>
      <c r="C71" s="222" t="s">
        <v>61</v>
      </c>
      <c r="D71" s="247"/>
      <c r="E71" s="247"/>
      <c r="F71" s="247"/>
      <c r="G71" s="76"/>
      <c r="H71" s="19">
        <f>SUM(H68:H70)</f>
        <v>2287.4700000000003</v>
      </c>
      <c r="I71" s="20"/>
    </row>
    <row r="72" spans="2:9" x14ac:dyDescent="0.2">
      <c r="B72" s="259"/>
      <c r="C72" s="259"/>
      <c r="D72" s="259"/>
      <c r="E72" s="259"/>
      <c r="F72" s="259"/>
      <c r="G72" s="259"/>
      <c r="H72" s="259"/>
      <c r="I72" s="94"/>
    </row>
    <row r="73" spans="2:9" x14ac:dyDescent="0.2">
      <c r="B73" s="93"/>
      <c r="C73" s="93"/>
      <c r="D73" s="93"/>
      <c r="E73" s="93"/>
      <c r="F73" s="93"/>
      <c r="G73" s="93"/>
      <c r="H73" s="93"/>
      <c r="I73" s="94"/>
    </row>
    <row r="74" spans="2:9" x14ac:dyDescent="0.2">
      <c r="B74" s="248" t="s">
        <v>72</v>
      </c>
      <c r="C74" s="249"/>
      <c r="D74" s="249"/>
      <c r="E74" s="249"/>
      <c r="F74" s="256"/>
      <c r="G74" s="134"/>
      <c r="H74" s="135"/>
      <c r="I74" s="94"/>
    </row>
    <row r="75" spans="2:9" x14ac:dyDescent="0.2">
      <c r="B75" s="89">
        <v>3</v>
      </c>
      <c r="C75" s="222" t="s">
        <v>62</v>
      </c>
      <c r="D75" s="247"/>
      <c r="E75" s="247"/>
      <c r="F75" s="223"/>
      <c r="G75" s="89" t="s">
        <v>1</v>
      </c>
      <c r="H75" s="89" t="s">
        <v>49</v>
      </c>
      <c r="I75" s="94"/>
    </row>
    <row r="76" spans="2:9" x14ac:dyDescent="0.2">
      <c r="B76" s="16" t="s">
        <v>4</v>
      </c>
      <c r="C76" s="78" t="s">
        <v>96</v>
      </c>
      <c r="D76" s="159" t="s">
        <v>157</v>
      </c>
      <c r="E76" s="160"/>
      <c r="F76" s="161"/>
      <c r="G76" s="41">
        <v>1</v>
      </c>
      <c r="H76" s="25">
        <f>TRUNC((H$77+H$78)*$G76,2)</f>
        <v>397.36</v>
      </c>
      <c r="I76" s="20"/>
    </row>
    <row r="77" spans="2:9" x14ac:dyDescent="0.2">
      <c r="B77" s="16" t="s">
        <v>5</v>
      </c>
      <c r="C77" s="87" t="s">
        <v>97</v>
      </c>
      <c r="D77" s="159" t="s">
        <v>177</v>
      </c>
      <c r="E77" s="160"/>
      <c r="F77" s="161"/>
      <c r="G77" s="26"/>
      <c r="H77" s="22">
        <f>TRUNC((H$32+H$43+H$55+H$64-H60)/12,2)</f>
        <v>303.29000000000002</v>
      </c>
      <c r="I77" s="100"/>
    </row>
    <row r="78" spans="2:9" x14ac:dyDescent="0.2">
      <c r="B78" s="16" t="s">
        <v>6</v>
      </c>
      <c r="C78" s="87" t="s">
        <v>98</v>
      </c>
      <c r="D78" s="244" t="s">
        <v>169</v>
      </c>
      <c r="E78" s="246"/>
      <c r="F78" s="43">
        <v>0.4</v>
      </c>
      <c r="G78" s="26"/>
      <c r="H78" s="22">
        <f>TRUNC(H$55*$F78,2)</f>
        <v>94.07</v>
      </c>
      <c r="I78" s="100"/>
    </row>
    <row r="79" spans="2:9" x14ac:dyDescent="0.2">
      <c r="B79" s="16" t="s">
        <v>7</v>
      </c>
      <c r="C79" s="78" t="s">
        <v>99</v>
      </c>
      <c r="D79" s="159" t="s">
        <v>158</v>
      </c>
      <c r="E79" s="160"/>
      <c r="F79" s="161"/>
      <c r="G79" s="41">
        <v>1</v>
      </c>
      <c r="H79" s="81">
        <f>IF($G79&gt;=1,(TRUNC(H$80*$G79,2)),"ERRO")</f>
        <v>94.07</v>
      </c>
      <c r="I79" s="102"/>
    </row>
    <row r="80" spans="2:9" x14ac:dyDescent="0.2">
      <c r="B80" s="16" t="s">
        <v>8</v>
      </c>
      <c r="C80" s="87" t="s">
        <v>100</v>
      </c>
      <c r="D80" s="244" t="s">
        <v>169</v>
      </c>
      <c r="E80" s="246"/>
      <c r="F80" s="43">
        <v>0.4</v>
      </c>
      <c r="G80" s="26"/>
      <c r="H80" s="22">
        <f>TRUNC(H$55*$F80,2)</f>
        <v>94.07</v>
      </c>
      <c r="I80" s="100"/>
    </row>
    <row r="81" spans="2:9" x14ac:dyDescent="0.2">
      <c r="B81" s="16" t="s">
        <v>9</v>
      </c>
      <c r="C81" s="78" t="s">
        <v>174</v>
      </c>
      <c r="D81" s="262" t="s">
        <v>355</v>
      </c>
      <c r="E81" s="263"/>
      <c r="F81" s="42">
        <v>12</v>
      </c>
      <c r="G81" s="42">
        <v>3</v>
      </c>
      <c r="H81" s="22">
        <f>TRUNC(((H$32+H$43+H$56)/30)*$G81/$F81,2)</f>
        <v>33.51</v>
      </c>
      <c r="I81" s="100"/>
    </row>
    <row r="82" spans="2:9" x14ac:dyDescent="0.2">
      <c r="B82" s="16" t="s">
        <v>144</v>
      </c>
      <c r="C82" s="222" t="s">
        <v>61</v>
      </c>
      <c r="D82" s="247"/>
      <c r="E82" s="247"/>
      <c r="F82" s="247"/>
      <c r="G82" s="76"/>
      <c r="H82" s="19">
        <f>H$76+H$79+H$81</f>
        <v>524.94000000000005</v>
      </c>
      <c r="I82" s="20"/>
    </row>
    <row r="83" spans="2:9" x14ac:dyDescent="0.2">
      <c r="B83" s="90"/>
      <c r="C83" s="90"/>
      <c r="D83" s="90"/>
      <c r="E83" s="90"/>
      <c r="F83" s="90"/>
      <c r="G83" s="90"/>
      <c r="H83" s="90"/>
      <c r="I83" s="90"/>
    </row>
    <row r="84" spans="2:9" x14ac:dyDescent="0.2">
      <c r="B84" s="93"/>
      <c r="C84" s="93"/>
      <c r="D84" s="93"/>
      <c r="E84" s="93"/>
      <c r="F84" s="93"/>
      <c r="G84" s="93"/>
      <c r="H84" s="93"/>
      <c r="I84" s="94"/>
    </row>
    <row r="85" spans="2:9" x14ac:dyDescent="0.2">
      <c r="B85" s="248" t="s">
        <v>73</v>
      </c>
      <c r="C85" s="249"/>
      <c r="D85" s="249"/>
      <c r="E85" s="249"/>
      <c r="F85" s="256"/>
      <c r="G85" s="134"/>
      <c r="H85" s="135"/>
      <c r="I85" s="94"/>
    </row>
    <row r="86" spans="2:9" x14ac:dyDescent="0.2">
      <c r="B86" s="253" t="s">
        <v>90</v>
      </c>
      <c r="C86" s="254"/>
      <c r="D86" s="254"/>
      <c r="E86" s="254"/>
      <c r="F86" s="254"/>
      <c r="G86" s="141"/>
      <c r="H86" s="142"/>
      <c r="I86" s="94"/>
    </row>
    <row r="87" spans="2:9" x14ac:dyDescent="0.2">
      <c r="B87" s="89" t="s">
        <v>14</v>
      </c>
      <c r="C87" s="222" t="s">
        <v>91</v>
      </c>
      <c r="D87" s="247"/>
      <c r="E87" s="247"/>
      <c r="F87" s="223"/>
      <c r="G87" s="89" t="s">
        <v>104</v>
      </c>
      <c r="H87" s="89" t="s">
        <v>49</v>
      </c>
      <c r="I87" s="94"/>
    </row>
    <row r="88" spans="2:9" x14ac:dyDescent="0.2">
      <c r="B88" s="16" t="s">
        <v>4</v>
      </c>
      <c r="C88" s="87" t="s">
        <v>110</v>
      </c>
      <c r="D88" s="159" t="s">
        <v>150</v>
      </c>
      <c r="E88" s="160"/>
      <c r="F88" s="161"/>
      <c r="G88" s="42">
        <v>30</v>
      </c>
      <c r="H88" s="22">
        <f>TRUNC((H$90*$G88)/12,2)</f>
        <v>439.45</v>
      </c>
      <c r="I88" s="100"/>
    </row>
    <row r="89" spans="2:9" ht="22.5" x14ac:dyDescent="0.2">
      <c r="B89" s="16" t="s">
        <v>5</v>
      </c>
      <c r="C89" s="79" t="s">
        <v>156</v>
      </c>
      <c r="D89" s="162" t="s">
        <v>159</v>
      </c>
      <c r="E89" s="163"/>
      <c r="F89" s="164"/>
      <c r="G89" s="57">
        <v>8</v>
      </c>
      <c r="H89" s="22">
        <f>TRUNC((H$90*$G89)/12,2)</f>
        <v>117.18</v>
      </c>
      <c r="I89" s="100"/>
    </row>
    <row r="90" spans="2:9" x14ac:dyDescent="0.2">
      <c r="B90" s="16" t="s">
        <v>6</v>
      </c>
      <c r="C90" s="87" t="s">
        <v>112</v>
      </c>
      <c r="D90" s="159" t="s">
        <v>143</v>
      </c>
      <c r="E90" s="160"/>
      <c r="F90" s="160"/>
      <c r="G90" s="161"/>
      <c r="H90" s="22">
        <f>TRUNC((H$32+H$71+H$82)/30,2)</f>
        <v>175.78</v>
      </c>
      <c r="I90" s="100"/>
    </row>
    <row r="91" spans="2:9" x14ac:dyDescent="0.2">
      <c r="B91" s="16" t="s">
        <v>145</v>
      </c>
      <c r="C91" s="222" t="s">
        <v>61</v>
      </c>
      <c r="D91" s="247"/>
      <c r="E91" s="247"/>
      <c r="F91" s="247"/>
      <c r="G91" s="76"/>
      <c r="H91" s="19">
        <f>TRUNC(H$88+H$89,2)</f>
        <v>556.63</v>
      </c>
      <c r="I91" s="20"/>
    </row>
    <row r="92" spans="2:9" x14ac:dyDescent="0.2">
      <c r="B92" s="68"/>
      <c r="C92" s="69"/>
      <c r="D92" s="69"/>
      <c r="E92" s="69"/>
      <c r="F92" s="69"/>
      <c r="G92" s="69"/>
      <c r="H92" s="70"/>
      <c r="I92" s="27"/>
    </row>
    <row r="93" spans="2:9" x14ac:dyDescent="0.2">
      <c r="B93" s="257" t="s">
        <v>92</v>
      </c>
      <c r="C93" s="258"/>
      <c r="D93" s="258"/>
      <c r="E93" s="258"/>
      <c r="F93" s="258"/>
      <c r="G93" s="143"/>
      <c r="H93" s="144"/>
      <c r="I93" s="94"/>
    </row>
    <row r="94" spans="2:9" x14ac:dyDescent="0.2">
      <c r="B94" s="89" t="s">
        <v>15</v>
      </c>
      <c r="C94" s="222" t="s">
        <v>93</v>
      </c>
      <c r="D94" s="247"/>
      <c r="E94" s="247"/>
      <c r="F94" s="223"/>
      <c r="G94" s="89" t="s">
        <v>104</v>
      </c>
      <c r="H94" s="89" t="s">
        <v>49</v>
      </c>
      <c r="I94" s="94"/>
    </row>
    <row r="95" spans="2:9" ht="22.5" x14ac:dyDescent="0.2">
      <c r="B95" s="16" t="s">
        <v>4</v>
      </c>
      <c r="C95" s="79" t="s">
        <v>94</v>
      </c>
      <c r="D95" s="159" t="s">
        <v>179</v>
      </c>
      <c r="E95" s="160"/>
      <c r="F95" s="160"/>
      <c r="G95" s="42"/>
      <c r="H95" s="22">
        <f>TRUNC(((H$32+H71+H82)/220)*(1+50%)*G95,2)</f>
        <v>0</v>
      </c>
      <c r="I95" s="100"/>
    </row>
    <row r="96" spans="2:9" x14ac:dyDescent="0.2">
      <c r="B96" s="16" t="s">
        <v>146</v>
      </c>
      <c r="C96" s="222" t="s">
        <v>61</v>
      </c>
      <c r="D96" s="247"/>
      <c r="E96" s="247"/>
      <c r="F96" s="247"/>
      <c r="G96" s="126"/>
      <c r="H96" s="19">
        <f>H95</f>
        <v>0</v>
      </c>
      <c r="I96" s="100"/>
    </row>
    <row r="97" spans="2:9" x14ac:dyDescent="0.2">
      <c r="B97" s="92"/>
      <c r="C97" s="91"/>
      <c r="D97" s="91"/>
      <c r="E97" s="91"/>
      <c r="F97" s="91"/>
      <c r="G97" s="93"/>
      <c r="H97" s="158"/>
      <c r="I97" s="116"/>
    </row>
    <row r="98" spans="2:9" x14ac:dyDescent="0.2">
      <c r="B98" s="257" t="s">
        <v>74</v>
      </c>
      <c r="C98" s="258"/>
      <c r="D98" s="258"/>
      <c r="E98" s="258"/>
      <c r="F98" s="258"/>
      <c r="G98" s="143"/>
      <c r="H98" s="144"/>
      <c r="I98" s="94"/>
    </row>
    <row r="99" spans="2:9" x14ac:dyDescent="0.2">
      <c r="B99" s="89">
        <v>4</v>
      </c>
      <c r="C99" s="222" t="s">
        <v>75</v>
      </c>
      <c r="D99" s="247"/>
      <c r="E99" s="247"/>
      <c r="F99" s="247"/>
      <c r="G99" s="223"/>
      <c r="H99" s="89" t="s">
        <v>49</v>
      </c>
      <c r="I99" s="94"/>
    </row>
    <row r="100" spans="2:9" x14ac:dyDescent="0.2">
      <c r="B100" s="16" t="s">
        <v>14</v>
      </c>
      <c r="C100" s="87" t="s">
        <v>42</v>
      </c>
      <c r="D100" s="159" t="s">
        <v>145</v>
      </c>
      <c r="E100" s="160"/>
      <c r="F100" s="160"/>
      <c r="G100" s="161"/>
      <c r="H100" s="22">
        <f>H91</f>
        <v>556.63</v>
      </c>
      <c r="I100" s="100"/>
    </row>
    <row r="101" spans="2:9" x14ac:dyDescent="0.2">
      <c r="B101" s="16" t="s">
        <v>15</v>
      </c>
      <c r="C101" s="87" t="s">
        <v>44</v>
      </c>
      <c r="D101" s="159" t="s">
        <v>146</v>
      </c>
      <c r="E101" s="160"/>
      <c r="F101" s="160"/>
      <c r="G101" s="161"/>
      <c r="H101" s="22">
        <f>H96</f>
        <v>0</v>
      </c>
      <c r="I101" s="100"/>
    </row>
    <row r="102" spans="2:9" x14ac:dyDescent="0.2">
      <c r="B102" s="16" t="s">
        <v>147</v>
      </c>
      <c r="C102" s="222" t="s">
        <v>61</v>
      </c>
      <c r="D102" s="247"/>
      <c r="E102" s="247"/>
      <c r="F102" s="247"/>
      <c r="G102" s="76"/>
      <c r="H102" s="19">
        <f>SUM(H100:H101)</f>
        <v>556.63</v>
      </c>
      <c r="I102" s="20"/>
    </row>
    <row r="103" spans="2:9" x14ac:dyDescent="0.2">
      <c r="B103" s="93"/>
      <c r="C103" s="93"/>
      <c r="D103" s="93"/>
      <c r="E103" s="93"/>
      <c r="F103" s="93"/>
      <c r="G103" s="93"/>
      <c r="H103" s="93"/>
      <c r="I103" s="94"/>
    </row>
    <row r="104" spans="2:9" x14ac:dyDescent="0.2">
      <c r="B104" s="93"/>
      <c r="C104" s="93"/>
      <c r="D104" s="93"/>
      <c r="E104" s="93"/>
      <c r="F104" s="93"/>
      <c r="G104" s="93"/>
      <c r="H104" s="93"/>
      <c r="I104" s="94"/>
    </row>
    <row r="105" spans="2:9" x14ac:dyDescent="0.2">
      <c r="B105" s="253" t="s">
        <v>76</v>
      </c>
      <c r="C105" s="254"/>
      <c r="D105" s="254"/>
      <c r="E105" s="254"/>
      <c r="F105" s="255"/>
      <c r="G105" s="78"/>
      <c r="H105" s="214"/>
      <c r="I105" s="94"/>
    </row>
    <row r="106" spans="2:9" x14ac:dyDescent="0.2">
      <c r="B106" s="16">
        <v>5</v>
      </c>
      <c r="C106" s="250" t="s">
        <v>63</v>
      </c>
      <c r="D106" s="251"/>
      <c r="E106" s="251"/>
      <c r="F106" s="251"/>
      <c r="G106" s="252"/>
      <c r="H106" s="16" t="s">
        <v>49</v>
      </c>
      <c r="I106" s="94"/>
    </row>
    <row r="107" spans="2:9" x14ac:dyDescent="0.2">
      <c r="B107" s="16" t="s">
        <v>4</v>
      </c>
      <c r="C107" s="87" t="s">
        <v>45</v>
      </c>
      <c r="D107" s="88"/>
      <c r="E107" s="88"/>
      <c r="F107" s="88"/>
      <c r="G107" s="215"/>
      <c r="H107" s="22">
        <f>Uniformes!D10</f>
        <v>90.541666666666671</v>
      </c>
      <c r="I107" s="100"/>
    </row>
    <row r="108" spans="2:9" x14ac:dyDescent="0.2">
      <c r="B108" s="16" t="s">
        <v>5</v>
      </c>
      <c r="C108" s="87" t="s">
        <v>12</v>
      </c>
      <c r="D108" s="88"/>
      <c r="E108" s="88"/>
      <c r="F108" s="88"/>
      <c r="G108" s="215"/>
      <c r="H108" s="22">
        <v>0</v>
      </c>
      <c r="I108" s="100"/>
    </row>
    <row r="109" spans="2:9" x14ac:dyDescent="0.2">
      <c r="B109" s="16" t="s">
        <v>6</v>
      </c>
      <c r="C109" s="87" t="s">
        <v>13</v>
      </c>
      <c r="D109" s="88"/>
      <c r="E109" s="88"/>
      <c r="F109" s="88"/>
      <c r="G109" s="215"/>
      <c r="H109" s="22">
        <v>0</v>
      </c>
      <c r="I109" s="100"/>
    </row>
    <row r="110" spans="2:9" x14ac:dyDescent="0.2">
      <c r="B110" s="16" t="s">
        <v>7</v>
      </c>
      <c r="C110" s="87" t="s">
        <v>348</v>
      </c>
      <c r="D110" s="88"/>
      <c r="E110" s="88"/>
      <c r="F110" s="88"/>
      <c r="G110" s="215"/>
      <c r="H110" s="22">
        <f>'Relatório de Impacto Ambiental'!I4</f>
        <v>45</v>
      </c>
      <c r="I110" s="100"/>
    </row>
    <row r="111" spans="2:9" x14ac:dyDescent="0.2">
      <c r="B111" s="16" t="s">
        <v>148</v>
      </c>
      <c r="C111" s="253" t="s">
        <v>61</v>
      </c>
      <c r="D111" s="254"/>
      <c r="E111" s="254"/>
      <c r="F111" s="254"/>
      <c r="G111" s="214"/>
      <c r="H111" s="25">
        <f>SUM(H107:H110)</f>
        <v>135.54166666666669</v>
      </c>
      <c r="I111" s="20"/>
    </row>
    <row r="112" spans="2:9" x14ac:dyDescent="0.2">
      <c r="B112" s="93"/>
      <c r="C112" s="93"/>
      <c r="D112" s="93"/>
      <c r="E112" s="93"/>
      <c r="F112" s="93"/>
      <c r="G112" s="71"/>
      <c r="H112" s="66"/>
      <c r="I112" s="20"/>
    </row>
    <row r="113" spans="2:9" x14ac:dyDescent="0.2">
      <c r="B113" s="93"/>
      <c r="C113" s="93"/>
      <c r="D113" s="93"/>
      <c r="E113" s="93"/>
      <c r="F113" s="93"/>
      <c r="G113" s="93"/>
      <c r="H113" s="93"/>
      <c r="I113" s="94"/>
    </row>
    <row r="114" spans="2:9" x14ac:dyDescent="0.2">
      <c r="B114" s="248" t="s">
        <v>77</v>
      </c>
      <c r="C114" s="249"/>
      <c r="D114" s="249"/>
      <c r="E114" s="249"/>
      <c r="F114" s="256"/>
      <c r="G114" s="134"/>
      <c r="H114" s="135"/>
      <c r="I114" s="94"/>
    </row>
    <row r="115" spans="2:9" x14ac:dyDescent="0.2">
      <c r="B115" s="89">
        <v>6</v>
      </c>
      <c r="C115" s="222" t="s">
        <v>64</v>
      </c>
      <c r="D115" s="247"/>
      <c r="E115" s="247"/>
      <c r="F115" s="223"/>
      <c r="G115" s="89" t="s">
        <v>1</v>
      </c>
      <c r="H115" s="89" t="s">
        <v>49</v>
      </c>
      <c r="I115" s="94"/>
    </row>
    <row r="116" spans="2:9" x14ac:dyDescent="0.2">
      <c r="B116" s="16" t="s">
        <v>4</v>
      </c>
      <c r="C116" s="87" t="s">
        <v>16</v>
      </c>
      <c r="D116" s="244" t="s">
        <v>160</v>
      </c>
      <c r="E116" s="245"/>
      <c r="F116" s="246"/>
      <c r="G116" s="46">
        <v>0.05</v>
      </c>
      <c r="H116" s="22">
        <f>TRUNC(H$133*$G116,2)</f>
        <v>298.29000000000002</v>
      </c>
      <c r="I116" s="100"/>
    </row>
    <row r="117" spans="2:9" x14ac:dyDescent="0.2">
      <c r="B117" s="16" t="s">
        <v>5</v>
      </c>
      <c r="C117" s="87" t="s">
        <v>3</v>
      </c>
      <c r="D117" s="244" t="s">
        <v>161</v>
      </c>
      <c r="E117" s="245"/>
      <c r="F117" s="246"/>
      <c r="G117" s="46">
        <v>0.1</v>
      </c>
      <c r="H117" s="22">
        <f>TRUNC((H$133+H$116)*$G117,2)</f>
        <v>626.41</v>
      </c>
      <c r="I117" s="100"/>
    </row>
    <row r="118" spans="2:9" x14ac:dyDescent="0.2">
      <c r="B118" s="16" t="s">
        <v>6</v>
      </c>
      <c r="C118" s="87" t="s">
        <v>115</v>
      </c>
      <c r="D118" s="244" t="s">
        <v>162</v>
      </c>
      <c r="E118" s="245"/>
      <c r="F118" s="246"/>
      <c r="G118" s="48">
        <f>1-(G119+G120+G121)</f>
        <v>0.85749999999999993</v>
      </c>
      <c r="H118" s="28">
        <f>TRUNC(((H$133+H$116+H$117)/$G118),2)</f>
        <v>8035.6</v>
      </c>
      <c r="I118" s="103"/>
    </row>
    <row r="119" spans="2:9" x14ac:dyDescent="0.2">
      <c r="B119" s="16" t="s">
        <v>21</v>
      </c>
      <c r="C119" s="87" t="s">
        <v>18</v>
      </c>
      <c r="D119" s="244" t="s">
        <v>163</v>
      </c>
      <c r="E119" s="245"/>
      <c r="F119" s="246"/>
      <c r="G119" s="47">
        <v>1.6500000000000001E-2</v>
      </c>
      <c r="H119" s="22">
        <f>TRUNC(H$118*$G119,2)</f>
        <v>132.58000000000001</v>
      </c>
      <c r="I119" s="100"/>
    </row>
    <row r="120" spans="2:9" x14ac:dyDescent="0.2">
      <c r="B120" s="16" t="s">
        <v>22</v>
      </c>
      <c r="C120" s="87" t="s">
        <v>19</v>
      </c>
      <c r="D120" s="244" t="s">
        <v>163</v>
      </c>
      <c r="E120" s="245"/>
      <c r="F120" s="246"/>
      <c r="G120" s="47">
        <v>7.5999999999999998E-2</v>
      </c>
      <c r="H120" s="22">
        <f>TRUNC(H$118*$G120,2)</f>
        <v>610.70000000000005</v>
      </c>
      <c r="I120" s="100"/>
    </row>
    <row r="121" spans="2:9" x14ac:dyDescent="0.2">
      <c r="B121" s="16" t="s">
        <v>23</v>
      </c>
      <c r="C121" s="87" t="s">
        <v>20</v>
      </c>
      <c r="D121" s="244" t="s">
        <v>163</v>
      </c>
      <c r="E121" s="245"/>
      <c r="F121" s="246"/>
      <c r="G121" s="47">
        <v>0.05</v>
      </c>
      <c r="H121" s="22">
        <f>TRUNC(H$118*$G121,2)</f>
        <v>401.78</v>
      </c>
      <c r="I121" s="100"/>
    </row>
    <row r="122" spans="2:9" x14ac:dyDescent="0.2">
      <c r="B122" s="16" t="s">
        <v>149</v>
      </c>
      <c r="C122" s="83" t="s">
        <v>61</v>
      </c>
      <c r="D122" s="228" t="s">
        <v>151</v>
      </c>
      <c r="E122" s="228"/>
      <c r="F122" s="228"/>
      <c r="G122" s="157"/>
      <c r="H122" s="19">
        <f>SUM(H116:H121)-H118</f>
        <v>2069.760000000002</v>
      </c>
      <c r="I122" s="20"/>
    </row>
    <row r="123" spans="2:9" x14ac:dyDescent="0.2">
      <c r="B123" s="63"/>
      <c r="C123" s="63"/>
      <c r="D123" s="63"/>
      <c r="E123" s="63"/>
      <c r="F123" s="63"/>
      <c r="G123" s="63"/>
      <c r="H123" s="72"/>
      <c r="I123" s="29"/>
    </row>
    <row r="124" spans="2:9" x14ac:dyDescent="0.2">
      <c r="B124" s="232" t="s">
        <v>190</v>
      </c>
      <c r="C124" s="232"/>
      <c r="D124" s="232"/>
      <c r="E124" s="232"/>
      <c r="F124" s="232"/>
      <c r="G124" s="232"/>
      <c r="H124" s="232"/>
      <c r="I124" s="110"/>
    </row>
    <row r="125" spans="2:9" x14ac:dyDescent="0.2">
      <c r="B125" s="86"/>
      <c r="C125" s="86"/>
      <c r="D125" s="86"/>
      <c r="E125" s="86"/>
      <c r="F125" s="86"/>
      <c r="G125" s="86"/>
      <c r="H125" s="86"/>
      <c r="I125" s="110"/>
    </row>
    <row r="126" spans="2:9" x14ac:dyDescent="0.2">
      <c r="B126" s="248" t="s">
        <v>191</v>
      </c>
      <c r="C126" s="249"/>
      <c r="D126" s="249"/>
      <c r="E126" s="249"/>
      <c r="F126" s="249"/>
      <c r="G126" s="151"/>
      <c r="H126" s="135"/>
      <c r="I126" s="94"/>
    </row>
    <row r="127" spans="2:9" ht="12.75" customHeight="1" x14ac:dyDescent="0.2">
      <c r="B127" s="149"/>
      <c r="C127" s="226" t="s">
        <v>116</v>
      </c>
      <c r="D127" s="227"/>
      <c r="E127" s="227"/>
      <c r="F127" s="227"/>
      <c r="G127" s="150"/>
      <c r="H127" s="133" t="s">
        <v>49</v>
      </c>
      <c r="I127" s="94"/>
    </row>
    <row r="128" spans="2:9" x14ac:dyDescent="0.2">
      <c r="B128" s="16" t="s">
        <v>4</v>
      </c>
      <c r="C128" s="79" t="s">
        <v>79</v>
      </c>
      <c r="D128" s="159" t="s">
        <v>127</v>
      </c>
      <c r="E128" s="160"/>
      <c r="F128" s="160"/>
      <c r="G128" s="161"/>
      <c r="H128" s="22">
        <f>H32</f>
        <v>2461.2510000000002</v>
      </c>
      <c r="I128" s="100"/>
    </row>
    <row r="129" spans="2:9" ht="22.5" x14ac:dyDescent="0.2">
      <c r="B129" s="16" t="s">
        <v>5</v>
      </c>
      <c r="C129" s="79" t="s">
        <v>80</v>
      </c>
      <c r="D129" s="159" t="s">
        <v>141</v>
      </c>
      <c r="E129" s="160"/>
      <c r="F129" s="160"/>
      <c r="G129" s="161"/>
      <c r="H129" s="22">
        <f>H71</f>
        <v>2287.4700000000003</v>
      </c>
      <c r="I129" s="100"/>
    </row>
    <row r="130" spans="2:9" x14ac:dyDescent="0.2">
      <c r="B130" s="16" t="s">
        <v>6</v>
      </c>
      <c r="C130" s="79" t="s">
        <v>81</v>
      </c>
      <c r="D130" s="159" t="s">
        <v>144</v>
      </c>
      <c r="E130" s="160"/>
      <c r="F130" s="160"/>
      <c r="G130" s="161"/>
      <c r="H130" s="22">
        <f>H82</f>
        <v>524.94000000000005</v>
      </c>
      <c r="I130" s="100"/>
    </row>
    <row r="131" spans="2:9" ht="22.5" x14ac:dyDescent="0.2">
      <c r="B131" s="16" t="s">
        <v>7</v>
      </c>
      <c r="C131" s="79" t="s">
        <v>43</v>
      </c>
      <c r="D131" s="159" t="s">
        <v>147</v>
      </c>
      <c r="E131" s="160"/>
      <c r="F131" s="160"/>
      <c r="G131" s="161"/>
      <c r="H131" s="22">
        <f>H102</f>
        <v>556.63</v>
      </c>
      <c r="I131" s="100"/>
    </row>
    <row r="132" spans="2:9" x14ac:dyDescent="0.2">
      <c r="B132" s="16" t="s">
        <v>8</v>
      </c>
      <c r="C132" s="79" t="s">
        <v>82</v>
      </c>
      <c r="D132" s="159" t="s">
        <v>148</v>
      </c>
      <c r="E132" s="160"/>
      <c r="F132" s="160"/>
      <c r="G132" s="161"/>
      <c r="H132" s="22">
        <f>H111</f>
        <v>135.54166666666669</v>
      </c>
      <c r="I132" s="100"/>
    </row>
    <row r="133" spans="2:9" x14ac:dyDescent="0.2">
      <c r="B133" s="85" t="s">
        <v>9</v>
      </c>
      <c r="C133" s="78" t="s">
        <v>46</v>
      </c>
      <c r="D133" s="165" t="s">
        <v>167</v>
      </c>
      <c r="E133" s="166"/>
      <c r="F133" s="166"/>
      <c r="G133" s="167"/>
      <c r="H133" s="25">
        <f>SUM(H128:H132)</f>
        <v>5965.8326666666671</v>
      </c>
      <c r="I133" s="20"/>
    </row>
    <row r="134" spans="2:9" x14ac:dyDescent="0.2">
      <c r="B134" s="16" t="s">
        <v>10</v>
      </c>
      <c r="C134" s="87" t="s">
        <v>83</v>
      </c>
      <c r="D134" s="159" t="s">
        <v>149</v>
      </c>
      <c r="E134" s="160"/>
      <c r="F134" s="160"/>
      <c r="G134" s="161"/>
      <c r="H134" s="22">
        <f>H122</f>
        <v>2069.760000000002</v>
      </c>
      <c r="I134" s="100"/>
    </row>
    <row r="135" spans="2:9" x14ac:dyDescent="0.2">
      <c r="B135" s="16" t="s">
        <v>152</v>
      </c>
      <c r="C135" s="82" t="s">
        <v>78</v>
      </c>
      <c r="D135" s="168" t="s">
        <v>166</v>
      </c>
      <c r="E135" s="156"/>
      <c r="F135" s="156"/>
      <c r="G135" s="157"/>
      <c r="H135" s="31">
        <f>SUM(H133:H134)</f>
        <v>8035.5926666666692</v>
      </c>
      <c r="I135" s="114"/>
    </row>
    <row r="136" spans="2:9" ht="12.75" customHeight="1" x14ac:dyDescent="0.2">
      <c r="B136" s="14"/>
      <c r="C136" s="14"/>
      <c r="D136" s="14"/>
      <c r="E136" s="14"/>
      <c r="F136" s="14"/>
      <c r="G136" s="14"/>
      <c r="H136" s="32"/>
      <c r="I136" s="32"/>
    </row>
    <row r="137" spans="2:9" x14ac:dyDescent="0.2">
      <c r="B137" s="232" t="s">
        <v>192</v>
      </c>
      <c r="C137" s="232"/>
      <c r="D137" s="232"/>
      <c r="E137" s="232"/>
      <c r="F137" s="232"/>
      <c r="I137" s="14"/>
    </row>
    <row r="138" spans="2:9" x14ac:dyDescent="0.2">
      <c r="B138" s="73"/>
      <c r="C138" s="73"/>
      <c r="D138" s="73"/>
      <c r="E138" s="67"/>
      <c r="F138" s="67"/>
      <c r="I138" s="14"/>
    </row>
    <row r="139" spans="2:9" x14ac:dyDescent="0.2">
      <c r="B139" s="236" t="s">
        <v>193</v>
      </c>
      <c r="C139" s="237"/>
      <c r="D139" s="237"/>
      <c r="E139" s="237"/>
      <c r="F139" s="237"/>
      <c r="G139" s="151"/>
      <c r="H139" s="135"/>
      <c r="I139" s="111"/>
    </row>
    <row r="140" spans="2:9" x14ac:dyDescent="0.2">
      <c r="B140" s="127" t="s">
        <v>4</v>
      </c>
      <c r="C140" s="152" t="s">
        <v>105</v>
      </c>
      <c r="D140" s="238" t="s">
        <v>152</v>
      </c>
      <c r="E140" s="239"/>
      <c r="F140" s="239"/>
      <c r="G140" s="153"/>
      <c r="H140" s="154">
        <f>H135</f>
        <v>8035.5926666666692</v>
      </c>
      <c r="I140" s="109"/>
    </row>
    <row r="141" spans="2:9" ht="22.5" x14ac:dyDescent="0.2">
      <c r="B141" s="16" t="s">
        <v>5</v>
      </c>
      <c r="C141" s="80" t="s">
        <v>154</v>
      </c>
      <c r="D141" s="240" t="s">
        <v>155</v>
      </c>
      <c r="E141" s="241"/>
      <c r="F141" s="241"/>
      <c r="G141" s="147"/>
      <c r="H141" s="11">
        <f>H43+H82+H100</f>
        <v>1560.14</v>
      </c>
      <c r="I141" s="104"/>
    </row>
    <row r="142" spans="2:9" ht="22.5" x14ac:dyDescent="0.2">
      <c r="B142" s="16" t="s">
        <v>6</v>
      </c>
      <c r="C142" s="80" t="s">
        <v>170</v>
      </c>
      <c r="D142" s="240" t="s">
        <v>178</v>
      </c>
      <c r="E142" s="241"/>
      <c r="F142" s="241"/>
      <c r="G142" s="148"/>
      <c r="H142" s="108">
        <f>TRUNC((H$43*$G56),2)</f>
        <v>176.11</v>
      </c>
      <c r="I142" s="109"/>
    </row>
    <row r="143" spans="2:9" ht="12.75" customHeight="1" x14ac:dyDescent="0.2">
      <c r="B143" s="16" t="s">
        <v>7</v>
      </c>
      <c r="C143" s="80" t="s">
        <v>16</v>
      </c>
      <c r="D143" s="229" t="s">
        <v>164</v>
      </c>
      <c r="E143" s="230"/>
      <c r="F143" s="231"/>
      <c r="G143" s="12">
        <f>G116</f>
        <v>0.05</v>
      </c>
      <c r="H143" s="11">
        <f>TRUNC((H$141+H$142)*$G143,2)</f>
        <v>86.81</v>
      </c>
      <c r="I143" s="104"/>
    </row>
    <row r="144" spans="2:9" ht="12.75" customHeight="1" x14ac:dyDescent="0.2">
      <c r="B144" s="16" t="s">
        <v>8</v>
      </c>
      <c r="C144" s="80" t="s">
        <v>3</v>
      </c>
      <c r="D144" s="229" t="s">
        <v>165</v>
      </c>
      <c r="E144" s="230"/>
      <c r="F144" s="231"/>
      <c r="G144" s="12">
        <f>G117</f>
        <v>0.1</v>
      </c>
      <c r="H144" s="11">
        <f>TRUNC((H$141+H$142+H$143)*$G144,2)</f>
        <v>182.3</v>
      </c>
      <c r="I144" s="104"/>
    </row>
    <row r="145" spans="2:9" ht="12.75" customHeight="1" x14ac:dyDescent="0.2">
      <c r="B145" s="16" t="s">
        <v>9</v>
      </c>
      <c r="C145" s="80" t="s">
        <v>106</v>
      </c>
      <c r="D145" s="229" t="s">
        <v>172</v>
      </c>
      <c r="E145" s="230"/>
      <c r="F145" s="231"/>
      <c r="G145" s="12">
        <f>G119+G120+G121</f>
        <v>0.14250000000000002</v>
      </c>
      <c r="H145" s="11">
        <f>TRUNC((H$141+H$142+H$143+H$144)/(1-$G145)-(H$141+H$142+H$143+H$144),2)</f>
        <v>333.25</v>
      </c>
      <c r="I145" s="104"/>
    </row>
    <row r="146" spans="2:9" ht="22.5" x14ac:dyDescent="0.2">
      <c r="B146" s="16" t="s">
        <v>10</v>
      </c>
      <c r="C146" s="128" t="s">
        <v>107</v>
      </c>
      <c r="D146" s="145" t="s">
        <v>173</v>
      </c>
      <c r="E146" s="146"/>
      <c r="F146" s="146"/>
      <c r="G146" s="147"/>
      <c r="H146" s="129">
        <f>SUM(H141:H145)</f>
        <v>2338.6099999999997</v>
      </c>
      <c r="I146" s="105"/>
    </row>
    <row r="147" spans="2:9" x14ac:dyDescent="0.2">
      <c r="B147" s="16" t="s">
        <v>153</v>
      </c>
      <c r="C147" s="84" t="s">
        <v>124</v>
      </c>
      <c r="D147" s="242" t="s">
        <v>171</v>
      </c>
      <c r="E147" s="243"/>
      <c r="F147" s="243"/>
      <c r="G147" s="155"/>
      <c r="H147" s="33">
        <f>H140-H146</f>
        <v>5696.9826666666695</v>
      </c>
      <c r="I147" s="115"/>
    </row>
    <row r="148" spans="2:9" ht="45" customHeight="1" x14ac:dyDescent="0.2">
      <c r="B148" s="233" t="s">
        <v>123</v>
      </c>
      <c r="C148" s="234"/>
      <c r="D148" s="234"/>
      <c r="E148" s="234"/>
      <c r="F148" s="234"/>
      <c r="G148" s="235"/>
      <c r="H148" s="132"/>
      <c r="I148" s="106"/>
    </row>
  </sheetData>
  <mergeCells count="106">
    <mergeCell ref="B2:H2"/>
    <mergeCell ref="B3:H3"/>
    <mergeCell ref="B9:B10"/>
    <mergeCell ref="B19:B20"/>
    <mergeCell ref="C24:F24"/>
    <mergeCell ref="B15:B16"/>
    <mergeCell ref="D6:F6"/>
    <mergeCell ref="B17:B18"/>
    <mergeCell ref="D31:F31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  <mergeCell ref="B13:B14"/>
    <mergeCell ref="C32:F32"/>
    <mergeCell ref="C33:F34"/>
    <mergeCell ref="D25:F25"/>
    <mergeCell ref="D26:F26"/>
    <mergeCell ref="D27:F27"/>
    <mergeCell ref="D28:F28"/>
    <mergeCell ref="D29:F29"/>
    <mergeCell ref="D30:F30"/>
    <mergeCell ref="B23:F23"/>
    <mergeCell ref="B37:F37"/>
    <mergeCell ref="B39:F39"/>
    <mergeCell ref="B38:F38"/>
    <mergeCell ref="B49:B50"/>
    <mergeCell ref="C49:C50"/>
    <mergeCell ref="D49:D50"/>
    <mergeCell ref="C40:F40"/>
    <mergeCell ref="D41:F41"/>
    <mergeCell ref="D42:F42"/>
    <mergeCell ref="C43:F43"/>
    <mergeCell ref="B44:H44"/>
    <mergeCell ref="G49:G50"/>
    <mergeCell ref="H49:H50"/>
    <mergeCell ref="B45:F45"/>
    <mergeCell ref="D51:F51"/>
    <mergeCell ref="D52:F52"/>
    <mergeCell ref="D53:F53"/>
    <mergeCell ref="C46:F46"/>
    <mergeCell ref="D47:F47"/>
    <mergeCell ref="D48:F48"/>
    <mergeCell ref="B58:F58"/>
    <mergeCell ref="C59:F59"/>
    <mergeCell ref="D54:F54"/>
    <mergeCell ref="D55:F55"/>
    <mergeCell ref="C56:F56"/>
    <mergeCell ref="B57:H57"/>
    <mergeCell ref="C64:F64"/>
    <mergeCell ref="B72:H72"/>
    <mergeCell ref="C75:F75"/>
    <mergeCell ref="B65:H65"/>
    <mergeCell ref="B74:F74"/>
    <mergeCell ref="B66:F66"/>
    <mergeCell ref="C67:F67"/>
    <mergeCell ref="C71:F71"/>
    <mergeCell ref="C87:F87"/>
    <mergeCell ref="D78:E78"/>
    <mergeCell ref="D80:E80"/>
    <mergeCell ref="D81:E81"/>
    <mergeCell ref="B85:F85"/>
    <mergeCell ref="B86:F86"/>
    <mergeCell ref="C91:F91"/>
    <mergeCell ref="C82:F82"/>
    <mergeCell ref="C106:G106"/>
    <mergeCell ref="C94:F94"/>
    <mergeCell ref="C99:G99"/>
    <mergeCell ref="B105:F105"/>
    <mergeCell ref="B114:F114"/>
    <mergeCell ref="B93:F93"/>
    <mergeCell ref="B98:F98"/>
    <mergeCell ref="C111:F111"/>
    <mergeCell ref="C102:F102"/>
    <mergeCell ref="C96:F96"/>
    <mergeCell ref="D121:F121"/>
    <mergeCell ref="B124:H124"/>
    <mergeCell ref="C115:F115"/>
    <mergeCell ref="D116:F116"/>
    <mergeCell ref="D117:F117"/>
    <mergeCell ref="D118:F118"/>
    <mergeCell ref="D119:F119"/>
    <mergeCell ref="D120:F120"/>
    <mergeCell ref="B126:F126"/>
    <mergeCell ref="C127:F127"/>
    <mergeCell ref="D122:F122"/>
    <mergeCell ref="D143:F143"/>
    <mergeCell ref="D144:F144"/>
    <mergeCell ref="D145:F145"/>
    <mergeCell ref="B137:F137"/>
    <mergeCell ref="B148:G148"/>
    <mergeCell ref="B139:F139"/>
    <mergeCell ref="D140:F140"/>
    <mergeCell ref="D141:F141"/>
    <mergeCell ref="D142:F142"/>
    <mergeCell ref="D147:F147"/>
  </mergeCells>
  <dataValidations count="10">
    <dataValidation type="custom" allowBlank="1" showInputMessage="1" showErrorMessage="1" sqref="G118" xr:uid="{00000000-0002-0000-0100-000001000000}">
      <formula1>1-(G119+G120+G121)</formula1>
    </dataValidation>
    <dataValidation type="list" operator="equal" allowBlank="1" showInputMessage="1" showErrorMessage="1" errorTitle="Valor errado" error="Percentual fixo. Preencher com 40%." sqref="F78 F80" xr:uid="{00000000-0002-0000-0100-000002000000}">
      <formula1>"40%"</formula1>
    </dataValidation>
    <dataValidation type="whole" allowBlank="1" showInputMessage="1" showErrorMessage="1" errorTitle="Valor errado" error="Quantidade fixa de dias. Prencher com 30" sqref="G88" xr:uid="{00000000-0002-0000-0100-000003000000}">
      <formula1>30</formula1>
      <formula2>30</formula2>
    </dataValidation>
    <dataValidation type="list" allowBlank="1" showInputMessage="1" showErrorMessage="1" sqref="G30" xr:uid="{00000000-0002-0000-0100-000004000000}">
      <formula1>"0, 50%, 100%"</formula1>
    </dataValidation>
    <dataValidation type="list" allowBlank="1" showInputMessage="1" showErrorMessage="1" sqref="G119" xr:uid="{00000000-0002-0000-0100-000005000000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0" xr:uid="{00000000-0002-0000-0100-000006000000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 xr:uid="{00000000-0002-0000-0100-000007000000}">
      <formula1>"0, 20%"</formula1>
    </dataValidation>
    <dataValidation type="list" allowBlank="1" showInputMessage="1" showErrorMessage="1" sqref="E50" xr:uid="{00000000-0002-0000-0100-000008000000}">
      <formula1>"1%, 2%, 3%"</formula1>
    </dataValidation>
    <dataValidation type="list" allowBlank="1" showInputMessage="1" showErrorMessage="1" sqref="G27" xr:uid="{00000000-0002-0000-0100-000009000000}">
      <formula1>"0%, 10%, 20%, 40%"</formula1>
    </dataValidation>
    <dataValidation type="list" allowBlank="1" showInputMessage="1" showErrorMessage="1" sqref="G26" xr:uid="{00000000-0002-0000-0100-00000A00000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69" fitToHeight="0" orientation="portrait" verticalDpi="300" r:id="rId1"/>
  <rowBreaks count="1" manualBreakCount="1">
    <brk id="72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73A0-9AFA-4F97-B932-046CC06A335C}">
  <sheetPr>
    <pageSetUpPr fitToPage="1"/>
  </sheetPr>
  <dimension ref="B1:I147"/>
  <sheetViews>
    <sheetView topLeftCell="A52" workbookViewId="0">
      <selection activeCell="B73" sqref="B73:I147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/>
    <col min="8" max="9" width="15.28515625" style="59" customWidth="1"/>
    <col min="10" max="16384" width="9.140625" style="59"/>
  </cols>
  <sheetData>
    <row r="1" spans="2:9" x14ac:dyDescent="0.2">
      <c r="C1" s="107"/>
      <c r="D1" s="14"/>
      <c r="E1" s="14"/>
      <c r="F1" s="14"/>
      <c r="G1" s="14"/>
      <c r="H1" s="14"/>
      <c r="I1" s="14"/>
    </row>
    <row r="2" spans="2:9" x14ac:dyDescent="0.2">
      <c r="B2" s="288" t="s">
        <v>50</v>
      </c>
      <c r="C2" s="288"/>
      <c r="D2" s="288"/>
      <c r="E2" s="288"/>
      <c r="F2" s="288"/>
      <c r="G2" s="288"/>
      <c r="H2" s="288"/>
      <c r="I2" s="93"/>
    </row>
    <row r="3" spans="2:9" x14ac:dyDescent="0.2">
      <c r="B3" s="289" t="s">
        <v>189</v>
      </c>
      <c r="C3" s="289"/>
      <c r="D3" s="289"/>
      <c r="E3" s="289"/>
      <c r="F3" s="289"/>
      <c r="G3" s="289"/>
      <c r="H3" s="289"/>
      <c r="I3" s="95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0" t="s">
        <v>125</v>
      </c>
      <c r="C6" s="130"/>
      <c r="D6" s="291" t="s">
        <v>199</v>
      </c>
      <c r="E6" s="292"/>
      <c r="F6" s="293"/>
      <c r="I6" s="15"/>
    </row>
    <row r="7" spans="2:9" x14ac:dyDescent="0.2">
      <c r="B7" s="61"/>
      <c r="C7" s="61"/>
      <c r="D7" s="61"/>
      <c r="E7" s="61"/>
      <c r="F7" s="61"/>
      <c r="G7" s="61"/>
      <c r="H7" s="61"/>
      <c r="I7" s="14"/>
    </row>
    <row r="8" spans="2:9" x14ac:dyDescent="0.2">
      <c r="B8" s="294" t="s">
        <v>51</v>
      </c>
      <c r="C8" s="294"/>
      <c r="D8" s="294"/>
      <c r="E8" s="294"/>
      <c r="F8" s="294"/>
      <c r="G8" s="131"/>
      <c r="H8" s="131"/>
      <c r="I8" s="60"/>
    </row>
    <row r="9" spans="2:9" x14ac:dyDescent="0.2">
      <c r="B9" s="290">
        <v>1</v>
      </c>
      <c r="C9" s="295" t="s">
        <v>52</v>
      </c>
      <c r="D9" s="295"/>
      <c r="E9" s="295"/>
      <c r="F9" s="295"/>
      <c r="G9" s="131"/>
      <c r="H9" s="131"/>
      <c r="I9" s="60"/>
    </row>
    <row r="10" spans="2:9" x14ac:dyDescent="0.2">
      <c r="B10" s="290"/>
      <c r="C10" s="296"/>
      <c r="D10" s="296"/>
      <c r="E10" s="296"/>
      <c r="F10" s="296"/>
      <c r="G10" s="131"/>
      <c r="H10" s="131"/>
      <c r="I10" s="60"/>
    </row>
    <row r="11" spans="2:9" x14ac:dyDescent="0.2">
      <c r="B11" s="290">
        <v>2</v>
      </c>
      <c r="C11" s="295" t="s">
        <v>55</v>
      </c>
      <c r="D11" s="295"/>
      <c r="E11" s="295"/>
      <c r="F11" s="295"/>
      <c r="G11" s="131"/>
      <c r="H11" s="131"/>
      <c r="I11" s="60"/>
    </row>
    <row r="12" spans="2:9" x14ac:dyDescent="0.2">
      <c r="B12" s="290"/>
      <c r="C12" s="296"/>
      <c r="D12" s="296"/>
      <c r="E12" s="296"/>
      <c r="F12" s="296"/>
      <c r="G12" s="131"/>
      <c r="H12" s="131"/>
      <c r="I12" s="60"/>
    </row>
    <row r="13" spans="2:9" x14ac:dyDescent="0.2">
      <c r="B13" s="290">
        <v>3</v>
      </c>
      <c r="C13" s="295" t="s">
        <v>56</v>
      </c>
      <c r="D13" s="295"/>
      <c r="E13" s="295"/>
      <c r="F13" s="295"/>
      <c r="G13" s="131"/>
      <c r="H13" s="131"/>
      <c r="I13" s="60"/>
    </row>
    <row r="14" spans="2:9" x14ac:dyDescent="0.2">
      <c r="B14" s="290"/>
      <c r="C14" s="297"/>
      <c r="D14" s="297"/>
      <c r="E14" s="297"/>
      <c r="F14" s="297"/>
      <c r="G14" s="131"/>
      <c r="H14" s="131"/>
      <c r="I14" s="60"/>
    </row>
    <row r="15" spans="2:9" x14ac:dyDescent="0.2">
      <c r="B15" s="290">
        <v>4</v>
      </c>
      <c r="C15" s="295" t="s">
        <v>57</v>
      </c>
      <c r="D15" s="295"/>
      <c r="E15" s="295"/>
      <c r="F15" s="295"/>
      <c r="G15" s="131"/>
      <c r="H15" s="131"/>
      <c r="I15" s="60"/>
    </row>
    <row r="16" spans="2:9" x14ac:dyDescent="0.2">
      <c r="B16" s="290"/>
      <c r="C16" s="296"/>
      <c r="D16" s="296"/>
      <c r="E16" s="296"/>
      <c r="F16" s="296"/>
      <c r="G16" s="131"/>
      <c r="H16" s="131"/>
      <c r="I16" s="60"/>
    </row>
    <row r="17" spans="2:9" x14ac:dyDescent="0.2">
      <c r="B17" s="290">
        <v>5</v>
      </c>
      <c r="C17" s="295" t="s">
        <v>58</v>
      </c>
      <c r="D17" s="295"/>
      <c r="E17" s="295"/>
      <c r="F17" s="295"/>
      <c r="G17" s="131"/>
      <c r="H17" s="131"/>
      <c r="I17" s="60"/>
    </row>
    <row r="18" spans="2:9" x14ac:dyDescent="0.2">
      <c r="B18" s="290"/>
      <c r="C18" s="296"/>
      <c r="D18" s="296"/>
      <c r="E18" s="296"/>
      <c r="F18" s="296"/>
      <c r="G18" s="131"/>
      <c r="H18" s="131"/>
      <c r="I18" s="60"/>
    </row>
    <row r="19" spans="2:9" x14ac:dyDescent="0.2">
      <c r="B19" s="290">
        <v>6</v>
      </c>
      <c r="C19" s="295" t="s">
        <v>59</v>
      </c>
      <c r="D19" s="295"/>
      <c r="E19" s="295"/>
      <c r="F19" s="295"/>
      <c r="G19" s="131"/>
      <c r="H19" s="131"/>
      <c r="I19" s="60"/>
    </row>
    <row r="20" spans="2:9" x14ac:dyDescent="0.2">
      <c r="B20" s="290"/>
      <c r="C20" s="296"/>
      <c r="D20" s="296"/>
      <c r="E20" s="296"/>
      <c r="F20" s="296"/>
      <c r="G20" s="131"/>
      <c r="H20" s="131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</row>
    <row r="23" spans="2:9" x14ac:dyDescent="0.2">
      <c r="B23" s="248" t="s">
        <v>66</v>
      </c>
      <c r="C23" s="249"/>
      <c r="D23" s="249"/>
      <c r="E23" s="249"/>
      <c r="F23" s="249"/>
      <c r="G23" s="134"/>
      <c r="H23" s="135"/>
      <c r="I23" s="94"/>
    </row>
    <row r="24" spans="2:9" x14ac:dyDescent="0.2">
      <c r="B24" s="89">
        <v>1</v>
      </c>
      <c r="C24" s="222" t="s">
        <v>60</v>
      </c>
      <c r="D24" s="247"/>
      <c r="E24" s="247"/>
      <c r="F24" s="223"/>
      <c r="G24" s="133" t="s">
        <v>1</v>
      </c>
      <c r="H24" s="133" t="s">
        <v>49</v>
      </c>
      <c r="I24" s="94"/>
    </row>
    <row r="25" spans="2:9" ht="12.75" customHeight="1" x14ac:dyDescent="0.2">
      <c r="B25" s="16" t="s">
        <v>4</v>
      </c>
      <c r="C25" s="87" t="s">
        <v>17</v>
      </c>
      <c r="D25" s="244"/>
      <c r="E25" s="245"/>
      <c r="F25" s="246"/>
      <c r="G25" s="17"/>
      <c r="H25" s="34">
        <v>1516</v>
      </c>
      <c r="I25" s="100"/>
    </row>
    <row r="26" spans="2:9" x14ac:dyDescent="0.2">
      <c r="B26" s="16" t="s">
        <v>5</v>
      </c>
      <c r="C26" s="87" t="s">
        <v>24</v>
      </c>
      <c r="D26" s="244" t="s">
        <v>126</v>
      </c>
      <c r="E26" s="245"/>
      <c r="F26" s="246"/>
      <c r="G26" s="35"/>
      <c r="H26" s="18">
        <f>TRUNC(H$25*$G26,2)</f>
        <v>0</v>
      </c>
      <c r="I26" s="96"/>
    </row>
    <row r="27" spans="2:9" x14ac:dyDescent="0.2">
      <c r="B27" s="16" t="s">
        <v>6</v>
      </c>
      <c r="C27" s="88" t="s">
        <v>25</v>
      </c>
      <c r="D27" s="244" t="s">
        <v>168</v>
      </c>
      <c r="E27" s="245"/>
      <c r="F27" s="246"/>
      <c r="G27" s="35"/>
      <c r="H27" s="18">
        <f>TRUNC(H$25*$G27,2)</f>
        <v>0</v>
      </c>
      <c r="I27" s="96"/>
    </row>
    <row r="28" spans="2:9" x14ac:dyDescent="0.2">
      <c r="B28" s="16" t="s">
        <v>7</v>
      </c>
      <c r="C28" s="88" t="s">
        <v>0</v>
      </c>
      <c r="D28" s="244" t="s">
        <v>175</v>
      </c>
      <c r="E28" s="245"/>
      <c r="F28" s="246"/>
      <c r="G28" s="36"/>
      <c r="H28" s="65">
        <f>TRUNC(((H$25+H26)*$G28)/220*8*15,2)</f>
        <v>0</v>
      </c>
      <c r="I28" s="97"/>
    </row>
    <row r="29" spans="2:9" x14ac:dyDescent="0.2">
      <c r="B29" s="117" t="s">
        <v>8</v>
      </c>
      <c r="C29" s="118" t="s">
        <v>26</v>
      </c>
      <c r="D29" s="285" t="s">
        <v>175</v>
      </c>
      <c r="E29" s="286"/>
      <c r="F29" s="287"/>
      <c r="G29" s="119"/>
      <c r="H29" s="120">
        <f>TRUNC(((H25+H26)*$G29)/220*1*15,2)</f>
        <v>0</v>
      </c>
      <c r="I29" s="121" t="s">
        <v>180</v>
      </c>
    </row>
    <row r="30" spans="2:9" x14ac:dyDescent="0.2">
      <c r="B30" s="122" t="s">
        <v>9</v>
      </c>
      <c r="C30" s="118" t="s">
        <v>108</v>
      </c>
      <c r="D30" s="285" t="s">
        <v>176</v>
      </c>
      <c r="E30" s="286"/>
      <c r="F30" s="287"/>
      <c r="G30" s="123"/>
      <c r="H30" s="120">
        <f>TRUNC($G$33*H33*(1+$G$30),2)</f>
        <v>0</v>
      </c>
      <c r="I30" s="121" t="s">
        <v>180</v>
      </c>
    </row>
    <row r="31" spans="2:9" x14ac:dyDescent="0.2">
      <c r="B31" s="16" t="s">
        <v>127</v>
      </c>
      <c r="C31" s="222" t="s">
        <v>61</v>
      </c>
      <c r="D31" s="247"/>
      <c r="E31" s="247"/>
      <c r="F31" s="223"/>
      <c r="G31" s="30"/>
      <c r="H31" s="19">
        <f>SUM(H25:H30)</f>
        <v>1516</v>
      </c>
      <c r="I31" s="20"/>
    </row>
    <row r="32" spans="2:9" ht="22.5" x14ac:dyDescent="0.2">
      <c r="B32" s="93"/>
      <c r="C32" s="284" t="s">
        <v>117</v>
      </c>
      <c r="D32" s="284"/>
      <c r="E32" s="284"/>
      <c r="F32" s="284"/>
      <c r="G32" s="52" t="s">
        <v>109</v>
      </c>
      <c r="H32" s="51" t="s">
        <v>119</v>
      </c>
      <c r="I32" s="4"/>
    </row>
    <row r="33" spans="2:9" x14ac:dyDescent="0.2">
      <c r="B33" s="93"/>
      <c r="C33" s="284"/>
      <c r="D33" s="284"/>
      <c r="E33" s="284"/>
      <c r="F33" s="284"/>
      <c r="G33" s="50"/>
      <c r="H33" s="37">
        <f>IF($G$33="",0,TRUNC((H25+H26+H27)/220,2))</f>
        <v>0</v>
      </c>
      <c r="I33" s="99"/>
    </row>
    <row r="34" spans="2:9" x14ac:dyDescent="0.2">
      <c r="B34" s="93"/>
      <c r="C34" s="93"/>
      <c r="D34" s="93"/>
      <c r="E34" s="93"/>
      <c r="F34" s="93"/>
      <c r="G34" s="93"/>
      <c r="H34" s="66"/>
      <c r="I34" s="20"/>
    </row>
    <row r="35" spans="2:9" x14ac:dyDescent="0.2">
      <c r="B35" s="93"/>
      <c r="C35" s="93"/>
      <c r="D35" s="93"/>
      <c r="E35" s="93"/>
      <c r="F35" s="93"/>
      <c r="G35" s="93"/>
      <c r="H35" s="66"/>
      <c r="I35" s="20"/>
    </row>
    <row r="36" spans="2:9" ht="12.75" customHeight="1" x14ac:dyDescent="0.2">
      <c r="B36" s="248" t="s">
        <v>67</v>
      </c>
      <c r="C36" s="249"/>
      <c r="D36" s="249"/>
      <c r="E36" s="249"/>
      <c r="F36" s="249"/>
      <c r="G36" s="134"/>
      <c r="H36" s="135"/>
      <c r="I36" s="94"/>
    </row>
    <row r="37" spans="2:9" x14ac:dyDescent="0.2">
      <c r="B37" s="271"/>
      <c r="C37" s="272"/>
      <c r="D37" s="272"/>
      <c r="E37" s="272"/>
      <c r="F37" s="272"/>
      <c r="G37" s="58"/>
      <c r="H37" s="58"/>
      <c r="I37" s="94"/>
    </row>
    <row r="38" spans="2:9" x14ac:dyDescent="0.2">
      <c r="B38" s="270" t="s">
        <v>36</v>
      </c>
      <c r="C38" s="270"/>
      <c r="D38" s="270"/>
      <c r="E38" s="270"/>
      <c r="F38" s="270"/>
      <c r="G38" s="58"/>
      <c r="H38" s="58"/>
      <c r="I38" s="94"/>
    </row>
    <row r="39" spans="2:9" x14ac:dyDescent="0.2">
      <c r="B39" s="133" t="s">
        <v>38</v>
      </c>
      <c r="C39" s="278" t="s">
        <v>27</v>
      </c>
      <c r="D39" s="279"/>
      <c r="E39" s="279"/>
      <c r="F39" s="280"/>
      <c r="G39" s="89" t="s">
        <v>1</v>
      </c>
      <c r="H39" s="89" t="s">
        <v>49</v>
      </c>
      <c r="I39" s="94"/>
    </row>
    <row r="40" spans="2:9" x14ac:dyDescent="0.2">
      <c r="B40" s="16" t="s">
        <v>4</v>
      </c>
      <c r="C40" s="87" t="s">
        <v>111</v>
      </c>
      <c r="D40" s="244" t="s">
        <v>128</v>
      </c>
      <c r="E40" s="245"/>
      <c r="F40" s="246"/>
      <c r="G40" s="138">
        <f>1/12</f>
        <v>8.3333333333333329E-2</v>
      </c>
      <c r="H40" s="139">
        <f>TRUNC((H$31*$G40),2)</f>
        <v>126.33</v>
      </c>
      <c r="I40" s="100"/>
    </row>
    <row r="41" spans="2:9" x14ac:dyDescent="0.2">
      <c r="B41" s="16" t="s">
        <v>5</v>
      </c>
      <c r="C41" s="87" t="s">
        <v>65</v>
      </c>
      <c r="D41" s="244" t="s">
        <v>130</v>
      </c>
      <c r="E41" s="245"/>
      <c r="F41" s="246"/>
      <c r="G41" s="21">
        <f>(1/12)+(1/3/12)</f>
        <v>0.1111111111111111</v>
      </c>
      <c r="H41" s="22">
        <f>TRUNC((H$31*$G41),2)</f>
        <v>168.44</v>
      </c>
      <c r="I41" s="100"/>
    </row>
    <row r="42" spans="2:9" x14ac:dyDescent="0.2">
      <c r="B42" s="16" t="s">
        <v>129</v>
      </c>
      <c r="C42" s="222" t="s">
        <v>61</v>
      </c>
      <c r="D42" s="247"/>
      <c r="E42" s="247"/>
      <c r="F42" s="223"/>
      <c r="G42" s="23">
        <f>TRUNC(SUM(G40:G41),4)</f>
        <v>0.19439999999999999</v>
      </c>
      <c r="H42" s="19">
        <f>SUM(H40:H41)</f>
        <v>294.77</v>
      </c>
      <c r="I42" s="20"/>
    </row>
    <row r="43" spans="2:9" x14ac:dyDescent="0.2">
      <c r="B43" s="260"/>
      <c r="C43" s="259"/>
      <c r="D43" s="259"/>
      <c r="E43" s="259"/>
      <c r="F43" s="259"/>
      <c r="G43" s="259"/>
      <c r="H43" s="261"/>
      <c r="I43" s="93"/>
    </row>
    <row r="44" spans="2:9" ht="30" customHeight="1" x14ac:dyDescent="0.2">
      <c r="B44" s="264" t="s">
        <v>68</v>
      </c>
      <c r="C44" s="265"/>
      <c r="D44" s="265"/>
      <c r="E44" s="265"/>
      <c r="F44" s="266"/>
      <c r="G44" s="136"/>
      <c r="H44" s="137"/>
      <c r="I44" s="101"/>
    </row>
    <row r="45" spans="2:9" x14ac:dyDescent="0.2">
      <c r="B45" s="89" t="s">
        <v>39</v>
      </c>
      <c r="C45" s="222" t="s">
        <v>69</v>
      </c>
      <c r="D45" s="247"/>
      <c r="E45" s="247"/>
      <c r="F45" s="223"/>
      <c r="G45" s="89" t="s">
        <v>1</v>
      </c>
      <c r="H45" s="89" t="s">
        <v>49</v>
      </c>
      <c r="I45" s="94"/>
    </row>
    <row r="46" spans="2:9" x14ac:dyDescent="0.2">
      <c r="B46" s="16" t="s">
        <v>4</v>
      </c>
      <c r="C46" s="87" t="s">
        <v>30</v>
      </c>
      <c r="D46" s="244" t="s">
        <v>131</v>
      </c>
      <c r="E46" s="245"/>
      <c r="F46" s="246"/>
      <c r="G46" s="21">
        <v>0.2</v>
      </c>
      <c r="H46" s="22">
        <f>TRUNC((H$31+H$42)*$G46,2)</f>
        <v>362.15</v>
      </c>
      <c r="I46" s="100"/>
    </row>
    <row r="47" spans="2:9" x14ac:dyDescent="0.2">
      <c r="B47" s="16" t="s">
        <v>5</v>
      </c>
      <c r="C47" s="75" t="s">
        <v>31</v>
      </c>
      <c r="D47" s="244" t="s">
        <v>132</v>
      </c>
      <c r="E47" s="245"/>
      <c r="F47" s="246"/>
      <c r="G47" s="21">
        <v>2.5000000000000001E-2</v>
      </c>
      <c r="H47" s="22">
        <f>TRUNC((H$31+H$42)*$G47,2)</f>
        <v>45.26</v>
      </c>
      <c r="I47" s="100"/>
    </row>
    <row r="48" spans="2:9" x14ac:dyDescent="0.2">
      <c r="B48" s="273" t="s">
        <v>6</v>
      </c>
      <c r="C48" s="275" t="s">
        <v>102</v>
      </c>
      <c r="D48" s="277" t="s">
        <v>138</v>
      </c>
      <c r="E48" s="10" t="s">
        <v>103</v>
      </c>
      <c r="F48" s="10" t="s">
        <v>101</v>
      </c>
      <c r="G48" s="281">
        <f>E49*F49</f>
        <v>0.03</v>
      </c>
      <c r="H48" s="283">
        <f>TRUNC((H$31+H$42)*$G48,2)</f>
        <v>54.32</v>
      </c>
      <c r="I48" s="103"/>
    </row>
    <row r="49" spans="2:9" x14ac:dyDescent="0.2">
      <c r="B49" s="274"/>
      <c r="C49" s="276"/>
      <c r="D49" s="277"/>
      <c r="E49" s="38">
        <v>0.03</v>
      </c>
      <c r="F49" s="39">
        <v>1</v>
      </c>
      <c r="G49" s="282"/>
      <c r="H49" s="283"/>
      <c r="I49" s="103"/>
    </row>
    <row r="50" spans="2:9" x14ac:dyDescent="0.2">
      <c r="B50" s="16" t="s">
        <v>7</v>
      </c>
      <c r="C50" s="87" t="s">
        <v>29</v>
      </c>
      <c r="D50" s="244" t="s">
        <v>133</v>
      </c>
      <c r="E50" s="245"/>
      <c r="F50" s="246"/>
      <c r="G50" s="21">
        <v>1.4999999999999999E-2</v>
      </c>
      <c r="H50" s="22">
        <f>TRUNC((H$31+H$42)*$G50,2)</f>
        <v>27.16</v>
      </c>
      <c r="I50" s="100"/>
    </row>
    <row r="51" spans="2:9" x14ac:dyDescent="0.2">
      <c r="B51" s="16" t="s">
        <v>8</v>
      </c>
      <c r="C51" s="87" t="s">
        <v>32</v>
      </c>
      <c r="D51" s="244" t="s">
        <v>134</v>
      </c>
      <c r="E51" s="245"/>
      <c r="F51" s="246"/>
      <c r="G51" s="21">
        <v>0.01</v>
      </c>
      <c r="H51" s="22">
        <f>TRUNC((H$31+H$42)*$G51,2)</f>
        <v>18.100000000000001</v>
      </c>
      <c r="I51" s="100"/>
    </row>
    <row r="52" spans="2:9" x14ac:dyDescent="0.2">
      <c r="B52" s="16" t="s">
        <v>9</v>
      </c>
      <c r="C52" s="87" t="s">
        <v>33</v>
      </c>
      <c r="D52" s="244" t="s">
        <v>135</v>
      </c>
      <c r="E52" s="245"/>
      <c r="F52" s="246"/>
      <c r="G52" s="21">
        <v>6.0000000000000001E-3</v>
      </c>
      <c r="H52" s="22">
        <f>TRUNC((H$31+H$42)*$G52,2)</f>
        <v>10.86</v>
      </c>
      <c r="I52" s="100"/>
    </row>
    <row r="53" spans="2:9" x14ac:dyDescent="0.2">
      <c r="B53" s="16" t="s">
        <v>10</v>
      </c>
      <c r="C53" s="87" t="s">
        <v>34</v>
      </c>
      <c r="D53" s="244" t="s">
        <v>136</v>
      </c>
      <c r="E53" s="245"/>
      <c r="F53" s="246"/>
      <c r="G53" s="21">
        <v>2E-3</v>
      </c>
      <c r="H53" s="22">
        <f>TRUNC((H$31+H$42)*$G53,2)</f>
        <v>3.62</v>
      </c>
      <c r="I53" s="100"/>
    </row>
    <row r="54" spans="2:9" x14ac:dyDescent="0.2">
      <c r="B54" s="16" t="s">
        <v>11</v>
      </c>
      <c r="C54" s="87" t="s">
        <v>35</v>
      </c>
      <c r="D54" s="244" t="s">
        <v>137</v>
      </c>
      <c r="E54" s="245"/>
      <c r="F54" s="246"/>
      <c r="G54" s="21">
        <v>0.08</v>
      </c>
      <c r="H54" s="22">
        <f>TRUNC((H$31+H$42)*$G54,2)</f>
        <v>144.86000000000001</v>
      </c>
      <c r="I54" s="100"/>
    </row>
    <row r="55" spans="2:9" x14ac:dyDescent="0.2">
      <c r="B55" s="16" t="s">
        <v>139</v>
      </c>
      <c r="C55" s="222" t="s">
        <v>61</v>
      </c>
      <c r="D55" s="247"/>
      <c r="E55" s="247"/>
      <c r="F55" s="223"/>
      <c r="G55" s="24">
        <f>SUM(G46:G54)</f>
        <v>0.36800000000000005</v>
      </c>
      <c r="H55" s="19">
        <f>SUM(H46:H54)</f>
        <v>666.33</v>
      </c>
      <c r="I55" s="20"/>
    </row>
    <row r="56" spans="2:9" x14ac:dyDescent="0.2">
      <c r="B56" s="267"/>
      <c r="C56" s="268"/>
      <c r="D56" s="268"/>
      <c r="E56" s="268"/>
      <c r="F56" s="268"/>
      <c r="G56" s="268"/>
      <c r="H56" s="269"/>
      <c r="I56" s="112"/>
    </row>
    <row r="57" spans="2:9" ht="12.75" customHeight="1" x14ac:dyDescent="0.2">
      <c r="B57" s="264" t="s">
        <v>37</v>
      </c>
      <c r="C57" s="265"/>
      <c r="D57" s="265"/>
      <c r="E57" s="265"/>
      <c r="F57" s="266"/>
      <c r="G57" s="136"/>
      <c r="H57" s="137"/>
      <c r="I57" s="112"/>
    </row>
    <row r="58" spans="2:9" x14ac:dyDescent="0.2">
      <c r="B58" s="89" t="s">
        <v>40</v>
      </c>
      <c r="C58" s="222" t="s">
        <v>41</v>
      </c>
      <c r="D58" s="247"/>
      <c r="E58" s="247"/>
      <c r="F58" s="247"/>
      <c r="G58" s="76"/>
      <c r="H58" s="89" t="s">
        <v>49</v>
      </c>
      <c r="I58" s="94"/>
    </row>
    <row r="59" spans="2:9" ht="12.75" customHeight="1" x14ac:dyDescent="0.2">
      <c r="B59" s="16" t="s">
        <v>4</v>
      </c>
      <c r="C59" s="87" t="s">
        <v>47</v>
      </c>
      <c r="D59" s="159" t="s">
        <v>142</v>
      </c>
      <c r="E59" s="160"/>
      <c r="F59" s="160"/>
      <c r="G59" s="161"/>
      <c r="H59" s="40">
        <f>TRUNC((8.55*2*22)-(H$25*6%),2)</f>
        <v>285.24</v>
      </c>
      <c r="I59" s="113"/>
    </row>
    <row r="60" spans="2:9" ht="12.75" customHeight="1" x14ac:dyDescent="0.2">
      <c r="B60" s="16" t="s">
        <v>5</v>
      </c>
      <c r="C60" s="87" t="s">
        <v>48</v>
      </c>
      <c r="D60" s="159" t="s">
        <v>345</v>
      </c>
      <c r="E60" s="160"/>
      <c r="F60" s="160"/>
      <c r="G60" s="161"/>
      <c r="H60" s="40">
        <f>22.5*22*0.9</f>
        <v>445.5</v>
      </c>
      <c r="I60" s="113"/>
    </row>
    <row r="61" spans="2:9" x14ac:dyDescent="0.2">
      <c r="B61" s="16" t="s">
        <v>6</v>
      </c>
      <c r="C61" s="87" t="s">
        <v>196</v>
      </c>
      <c r="D61" s="159" t="s">
        <v>197</v>
      </c>
      <c r="E61" s="160"/>
      <c r="F61" s="160"/>
      <c r="G61" s="161"/>
      <c r="H61" s="40">
        <v>19</v>
      </c>
      <c r="I61" s="113"/>
    </row>
    <row r="62" spans="2:9" s="67" customFormat="1" x14ac:dyDescent="0.2">
      <c r="B62" s="16" t="s">
        <v>7</v>
      </c>
      <c r="C62" s="87" t="s">
        <v>2</v>
      </c>
      <c r="D62" s="159"/>
      <c r="E62" s="160"/>
      <c r="F62" s="160"/>
      <c r="G62" s="161"/>
      <c r="H62" s="40"/>
      <c r="I62" s="113"/>
    </row>
    <row r="63" spans="2:9" x14ac:dyDescent="0.2">
      <c r="B63" s="16" t="s">
        <v>140</v>
      </c>
      <c r="C63" s="222" t="s">
        <v>61</v>
      </c>
      <c r="D63" s="247"/>
      <c r="E63" s="247"/>
      <c r="F63" s="247"/>
      <c r="G63" s="76"/>
      <c r="H63" s="19">
        <f>SUM(H59:H62)</f>
        <v>749.74</v>
      </c>
      <c r="I63" s="20"/>
    </row>
    <row r="64" spans="2:9" x14ac:dyDescent="0.2">
      <c r="B64" s="260"/>
      <c r="C64" s="259"/>
      <c r="D64" s="259"/>
      <c r="E64" s="259"/>
      <c r="F64" s="259"/>
      <c r="G64" s="259"/>
      <c r="H64" s="261"/>
      <c r="I64" s="93"/>
    </row>
    <row r="65" spans="2:9" x14ac:dyDescent="0.2">
      <c r="B65" s="257" t="s">
        <v>71</v>
      </c>
      <c r="C65" s="258"/>
      <c r="D65" s="258"/>
      <c r="E65" s="258"/>
      <c r="F65" s="258"/>
      <c r="G65" s="140"/>
      <c r="H65" s="140"/>
      <c r="I65" s="93"/>
    </row>
    <row r="66" spans="2:9" x14ac:dyDescent="0.2">
      <c r="B66" s="89">
        <v>2</v>
      </c>
      <c r="C66" s="222" t="s">
        <v>70</v>
      </c>
      <c r="D66" s="247"/>
      <c r="E66" s="247"/>
      <c r="F66" s="247"/>
      <c r="G66" s="76"/>
      <c r="H66" s="89" t="s">
        <v>49</v>
      </c>
      <c r="I66" s="94"/>
    </row>
    <row r="67" spans="2:9" x14ac:dyDescent="0.2">
      <c r="B67" s="16" t="s">
        <v>38</v>
      </c>
      <c r="C67" s="77" t="s">
        <v>27</v>
      </c>
      <c r="D67" s="159" t="s">
        <v>129</v>
      </c>
      <c r="E67" s="160"/>
      <c r="F67" s="160"/>
      <c r="G67" s="161"/>
      <c r="H67" s="22">
        <f>H42</f>
        <v>294.77</v>
      </c>
      <c r="I67" s="100"/>
    </row>
    <row r="68" spans="2:9" x14ac:dyDescent="0.2">
      <c r="B68" s="16" t="s">
        <v>39</v>
      </c>
      <c r="C68" s="77" t="s">
        <v>28</v>
      </c>
      <c r="D68" s="159" t="s">
        <v>139</v>
      </c>
      <c r="E68" s="160"/>
      <c r="F68" s="160"/>
      <c r="G68" s="161"/>
      <c r="H68" s="22">
        <f>H55</f>
        <v>666.33</v>
      </c>
      <c r="I68" s="100"/>
    </row>
    <row r="69" spans="2:9" x14ac:dyDescent="0.2">
      <c r="B69" s="16" t="s">
        <v>40</v>
      </c>
      <c r="C69" s="77" t="s">
        <v>41</v>
      </c>
      <c r="D69" s="159" t="s">
        <v>140</v>
      </c>
      <c r="E69" s="160"/>
      <c r="F69" s="160"/>
      <c r="G69" s="161"/>
      <c r="H69" s="22">
        <f>H63</f>
        <v>749.74</v>
      </c>
      <c r="I69" s="100"/>
    </row>
    <row r="70" spans="2:9" x14ac:dyDescent="0.2">
      <c r="B70" s="16" t="s">
        <v>141</v>
      </c>
      <c r="C70" s="222" t="s">
        <v>61</v>
      </c>
      <c r="D70" s="247"/>
      <c r="E70" s="247"/>
      <c r="F70" s="247"/>
      <c r="G70" s="76"/>
      <c r="H70" s="19">
        <f>SUM(H67:H69)</f>
        <v>1710.8400000000001</v>
      </c>
      <c r="I70" s="20"/>
    </row>
    <row r="71" spans="2:9" x14ac:dyDescent="0.2">
      <c r="B71" s="259"/>
      <c r="C71" s="259"/>
      <c r="D71" s="259"/>
      <c r="E71" s="259"/>
      <c r="F71" s="259"/>
      <c r="G71" s="259"/>
      <c r="H71" s="259"/>
      <c r="I71" s="94"/>
    </row>
    <row r="72" spans="2:9" x14ac:dyDescent="0.2">
      <c r="B72" s="93"/>
      <c r="C72" s="93"/>
      <c r="D72" s="93"/>
      <c r="E72" s="93"/>
      <c r="F72" s="93"/>
      <c r="G72" s="93"/>
      <c r="H72" s="93"/>
      <c r="I72" s="94"/>
    </row>
    <row r="73" spans="2:9" x14ac:dyDescent="0.2">
      <c r="B73" s="248" t="s">
        <v>72</v>
      </c>
      <c r="C73" s="249"/>
      <c r="D73" s="249"/>
      <c r="E73" s="249"/>
      <c r="F73" s="256"/>
      <c r="G73" s="134"/>
      <c r="H73" s="135"/>
      <c r="I73" s="94"/>
    </row>
    <row r="74" spans="2:9" x14ac:dyDescent="0.2">
      <c r="B74" s="89">
        <v>3</v>
      </c>
      <c r="C74" s="222" t="s">
        <v>62</v>
      </c>
      <c r="D74" s="247"/>
      <c r="E74" s="247"/>
      <c r="F74" s="223"/>
      <c r="G74" s="89" t="s">
        <v>1</v>
      </c>
      <c r="H74" s="89" t="s">
        <v>49</v>
      </c>
      <c r="I74" s="94"/>
    </row>
    <row r="75" spans="2:9" x14ac:dyDescent="0.2">
      <c r="B75" s="16" t="s">
        <v>4</v>
      </c>
      <c r="C75" s="78" t="s">
        <v>96</v>
      </c>
      <c r="D75" s="159" t="s">
        <v>157</v>
      </c>
      <c r="E75" s="160"/>
      <c r="F75" s="161"/>
      <c r="G75" s="41">
        <v>1</v>
      </c>
      <c r="H75" s="25">
        <f>TRUNC((H$76+H$77)*$G75,2)</f>
        <v>259.61</v>
      </c>
      <c r="I75" s="20"/>
    </row>
    <row r="76" spans="2:9" x14ac:dyDescent="0.2">
      <c r="B76" s="16" t="s">
        <v>5</v>
      </c>
      <c r="C76" s="87" t="s">
        <v>97</v>
      </c>
      <c r="D76" s="159" t="s">
        <v>177</v>
      </c>
      <c r="E76" s="160"/>
      <c r="F76" s="161"/>
      <c r="G76" s="26"/>
      <c r="H76" s="22">
        <f>TRUNC((H$31+H$42+H$54+H$63-H59)/12,2)</f>
        <v>201.67</v>
      </c>
      <c r="I76" s="100"/>
    </row>
    <row r="77" spans="2:9" x14ac:dyDescent="0.2">
      <c r="B77" s="16" t="s">
        <v>6</v>
      </c>
      <c r="C77" s="87" t="s">
        <v>98</v>
      </c>
      <c r="D77" s="244" t="s">
        <v>169</v>
      </c>
      <c r="E77" s="246"/>
      <c r="F77" s="43">
        <v>0.4</v>
      </c>
      <c r="G77" s="26"/>
      <c r="H77" s="22">
        <f>TRUNC(H$54*$F77,2)</f>
        <v>57.94</v>
      </c>
      <c r="I77" s="100"/>
    </row>
    <row r="78" spans="2:9" x14ac:dyDescent="0.2">
      <c r="B78" s="16" t="s">
        <v>7</v>
      </c>
      <c r="C78" s="78" t="s">
        <v>99</v>
      </c>
      <c r="D78" s="159" t="s">
        <v>158</v>
      </c>
      <c r="E78" s="160"/>
      <c r="F78" s="161"/>
      <c r="G78" s="41">
        <v>1</v>
      </c>
      <c r="H78" s="81">
        <f>IF($G78&gt;=1,(TRUNC(H$79*$G78,2)),"ERRO")</f>
        <v>57.94</v>
      </c>
      <c r="I78" s="102"/>
    </row>
    <row r="79" spans="2:9" x14ac:dyDescent="0.2">
      <c r="B79" s="16" t="s">
        <v>8</v>
      </c>
      <c r="C79" s="87" t="s">
        <v>100</v>
      </c>
      <c r="D79" s="244" t="s">
        <v>169</v>
      </c>
      <c r="E79" s="246"/>
      <c r="F79" s="43">
        <v>0.4</v>
      </c>
      <c r="G79" s="26"/>
      <c r="H79" s="22">
        <f>TRUNC(H$54*$F79,2)</f>
        <v>57.94</v>
      </c>
      <c r="I79" s="100"/>
    </row>
    <row r="80" spans="2:9" x14ac:dyDescent="0.2">
      <c r="B80" s="16" t="s">
        <v>9</v>
      </c>
      <c r="C80" s="78" t="s">
        <v>174</v>
      </c>
      <c r="D80" s="262" t="s">
        <v>355</v>
      </c>
      <c r="E80" s="263"/>
      <c r="F80" s="42">
        <v>12</v>
      </c>
      <c r="G80" s="42">
        <v>3</v>
      </c>
      <c r="H80" s="22">
        <f>TRUNC(((H$31+H$42+H$55)/30)*$G80/$F80,2)</f>
        <v>20.64</v>
      </c>
      <c r="I80" s="100"/>
    </row>
    <row r="81" spans="2:9" x14ac:dyDescent="0.2">
      <c r="B81" s="16" t="s">
        <v>144</v>
      </c>
      <c r="C81" s="222" t="s">
        <v>61</v>
      </c>
      <c r="D81" s="247"/>
      <c r="E81" s="247"/>
      <c r="F81" s="247"/>
      <c r="G81" s="76"/>
      <c r="H81" s="19">
        <f>H$75+H$78+H$80</f>
        <v>338.19</v>
      </c>
      <c r="I81" s="20"/>
    </row>
    <row r="82" spans="2:9" x14ac:dyDescent="0.2">
      <c r="B82" s="90"/>
      <c r="C82" s="90"/>
      <c r="D82" s="90"/>
      <c r="E82" s="90"/>
      <c r="F82" s="90"/>
      <c r="G82" s="90"/>
      <c r="H82" s="90"/>
      <c r="I82" s="90"/>
    </row>
    <row r="83" spans="2:9" x14ac:dyDescent="0.2">
      <c r="B83" s="93"/>
      <c r="C83" s="93"/>
      <c r="D83" s="93"/>
      <c r="E83" s="93"/>
      <c r="F83" s="93"/>
      <c r="G83" s="93"/>
      <c r="H83" s="93"/>
      <c r="I83" s="94"/>
    </row>
    <row r="84" spans="2:9" x14ac:dyDescent="0.2">
      <c r="B84" s="248" t="s">
        <v>73</v>
      </c>
      <c r="C84" s="249"/>
      <c r="D84" s="249"/>
      <c r="E84" s="249"/>
      <c r="F84" s="256"/>
      <c r="G84" s="134"/>
      <c r="H84" s="135"/>
      <c r="I84" s="94"/>
    </row>
    <row r="85" spans="2:9" x14ac:dyDescent="0.2">
      <c r="B85" s="253" t="s">
        <v>90</v>
      </c>
      <c r="C85" s="254"/>
      <c r="D85" s="254"/>
      <c r="E85" s="254"/>
      <c r="F85" s="254"/>
      <c r="G85" s="141"/>
      <c r="H85" s="142"/>
      <c r="I85" s="94"/>
    </row>
    <row r="86" spans="2:9" x14ac:dyDescent="0.2">
      <c r="B86" s="89" t="s">
        <v>14</v>
      </c>
      <c r="C86" s="222" t="s">
        <v>91</v>
      </c>
      <c r="D86" s="247"/>
      <c r="E86" s="247"/>
      <c r="F86" s="223"/>
      <c r="G86" s="89" t="s">
        <v>104</v>
      </c>
      <c r="H86" s="89" t="s">
        <v>49</v>
      </c>
      <c r="I86" s="94"/>
    </row>
    <row r="87" spans="2:9" x14ac:dyDescent="0.2">
      <c r="B87" s="16" t="s">
        <v>4</v>
      </c>
      <c r="C87" s="87" t="s">
        <v>110</v>
      </c>
      <c r="D87" s="159" t="s">
        <v>150</v>
      </c>
      <c r="E87" s="160"/>
      <c r="F87" s="161"/>
      <c r="G87" s="42">
        <v>30</v>
      </c>
      <c r="H87" s="22">
        <f>TRUNC((H$89*$G87)/12,2)</f>
        <v>297.07</v>
      </c>
      <c r="I87" s="100"/>
    </row>
    <row r="88" spans="2:9" ht="22.5" x14ac:dyDescent="0.2">
      <c r="B88" s="16" t="s">
        <v>5</v>
      </c>
      <c r="C88" s="79" t="s">
        <v>156</v>
      </c>
      <c r="D88" s="162" t="s">
        <v>159</v>
      </c>
      <c r="E88" s="163"/>
      <c r="F88" s="164"/>
      <c r="G88" s="57">
        <v>8</v>
      </c>
      <c r="H88" s="22">
        <f>TRUNC((H$89*$G88)/12,2)</f>
        <v>79.22</v>
      </c>
      <c r="I88" s="100"/>
    </row>
    <row r="89" spans="2:9" x14ac:dyDescent="0.2">
      <c r="B89" s="16" t="s">
        <v>6</v>
      </c>
      <c r="C89" s="87" t="s">
        <v>112</v>
      </c>
      <c r="D89" s="159" t="s">
        <v>143</v>
      </c>
      <c r="E89" s="160"/>
      <c r="F89" s="160"/>
      <c r="G89" s="161"/>
      <c r="H89" s="22">
        <f>TRUNC((H$31+H$70+H$81)/30,2)</f>
        <v>118.83</v>
      </c>
      <c r="I89" s="100"/>
    </row>
    <row r="90" spans="2:9" x14ac:dyDescent="0.2">
      <c r="B90" s="16" t="s">
        <v>145</v>
      </c>
      <c r="C90" s="222" t="s">
        <v>61</v>
      </c>
      <c r="D90" s="247"/>
      <c r="E90" s="247"/>
      <c r="F90" s="247"/>
      <c r="G90" s="76"/>
      <c r="H90" s="19">
        <f>TRUNC(H$87+H$88,2)</f>
        <v>376.29</v>
      </c>
      <c r="I90" s="20"/>
    </row>
    <row r="91" spans="2:9" x14ac:dyDescent="0.2">
      <c r="B91" s="68"/>
      <c r="C91" s="69"/>
      <c r="D91" s="69"/>
      <c r="E91" s="69"/>
      <c r="F91" s="69"/>
      <c r="G91" s="69"/>
      <c r="H91" s="70"/>
      <c r="I91" s="27"/>
    </row>
    <row r="92" spans="2:9" x14ac:dyDescent="0.2">
      <c r="B92" s="257" t="s">
        <v>92</v>
      </c>
      <c r="C92" s="258"/>
      <c r="D92" s="258"/>
      <c r="E92" s="258"/>
      <c r="F92" s="258"/>
      <c r="G92" s="143"/>
      <c r="H92" s="144"/>
      <c r="I92" s="94"/>
    </row>
    <row r="93" spans="2:9" x14ac:dyDescent="0.2">
      <c r="B93" s="89" t="s">
        <v>15</v>
      </c>
      <c r="C93" s="222" t="s">
        <v>93</v>
      </c>
      <c r="D93" s="247"/>
      <c r="E93" s="247"/>
      <c r="F93" s="223"/>
      <c r="G93" s="89" t="s">
        <v>104</v>
      </c>
      <c r="H93" s="89" t="s">
        <v>49</v>
      </c>
      <c r="I93" s="94"/>
    </row>
    <row r="94" spans="2:9" ht="22.5" x14ac:dyDescent="0.2">
      <c r="B94" s="16" t="s">
        <v>4</v>
      </c>
      <c r="C94" s="79" t="s">
        <v>94</v>
      </c>
      <c r="D94" s="159" t="s">
        <v>179</v>
      </c>
      <c r="E94" s="160"/>
      <c r="F94" s="160"/>
      <c r="G94" s="42"/>
      <c r="H94" s="22">
        <f>TRUNC(((H$31+H70+H81)/220)*(1+50%)*G94,2)</f>
        <v>0</v>
      </c>
      <c r="I94" s="100"/>
    </row>
    <row r="95" spans="2:9" x14ac:dyDescent="0.2">
      <c r="B95" s="16" t="s">
        <v>146</v>
      </c>
      <c r="C95" s="222" t="s">
        <v>61</v>
      </c>
      <c r="D95" s="247"/>
      <c r="E95" s="247"/>
      <c r="F95" s="247"/>
      <c r="G95" s="126"/>
      <c r="H95" s="19">
        <f>H94</f>
        <v>0</v>
      </c>
      <c r="I95" s="100"/>
    </row>
    <row r="96" spans="2:9" x14ac:dyDescent="0.2">
      <c r="B96" s="92"/>
      <c r="C96" s="91"/>
      <c r="D96" s="91"/>
      <c r="E96" s="91"/>
      <c r="F96" s="91"/>
      <c r="G96" s="93"/>
      <c r="H96" s="158"/>
      <c r="I96" s="116"/>
    </row>
    <row r="97" spans="2:9" x14ac:dyDescent="0.2">
      <c r="B97" s="257" t="s">
        <v>74</v>
      </c>
      <c r="C97" s="258"/>
      <c r="D97" s="258"/>
      <c r="E97" s="258"/>
      <c r="F97" s="258"/>
      <c r="G97" s="143"/>
      <c r="H97" s="144"/>
      <c r="I97" s="94"/>
    </row>
    <row r="98" spans="2:9" x14ac:dyDescent="0.2">
      <c r="B98" s="89">
        <v>4</v>
      </c>
      <c r="C98" s="222" t="s">
        <v>75</v>
      </c>
      <c r="D98" s="247"/>
      <c r="E98" s="247"/>
      <c r="F98" s="247"/>
      <c r="G98" s="223"/>
      <c r="H98" s="89" t="s">
        <v>49</v>
      </c>
      <c r="I98" s="94"/>
    </row>
    <row r="99" spans="2:9" x14ac:dyDescent="0.2">
      <c r="B99" s="16" t="s">
        <v>14</v>
      </c>
      <c r="C99" s="87" t="s">
        <v>42</v>
      </c>
      <c r="D99" s="159" t="s">
        <v>145</v>
      </c>
      <c r="E99" s="160"/>
      <c r="F99" s="160"/>
      <c r="G99" s="161"/>
      <c r="H99" s="22">
        <f>H90</f>
        <v>376.29</v>
      </c>
      <c r="I99" s="100"/>
    </row>
    <row r="100" spans="2:9" x14ac:dyDescent="0.2">
      <c r="B100" s="16" t="s">
        <v>15</v>
      </c>
      <c r="C100" s="87" t="s">
        <v>44</v>
      </c>
      <c r="D100" s="159" t="s">
        <v>146</v>
      </c>
      <c r="E100" s="160"/>
      <c r="F100" s="160"/>
      <c r="G100" s="161"/>
      <c r="H100" s="22">
        <f>H95</f>
        <v>0</v>
      </c>
      <c r="I100" s="100"/>
    </row>
    <row r="101" spans="2:9" x14ac:dyDescent="0.2">
      <c r="B101" s="16" t="s">
        <v>147</v>
      </c>
      <c r="C101" s="222" t="s">
        <v>61</v>
      </c>
      <c r="D101" s="247"/>
      <c r="E101" s="247"/>
      <c r="F101" s="247"/>
      <c r="G101" s="76"/>
      <c r="H101" s="19">
        <f>SUM(H99:H100)</f>
        <v>376.29</v>
      </c>
      <c r="I101" s="20"/>
    </row>
    <row r="102" spans="2:9" x14ac:dyDescent="0.2">
      <c r="B102" s="93"/>
      <c r="C102" s="93"/>
      <c r="D102" s="93"/>
      <c r="E102" s="93"/>
      <c r="F102" s="93"/>
      <c r="G102" s="93"/>
      <c r="H102" s="93"/>
      <c r="I102" s="94"/>
    </row>
    <row r="103" spans="2:9" x14ac:dyDescent="0.2">
      <c r="B103" s="93"/>
      <c r="C103" s="93"/>
      <c r="D103" s="93"/>
      <c r="E103" s="93"/>
      <c r="F103" s="93"/>
      <c r="G103" s="93"/>
      <c r="H103" s="93"/>
      <c r="I103" s="94"/>
    </row>
    <row r="104" spans="2:9" x14ac:dyDescent="0.2">
      <c r="B104" s="253" t="s">
        <v>76</v>
      </c>
      <c r="C104" s="254"/>
      <c r="D104" s="254"/>
      <c r="E104" s="254"/>
      <c r="F104" s="255"/>
      <c r="G104" s="78"/>
      <c r="H104" s="214"/>
      <c r="I104" s="94"/>
    </row>
    <row r="105" spans="2:9" x14ac:dyDescent="0.2">
      <c r="B105" s="16">
        <v>5</v>
      </c>
      <c r="C105" s="250" t="s">
        <v>63</v>
      </c>
      <c r="D105" s="251"/>
      <c r="E105" s="251"/>
      <c r="F105" s="251"/>
      <c r="G105" s="252"/>
      <c r="H105" s="16" t="s">
        <v>49</v>
      </c>
      <c r="I105" s="94"/>
    </row>
    <row r="106" spans="2:9" x14ac:dyDescent="0.2">
      <c r="B106" s="16" t="s">
        <v>4</v>
      </c>
      <c r="C106" s="87" t="s">
        <v>45</v>
      </c>
      <c r="D106" s="88"/>
      <c r="E106" s="88"/>
      <c r="F106" s="88"/>
      <c r="G106" s="215"/>
      <c r="H106" s="22">
        <f>Uniformes!D34</f>
        <v>43.044999999999995</v>
      </c>
      <c r="I106" s="100"/>
    </row>
    <row r="107" spans="2:9" x14ac:dyDescent="0.2">
      <c r="B107" s="16" t="s">
        <v>5</v>
      </c>
      <c r="C107" s="87" t="s">
        <v>12</v>
      </c>
      <c r="D107" s="88"/>
      <c r="E107" s="88"/>
      <c r="F107" s="88"/>
      <c r="G107" s="215"/>
      <c r="H107" s="22">
        <f>Materiais!K31</f>
        <v>122.88027272727273</v>
      </c>
      <c r="I107" s="100"/>
    </row>
    <row r="108" spans="2:9" x14ac:dyDescent="0.2">
      <c r="B108" s="16" t="s">
        <v>6</v>
      </c>
      <c r="C108" s="87" t="s">
        <v>13</v>
      </c>
      <c r="D108" s="88"/>
      <c r="E108" s="88"/>
      <c r="F108" s="88"/>
      <c r="G108" s="215"/>
      <c r="H108" s="22">
        <v>0</v>
      </c>
      <c r="I108" s="100"/>
    </row>
    <row r="109" spans="2:9" x14ac:dyDescent="0.2">
      <c r="B109" s="16" t="s">
        <v>7</v>
      </c>
      <c r="C109" s="87" t="s">
        <v>2</v>
      </c>
      <c r="D109" s="88"/>
      <c r="E109" s="88"/>
      <c r="F109" s="88"/>
      <c r="G109" s="215"/>
      <c r="H109" s="22"/>
      <c r="I109" s="100"/>
    </row>
    <row r="110" spans="2:9" x14ac:dyDescent="0.2">
      <c r="B110" s="16" t="s">
        <v>148</v>
      </c>
      <c r="C110" s="253" t="s">
        <v>61</v>
      </c>
      <c r="D110" s="254"/>
      <c r="E110" s="254"/>
      <c r="F110" s="254"/>
      <c r="G110" s="214"/>
      <c r="H110" s="25">
        <f>SUM(H106:H109)</f>
        <v>165.92527272727273</v>
      </c>
      <c r="I110" s="20"/>
    </row>
    <row r="111" spans="2:9" x14ac:dyDescent="0.2">
      <c r="B111" s="93"/>
      <c r="C111" s="93"/>
      <c r="D111" s="93"/>
      <c r="E111" s="93"/>
      <c r="F111" s="93"/>
      <c r="G111" s="71"/>
      <c r="H111" s="66"/>
      <c r="I111" s="20"/>
    </row>
    <row r="112" spans="2:9" x14ac:dyDescent="0.2">
      <c r="B112" s="93"/>
      <c r="C112" s="93"/>
      <c r="D112" s="93"/>
      <c r="E112" s="93"/>
      <c r="F112" s="93"/>
      <c r="G112" s="93"/>
      <c r="H112" s="93"/>
      <c r="I112" s="94"/>
    </row>
    <row r="113" spans="2:9" x14ac:dyDescent="0.2">
      <c r="B113" s="248" t="s">
        <v>77</v>
      </c>
      <c r="C113" s="249"/>
      <c r="D113" s="249"/>
      <c r="E113" s="249"/>
      <c r="F113" s="256"/>
      <c r="G113" s="134"/>
      <c r="H113" s="135"/>
      <c r="I113" s="94"/>
    </row>
    <row r="114" spans="2:9" x14ac:dyDescent="0.2">
      <c r="B114" s="89">
        <v>6</v>
      </c>
      <c r="C114" s="222" t="s">
        <v>64</v>
      </c>
      <c r="D114" s="247"/>
      <c r="E114" s="247"/>
      <c r="F114" s="223"/>
      <c r="G114" s="89" t="s">
        <v>1</v>
      </c>
      <c r="H114" s="89" t="s">
        <v>49</v>
      </c>
      <c r="I114" s="94"/>
    </row>
    <row r="115" spans="2:9" x14ac:dyDescent="0.2">
      <c r="B115" s="16" t="s">
        <v>4</v>
      </c>
      <c r="C115" s="87" t="s">
        <v>16</v>
      </c>
      <c r="D115" s="244" t="s">
        <v>160</v>
      </c>
      <c r="E115" s="245"/>
      <c r="F115" s="246"/>
      <c r="G115" s="46">
        <v>0.05</v>
      </c>
      <c r="H115" s="22">
        <f>TRUNC(H$132*$G115,2)</f>
        <v>205.36</v>
      </c>
      <c r="I115" s="100"/>
    </row>
    <row r="116" spans="2:9" x14ac:dyDescent="0.2">
      <c r="B116" s="16" t="s">
        <v>5</v>
      </c>
      <c r="C116" s="87" t="s">
        <v>3</v>
      </c>
      <c r="D116" s="244" t="s">
        <v>161</v>
      </c>
      <c r="E116" s="245"/>
      <c r="F116" s="246"/>
      <c r="G116" s="46">
        <v>0.1</v>
      </c>
      <c r="H116" s="22">
        <f>TRUNC((H$132+H$115)*$G116,2)</f>
        <v>431.26</v>
      </c>
      <c r="I116" s="100"/>
    </row>
    <row r="117" spans="2:9" x14ac:dyDescent="0.2">
      <c r="B117" s="16" t="s">
        <v>6</v>
      </c>
      <c r="C117" s="87" t="s">
        <v>115</v>
      </c>
      <c r="D117" s="244" t="s">
        <v>162</v>
      </c>
      <c r="E117" s="245"/>
      <c r="F117" s="246"/>
      <c r="G117" s="48">
        <f>1-(G118+G119+G120)</f>
        <v>0.85749999999999993</v>
      </c>
      <c r="H117" s="28">
        <f>TRUNC(((H$132+H$115+H$116)/$G117),2)</f>
        <v>5532.2</v>
      </c>
      <c r="I117" s="103"/>
    </row>
    <row r="118" spans="2:9" x14ac:dyDescent="0.2">
      <c r="B118" s="16" t="s">
        <v>21</v>
      </c>
      <c r="C118" s="87" t="s">
        <v>18</v>
      </c>
      <c r="D118" s="244" t="s">
        <v>163</v>
      </c>
      <c r="E118" s="245"/>
      <c r="F118" s="246"/>
      <c r="G118" s="47">
        <v>1.6500000000000001E-2</v>
      </c>
      <c r="H118" s="22">
        <f>TRUNC(H$117*$G118,2)</f>
        <v>91.28</v>
      </c>
      <c r="I118" s="100"/>
    </row>
    <row r="119" spans="2:9" x14ac:dyDescent="0.2">
      <c r="B119" s="16" t="s">
        <v>22</v>
      </c>
      <c r="C119" s="87" t="s">
        <v>19</v>
      </c>
      <c r="D119" s="244" t="s">
        <v>163</v>
      </c>
      <c r="E119" s="245"/>
      <c r="F119" s="246"/>
      <c r="G119" s="47">
        <v>7.5999999999999998E-2</v>
      </c>
      <c r="H119" s="22">
        <f>TRUNC(H$117*$G119,2)</f>
        <v>420.44</v>
      </c>
      <c r="I119" s="100"/>
    </row>
    <row r="120" spans="2:9" x14ac:dyDescent="0.2">
      <c r="B120" s="16" t="s">
        <v>23</v>
      </c>
      <c r="C120" s="87" t="s">
        <v>20</v>
      </c>
      <c r="D120" s="244" t="s">
        <v>163</v>
      </c>
      <c r="E120" s="245"/>
      <c r="F120" s="246"/>
      <c r="G120" s="47">
        <v>0.05</v>
      </c>
      <c r="H120" s="22">
        <f>TRUNC(H$117*$G120,2)</f>
        <v>276.61</v>
      </c>
      <c r="I120" s="100"/>
    </row>
    <row r="121" spans="2:9" x14ac:dyDescent="0.2">
      <c r="B121" s="16" t="s">
        <v>149</v>
      </c>
      <c r="C121" s="83" t="s">
        <v>61</v>
      </c>
      <c r="D121" s="228" t="s">
        <v>151</v>
      </c>
      <c r="E121" s="228"/>
      <c r="F121" s="228"/>
      <c r="G121" s="157"/>
      <c r="H121" s="19">
        <f>SUM(H115:H120)-H117</f>
        <v>1424.9499999999989</v>
      </c>
      <c r="I121" s="20"/>
    </row>
    <row r="122" spans="2:9" x14ac:dyDescent="0.2">
      <c r="B122" s="63"/>
      <c r="C122" s="63"/>
      <c r="D122" s="63"/>
      <c r="E122" s="63"/>
      <c r="F122" s="63"/>
      <c r="G122" s="63"/>
      <c r="H122" s="72"/>
      <c r="I122" s="29"/>
    </row>
    <row r="123" spans="2:9" x14ac:dyDescent="0.2">
      <c r="B123" s="232" t="s">
        <v>190</v>
      </c>
      <c r="C123" s="232"/>
      <c r="D123" s="232"/>
      <c r="E123" s="232"/>
      <c r="F123" s="232"/>
      <c r="G123" s="232"/>
      <c r="H123" s="232"/>
      <c r="I123" s="110"/>
    </row>
    <row r="124" spans="2:9" x14ac:dyDescent="0.2">
      <c r="B124" s="86"/>
      <c r="C124" s="86"/>
      <c r="D124" s="86"/>
      <c r="E124" s="86"/>
      <c r="F124" s="86"/>
      <c r="G124" s="86"/>
      <c r="H124" s="86"/>
      <c r="I124" s="110"/>
    </row>
    <row r="125" spans="2:9" x14ac:dyDescent="0.2">
      <c r="B125" s="248" t="s">
        <v>191</v>
      </c>
      <c r="C125" s="249"/>
      <c r="D125" s="249"/>
      <c r="E125" s="249"/>
      <c r="F125" s="249"/>
      <c r="G125" s="151"/>
      <c r="H125" s="135"/>
      <c r="I125" s="94"/>
    </row>
    <row r="126" spans="2:9" ht="12.75" customHeight="1" x14ac:dyDescent="0.2">
      <c r="B126" s="149"/>
      <c r="C126" s="226" t="s">
        <v>116</v>
      </c>
      <c r="D126" s="227"/>
      <c r="E126" s="227"/>
      <c r="F126" s="227"/>
      <c r="G126" s="150"/>
      <c r="H126" s="133" t="s">
        <v>49</v>
      </c>
      <c r="I126" s="94"/>
    </row>
    <row r="127" spans="2:9" x14ac:dyDescent="0.2">
      <c r="B127" s="16" t="s">
        <v>4</v>
      </c>
      <c r="C127" s="79" t="s">
        <v>79</v>
      </c>
      <c r="D127" s="159" t="s">
        <v>127</v>
      </c>
      <c r="E127" s="160"/>
      <c r="F127" s="160"/>
      <c r="G127" s="161"/>
      <c r="H127" s="22">
        <f>H31</f>
        <v>1516</v>
      </c>
      <c r="I127" s="100"/>
    </row>
    <row r="128" spans="2:9" ht="22.5" x14ac:dyDescent="0.2">
      <c r="B128" s="16" t="s">
        <v>5</v>
      </c>
      <c r="C128" s="79" t="s">
        <v>80</v>
      </c>
      <c r="D128" s="159" t="s">
        <v>141</v>
      </c>
      <c r="E128" s="160"/>
      <c r="F128" s="160"/>
      <c r="G128" s="161"/>
      <c r="H128" s="22">
        <f>H70</f>
        <v>1710.8400000000001</v>
      </c>
      <c r="I128" s="100"/>
    </row>
    <row r="129" spans="2:9" x14ac:dyDescent="0.2">
      <c r="B129" s="16" t="s">
        <v>6</v>
      </c>
      <c r="C129" s="79" t="s">
        <v>81</v>
      </c>
      <c r="D129" s="159" t="s">
        <v>144</v>
      </c>
      <c r="E129" s="160"/>
      <c r="F129" s="160"/>
      <c r="G129" s="161"/>
      <c r="H129" s="22">
        <f>H81</f>
        <v>338.19</v>
      </c>
      <c r="I129" s="100"/>
    </row>
    <row r="130" spans="2:9" ht="22.5" x14ac:dyDescent="0.2">
      <c r="B130" s="16" t="s">
        <v>7</v>
      </c>
      <c r="C130" s="79" t="s">
        <v>43</v>
      </c>
      <c r="D130" s="159" t="s">
        <v>147</v>
      </c>
      <c r="E130" s="160"/>
      <c r="F130" s="160"/>
      <c r="G130" s="161"/>
      <c r="H130" s="22">
        <f>H101</f>
        <v>376.29</v>
      </c>
      <c r="I130" s="100"/>
    </row>
    <row r="131" spans="2:9" x14ac:dyDescent="0.2">
      <c r="B131" s="16" t="s">
        <v>8</v>
      </c>
      <c r="C131" s="79" t="s">
        <v>82</v>
      </c>
      <c r="D131" s="159" t="s">
        <v>148</v>
      </c>
      <c r="E131" s="160"/>
      <c r="F131" s="160"/>
      <c r="G131" s="161"/>
      <c r="H131" s="22">
        <f>H110</f>
        <v>165.92527272727273</v>
      </c>
      <c r="I131" s="100"/>
    </row>
    <row r="132" spans="2:9" x14ac:dyDescent="0.2">
      <c r="B132" s="85" t="s">
        <v>9</v>
      </c>
      <c r="C132" s="78" t="s">
        <v>46</v>
      </c>
      <c r="D132" s="165" t="s">
        <v>167</v>
      </c>
      <c r="E132" s="166"/>
      <c r="F132" s="166"/>
      <c r="G132" s="167"/>
      <c r="H132" s="25">
        <f>SUM(H127:H131)</f>
        <v>4107.245272727273</v>
      </c>
      <c r="I132" s="20"/>
    </row>
    <row r="133" spans="2:9" x14ac:dyDescent="0.2">
      <c r="B133" s="16" t="s">
        <v>10</v>
      </c>
      <c r="C133" s="87" t="s">
        <v>83</v>
      </c>
      <c r="D133" s="159" t="s">
        <v>149</v>
      </c>
      <c r="E133" s="160"/>
      <c r="F133" s="160"/>
      <c r="G133" s="161"/>
      <c r="H133" s="22">
        <f>H121</f>
        <v>1424.9499999999989</v>
      </c>
      <c r="I133" s="100"/>
    </row>
    <row r="134" spans="2:9" x14ac:dyDescent="0.2">
      <c r="B134" s="16" t="s">
        <v>152</v>
      </c>
      <c r="C134" s="82" t="s">
        <v>78</v>
      </c>
      <c r="D134" s="168" t="s">
        <v>166</v>
      </c>
      <c r="E134" s="156"/>
      <c r="F134" s="156"/>
      <c r="G134" s="157"/>
      <c r="H134" s="31">
        <f>SUM(H132:H133)</f>
        <v>5532.1952727272719</v>
      </c>
      <c r="I134" s="114"/>
    </row>
    <row r="135" spans="2:9" ht="12.75" customHeight="1" x14ac:dyDescent="0.2">
      <c r="B135" s="14"/>
      <c r="C135" s="14"/>
      <c r="D135" s="14"/>
      <c r="E135" s="14"/>
      <c r="F135" s="14"/>
      <c r="G135" s="14"/>
      <c r="H135" s="32"/>
      <c r="I135" s="32"/>
    </row>
    <row r="136" spans="2:9" x14ac:dyDescent="0.2">
      <c r="B136" s="232" t="s">
        <v>192</v>
      </c>
      <c r="C136" s="232"/>
      <c r="D136" s="232"/>
      <c r="E136" s="232"/>
      <c r="F136" s="232"/>
      <c r="I136" s="14"/>
    </row>
    <row r="137" spans="2:9" x14ac:dyDescent="0.2">
      <c r="B137" s="73"/>
      <c r="C137" s="73"/>
      <c r="D137" s="73"/>
      <c r="E137" s="67"/>
      <c r="F137" s="67"/>
      <c r="I137" s="14"/>
    </row>
    <row r="138" spans="2:9" x14ac:dyDescent="0.2">
      <c r="B138" s="236" t="s">
        <v>193</v>
      </c>
      <c r="C138" s="237"/>
      <c r="D138" s="237"/>
      <c r="E138" s="237"/>
      <c r="F138" s="237"/>
      <c r="G138" s="151"/>
      <c r="H138" s="135"/>
      <c r="I138" s="111"/>
    </row>
    <row r="139" spans="2:9" x14ac:dyDescent="0.2">
      <c r="B139" s="127" t="s">
        <v>4</v>
      </c>
      <c r="C139" s="152" t="s">
        <v>105</v>
      </c>
      <c r="D139" s="238" t="s">
        <v>152</v>
      </c>
      <c r="E139" s="239"/>
      <c r="F139" s="239"/>
      <c r="G139" s="153"/>
      <c r="H139" s="154">
        <f>H134</f>
        <v>5532.1952727272719</v>
      </c>
      <c r="I139" s="109"/>
    </row>
    <row r="140" spans="2:9" ht="22.5" x14ac:dyDescent="0.2">
      <c r="B140" s="16" t="s">
        <v>5</v>
      </c>
      <c r="C140" s="80" t="s">
        <v>154</v>
      </c>
      <c r="D140" s="240" t="s">
        <v>155</v>
      </c>
      <c r="E140" s="241"/>
      <c r="F140" s="241"/>
      <c r="G140" s="147"/>
      <c r="H140" s="11">
        <f>H42+H81+H99</f>
        <v>1009.25</v>
      </c>
      <c r="I140" s="104"/>
    </row>
    <row r="141" spans="2:9" ht="22.5" x14ac:dyDescent="0.2">
      <c r="B141" s="16" t="s">
        <v>6</v>
      </c>
      <c r="C141" s="80" t="s">
        <v>170</v>
      </c>
      <c r="D141" s="240" t="s">
        <v>178</v>
      </c>
      <c r="E141" s="241"/>
      <c r="F141" s="241"/>
      <c r="G141" s="148"/>
      <c r="H141" s="108">
        <f>TRUNC((H$42*$G55),2)</f>
        <v>108.47</v>
      </c>
      <c r="I141" s="109"/>
    </row>
    <row r="142" spans="2:9" ht="12.75" customHeight="1" x14ac:dyDescent="0.2">
      <c r="B142" s="16" t="s">
        <v>7</v>
      </c>
      <c r="C142" s="80" t="s">
        <v>16</v>
      </c>
      <c r="D142" s="229" t="s">
        <v>164</v>
      </c>
      <c r="E142" s="230"/>
      <c r="F142" s="231"/>
      <c r="G142" s="12">
        <f>G115</f>
        <v>0.05</v>
      </c>
      <c r="H142" s="11">
        <f>TRUNC((H$140+H$141)*$G142,2)</f>
        <v>55.88</v>
      </c>
      <c r="I142" s="104"/>
    </row>
    <row r="143" spans="2:9" ht="12.75" customHeight="1" x14ac:dyDescent="0.2">
      <c r="B143" s="16" t="s">
        <v>8</v>
      </c>
      <c r="C143" s="80" t="s">
        <v>3</v>
      </c>
      <c r="D143" s="229" t="s">
        <v>165</v>
      </c>
      <c r="E143" s="230"/>
      <c r="F143" s="231"/>
      <c r="G143" s="12">
        <f>G116</f>
        <v>0.1</v>
      </c>
      <c r="H143" s="11">
        <f>TRUNC((H$140+H$141+H$142)*$G143,2)</f>
        <v>117.36</v>
      </c>
      <c r="I143" s="104"/>
    </row>
    <row r="144" spans="2:9" ht="12.75" customHeight="1" x14ac:dyDescent="0.2">
      <c r="B144" s="16" t="s">
        <v>9</v>
      </c>
      <c r="C144" s="80" t="s">
        <v>106</v>
      </c>
      <c r="D144" s="229" t="s">
        <v>172</v>
      </c>
      <c r="E144" s="230"/>
      <c r="F144" s="231"/>
      <c r="G144" s="12">
        <f>G118+G119+G120</f>
        <v>0.14250000000000002</v>
      </c>
      <c r="H144" s="11">
        <f>TRUNC((H$140+H$141+H$142+H$143)/(1-$G144)-(H$140+H$141+H$142+H$143),2)</f>
        <v>214.53</v>
      </c>
      <c r="I144" s="104"/>
    </row>
    <row r="145" spans="2:9" ht="22.5" x14ac:dyDescent="0.2">
      <c r="B145" s="16" t="s">
        <v>10</v>
      </c>
      <c r="C145" s="128" t="s">
        <v>107</v>
      </c>
      <c r="D145" s="145" t="s">
        <v>173</v>
      </c>
      <c r="E145" s="146"/>
      <c r="F145" s="146"/>
      <c r="G145" s="147"/>
      <c r="H145" s="129">
        <f>SUM(H140:H144)</f>
        <v>1505.49</v>
      </c>
      <c r="I145" s="105"/>
    </row>
    <row r="146" spans="2:9" x14ac:dyDescent="0.2">
      <c r="B146" s="16" t="s">
        <v>153</v>
      </c>
      <c r="C146" s="84" t="s">
        <v>124</v>
      </c>
      <c r="D146" s="242" t="s">
        <v>171</v>
      </c>
      <c r="E146" s="243"/>
      <c r="F146" s="243"/>
      <c r="G146" s="155"/>
      <c r="H146" s="33">
        <f>H139-H145</f>
        <v>4026.7052727272721</v>
      </c>
      <c r="I146" s="115"/>
    </row>
    <row r="147" spans="2:9" ht="45" customHeight="1" x14ac:dyDescent="0.2">
      <c r="B147" s="233" t="s">
        <v>123</v>
      </c>
      <c r="C147" s="234"/>
      <c r="D147" s="234"/>
      <c r="E147" s="234"/>
      <c r="F147" s="234"/>
      <c r="G147" s="235"/>
      <c r="H147" s="132"/>
      <c r="I147" s="106"/>
    </row>
  </sheetData>
  <mergeCells count="105">
    <mergeCell ref="D144:F144"/>
    <mergeCell ref="D146:F146"/>
    <mergeCell ref="B147:G147"/>
    <mergeCell ref="B138:F138"/>
    <mergeCell ref="D139:F139"/>
    <mergeCell ref="D140:F140"/>
    <mergeCell ref="D141:F141"/>
    <mergeCell ref="D142:F142"/>
    <mergeCell ref="D143:F143"/>
    <mergeCell ref="D120:F120"/>
    <mergeCell ref="D121:F121"/>
    <mergeCell ref="B123:H123"/>
    <mergeCell ref="B125:F125"/>
    <mergeCell ref="C126:F126"/>
    <mergeCell ref="B136:F136"/>
    <mergeCell ref="C114:F114"/>
    <mergeCell ref="D115:F115"/>
    <mergeCell ref="D116:F116"/>
    <mergeCell ref="D117:F117"/>
    <mergeCell ref="D118:F118"/>
    <mergeCell ref="D119:F119"/>
    <mergeCell ref="C98:G98"/>
    <mergeCell ref="C101:F101"/>
    <mergeCell ref="B104:F104"/>
    <mergeCell ref="C105:G105"/>
    <mergeCell ref="C110:F110"/>
    <mergeCell ref="B113:F113"/>
    <mergeCell ref="C86:F86"/>
    <mergeCell ref="C90:F90"/>
    <mergeCell ref="B92:F92"/>
    <mergeCell ref="C93:F93"/>
    <mergeCell ref="C95:F95"/>
    <mergeCell ref="B97:F97"/>
    <mergeCell ref="D77:E77"/>
    <mergeCell ref="D79:E79"/>
    <mergeCell ref="D80:E80"/>
    <mergeCell ref="C81:F81"/>
    <mergeCell ref="B84:F84"/>
    <mergeCell ref="B85:F85"/>
    <mergeCell ref="B65:F65"/>
    <mergeCell ref="C66:F66"/>
    <mergeCell ref="C70:F70"/>
    <mergeCell ref="B71:H71"/>
    <mergeCell ref="B73:F73"/>
    <mergeCell ref="C74:F74"/>
    <mergeCell ref="C55:F55"/>
    <mergeCell ref="B56:H56"/>
    <mergeCell ref="B57:F57"/>
    <mergeCell ref="C58:F58"/>
    <mergeCell ref="C63:F63"/>
    <mergeCell ref="B64:H64"/>
    <mergeCell ref="H48:H49"/>
    <mergeCell ref="D50:F50"/>
    <mergeCell ref="D51:F51"/>
    <mergeCell ref="D52:F52"/>
    <mergeCell ref="D53:F53"/>
    <mergeCell ref="D54:F54"/>
    <mergeCell ref="D46:F46"/>
    <mergeCell ref="D47:F47"/>
    <mergeCell ref="B48:B49"/>
    <mergeCell ref="C48:C49"/>
    <mergeCell ref="D48:D49"/>
    <mergeCell ref="G48:G49"/>
    <mergeCell ref="D40:F40"/>
    <mergeCell ref="D41:F41"/>
    <mergeCell ref="C42:F42"/>
    <mergeCell ref="B43:H43"/>
    <mergeCell ref="B44:F44"/>
    <mergeCell ref="C45:F45"/>
    <mergeCell ref="C31:F31"/>
    <mergeCell ref="C32:F33"/>
    <mergeCell ref="B36:F36"/>
    <mergeCell ref="B37:F37"/>
    <mergeCell ref="B38:F38"/>
    <mergeCell ref="C39:F39"/>
    <mergeCell ref="D26:F26"/>
    <mergeCell ref="D27:F27"/>
    <mergeCell ref="D28:F28"/>
    <mergeCell ref="D29:F29"/>
    <mergeCell ref="D30:F3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10">
    <dataValidation type="list" allowBlank="1" showInputMessage="1" showErrorMessage="1" sqref="G26" xr:uid="{49A2F889-BBA1-4811-AE82-5C0D0D84B5F0}">
      <formula1>"0%, 30%"</formula1>
    </dataValidation>
    <dataValidation type="list" allowBlank="1" showInputMessage="1" showErrorMessage="1" sqref="G27" xr:uid="{7C87C9FB-AE47-4BC4-AB0D-2FDC5EF8E257}">
      <formula1>"0%, 10%, 20%, 40%"</formula1>
    </dataValidation>
    <dataValidation type="list" allowBlank="1" showInputMessage="1" showErrorMessage="1" sqref="E49" xr:uid="{0C766DD9-84B9-4E35-82CB-50E2903D321A}">
      <formula1>"1%, 2%, 3%"</formula1>
    </dataValidation>
    <dataValidation type="list" allowBlank="1" showInputMessage="1" showErrorMessage="1" sqref="G28:G29" xr:uid="{02B76586-D799-492A-A4D5-8731D07FC44B}">
      <formula1>"0, 20%"</formula1>
    </dataValidation>
    <dataValidation type="list" allowBlank="1" showInputMessage="1" showErrorMessage="1" sqref="G119" xr:uid="{A5590E8B-B3AC-4797-9C31-88F6523AF6F5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18" xr:uid="{39357526-263E-4388-BCDE-B7CEF8EDEE31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 xr:uid="{74E644F7-E322-463C-B131-3DE865CCE779}">
      <formula1>"0, 50%, 100%"</formula1>
    </dataValidation>
    <dataValidation type="whole" allowBlank="1" showInputMessage="1" showErrorMessage="1" errorTitle="Valor errado" error="Quantidade fixa de dias. Prencher com 30" sqref="G87" xr:uid="{AD38D556-9F76-4F4E-B208-D95FAB51AAD3}">
      <formula1>30</formula1>
      <formula2>30</formula2>
    </dataValidation>
    <dataValidation type="list" operator="equal" allowBlank="1" showInputMessage="1" showErrorMessage="1" errorTitle="Valor errado" error="Percentual fixo. Preencher com 40%." sqref="F77 F79" xr:uid="{55748D1B-D4C6-4C33-A8CB-76CDE4D2DC23}">
      <formula1>"40%"</formula1>
    </dataValidation>
    <dataValidation type="custom" allowBlank="1" showInputMessage="1" showErrorMessage="1" sqref="G117" xr:uid="{CD41EE66-DAFF-4206-B607-C9C6B91A86E3}">
      <formula1>1-(G118+G119+G120)</formula1>
    </dataValidation>
  </dataValidations>
  <pageMargins left="0.511811024" right="0.511811024" top="0.78740157499999996" bottom="0.78740157499999996" header="0.31496062000000002" footer="0.31496062000000002"/>
  <pageSetup paperSize="9" scale="64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C7DB-B2C1-4151-9C79-81555C439FB1}">
  <sheetPr>
    <pageSetUpPr fitToPage="1"/>
  </sheetPr>
  <dimension ref="B1:I147"/>
  <sheetViews>
    <sheetView topLeftCell="A52" workbookViewId="0">
      <selection activeCell="B73" sqref="B73:I147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/>
    <col min="8" max="9" width="15.28515625" style="59" customWidth="1"/>
    <col min="10" max="16384" width="9.140625" style="59"/>
  </cols>
  <sheetData>
    <row r="1" spans="2:9" x14ac:dyDescent="0.2">
      <c r="C1" s="107"/>
      <c r="D1" s="14"/>
      <c r="E1" s="14"/>
      <c r="F1" s="14"/>
      <c r="G1" s="14"/>
      <c r="H1" s="14"/>
      <c r="I1" s="14"/>
    </row>
    <row r="2" spans="2:9" x14ac:dyDescent="0.2">
      <c r="B2" s="288" t="s">
        <v>50</v>
      </c>
      <c r="C2" s="288"/>
      <c r="D2" s="288"/>
      <c r="E2" s="288"/>
      <c r="F2" s="288"/>
      <c r="G2" s="288"/>
      <c r="H2" s="288"/>
      <c r="I2" s="93"/>
    </row>
    <row r="3" spans="2:9" x14ac:dyDescent="0.2">
      <c r="B3" s="289" t="s">
        <v>189</v>
      </c>
      <c r="C3" s="289"/>
      <c r="D3" s="289"/>
      <c r="E3" s="289"/>
      <c r="F3" s="289"/>
      <c r="G3" s="289"/>
      <c r="H3" s="289"/>
      <c r="I3" s="95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0" t="s">
        <v>125</v>
      </c>
      <c r="C6" s="130"/>
      <c r="D6" s="291" t="s">
        <v>201</v>
      </c>
      <c r="E6" s="292"/>
      <c r="F6" s="293"/>
      <c r="I6" s="15"/>
    </row>
    <row r="7" spans="2:9" x14ac:dyDescent="0.2">
      <c r="B7" s="61"/>
      <c r="C7" s="61"/>
      <c r="D7" s="61"/>
      <c r="E7" s="61"/>
      <c r="F7" s="61"/>
      <c r="G7" s="61"/>
      <c r="H7" s="61"/>
      <c r="I7" s="14"/>
    </row>
    <row r="8" spans="2:9" x14ac:dyDescent="0.2">
      <c r="B8" s="294" t="s">
        <v>51</v>
      </c>
      <c r="C8" s="294"/>
      <c r="D8" s="294"/>
      <c r="E8" s="294"/>
      <c r="F8" s="294"/>
      <c r="G8" s="131"/>
      <c r="H8" s="131"/>
      <c r="I8" s="60"/>
    </row>
    <row r="9" spans="2:9" x14ac:dyDescent="0.2">
      <c r="B9" s="290">
        <v>1</v>
      </c>
      <c r="C9" s="295" t="s">
        <v>52</v>
      </c>
      <c r="D9" s="295"/>
      <c r="E9" s="295"/>
      <c r="F9" s="295"/>
      <c r="G9" s="131"/>
      <c r="H9" s="131"/>
      <c r="I9" s="60"/>
    </row>
    <row r="10" spans="2:9" x14ac:dyDescent="0.2">
      <c r="B10" s="290"/>
      <c r="C10" s="296"/>
      <c r="D10" s="296"/>
      <c r="E10" s="296"/>
      <c r="F10" s="296"/>
      <c r="G10" s="131"/>
      <c r="H10" s="131"/>
      <c r="I10" s="60"/>
    </row>
    <row r="11" spans="2:9" x14ac:dyDescent="0.2">
      <c r="B11" s="290">
        <v>2</v>
      </c>
      <c r="C11" s="295" t="s">
        <v>55</v>
      </c>
      <c r="D11" s="295"/>
      <c r="E11" s="295"/>
      <c r="F11" s="295"/>
      <c r="G11" s="131"/>
      <c r="H11" s="131"/>
      <c r="I11" s="60"/>
    </row>
    <row r="12" spans="2:9" x14ac:dyDescent="0.2">
      <c r="B12" s="290"/>
      <c r="C12" s="296"/>
      <c r="D12" s="296"/>
      <c r="E12" s="296"/>
      <c r="F12" s="296"/>
      <c r="G12" s="131"/>
      <c r="H12" s="131"/>
      <c r="I12" s="60"/>
    </row>
    <row r="13" spans="2:9" x14ac:dyDescent="0.2">
      <c r="B13" s="290">
        <v>3</v>
      </c>
      <c r="C13" s="295" t="s">
        <v>56</v>
      </c>
      <c r="D13" s="295"/>
      <c r="E13" s="295"/>
      <c r="F13" s="295"/>
      <c r="G13" s="131"/>
      <c r="H13" s="131"/>
      <c r="I13" s="60"/>
    </row>
    <row r="14" spans="2:9" x14ac:dyDescent="0.2">
      <c r="B14" s="290"/>
      <c r="C14" s="297"/>
      <c r="D14" s="297"/>
      <c r="E14" s="297"/>
      <c r="F14" s="297"/>
      <c r="G14" s="131"/>
      <c r="H14" s="131"/>
      <c r="I14" s="60"/>
    </row>
    <row r="15" spans="2:9" x14ac:dyDescent="0.2">
      <c r="B15" s="290">
        <v>4</v>
      </c>
      <c r="C15" s="295" t="s">
        <v>57</v>
      </c>
      <c r="D15" s="295"/>
      <c r="E15" s="295"/>
      <c r="F15" s="295"/>
      <c r="G15" s="131"/>
      <c r="H15" s="131"/>
      <c r="I15" s="60"/>
    </row>
    <row r="16" spans="2:9" x14ac:dyDescent="0.2">
      <c r="B16" s="290"/>
      <c r="C16" s="296"/>
      <c r="D16" s="296"/>
      <c r="E16" s="296"/>
      <c r="F16" s="296"/>
      <c r="G16" s="131"/>
      <c r="H16" s="131"/>
      <c r="I16" s="60"/>
    </row>
    <row r="17" spans="2:9" x14ac:dyDescent="0.2">
      <c r="B17" s="290">
        <v>5</v>
      </c>
      <c r="C17" s="295" t="s">
        <v>58</v>
      </c>
      <c r="D17" s="295"/>
      <c r="E17" s="295"/>
      <c r="F17" s="295"/>
      <c r="G17" s="131"/>
      <c r="H17" s="131"/>
      <c r="I17" s="60"/>
    </row>
    <row r="18" spans="2:9" x14ac:dyDescent="0.2">
      <c r="B18" s="290"/>
      <c r="C18" s="296"/>
      <c r="D18" s="296"/>
      <c r="E18" s="296"/>
      <c r="F18" s="296"/>
      <c r="G18" s="131"/>
      <c r="H18" s="131"/>
      <c r="I18" s="60"/>
    </row>
    <row r="19" spans="2:9" x14ac:dyDescent="0.2">
      <c r="B19" s="290">
        <v>6</v>
      </c>
      <c r="C19" s="295" t="s">
        <v>59</v>
      </c>
      <c r="D19" s="295"/>
      <c r="E19" s="295"/>
      <c r="F19" s="295"/>
      <c r="G19" s="131"/>
      <c r="H19" s="131"/>
      <c r="I19" s="60"/>
    </row>
    <row r="20" spans="2:9" x14ac:dyDescent="0.2">
      <c r="B20" s="290"/>
      <c r="C20" s="296"/>
      <c r="D20" s="296"/>
      <c r="E20" s="296"/>
      <c r="F20" s="296"/>
      <c r="G20" s="131"/>
      <c r="H20" s="131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</row>
    <row r="23" spans="2:9" x14ac:dyDescent="0.2">
      <c r="B23" s="248" t="s">
        <v>66</v>
      </c>
      <c r="C23" s="249"/>
      <c r="D23" s="249"/>
      <c r="E23" s="249"/>
      <c r="F23" s="249"/>
      <c r="G23" s="134"/>
      <c r="H23" s="135"/>
      <c r="I23" s="94"/>
    </row>
    <row r="24" spans="2:9" x14ac:dyDescent="0.2">
      <c r="B24" s="89">
        <v>1</v>
      </c>
      <c r="C24" s="222" t="s">
        <v>60</v>
      </c>
      <c r="D24" s="247"/>
      <c r="E24" s="247"/>
      <c r="F24" s="223"/>
      <c r="G24" s="133" t="s">
        <v>1</v>
      </c>
      <c r="H24" s="133" t="s">
        <v>49</v>
      </c>
      <c r="I24" s="94"/>
    </row>
    <row r="25" spans="2:9" ht="12.75" customHeight="1" x14ac:dyDescent="0.2">
      <c r="B25" s="16" t="s">
        <v>4</v>
      </c>
      <c r="C25" s="87" t="s">
        <v>17</v>
      </c>
      <c r="D25" s="244"/>
      <c r="E25" s="245"/>
      <c r="F25" s="246"/>
      <c r="G25" s="17"/>
      <c r="H25" s="34">
        <v>2159.79</v>
      </c>
      <c r="I25" s="100"/>
    </row>
    <row r="26" spans="2:9" x14ac:dyDescent="0.2">
      <c r="B26" s="16" t="s">
        <v>5</v>
      </c>
      <c r="C26" s="87" t="s">
        <v>24</v>
      </c>
      <c r="D26" s="244" t="s">
        <v>126</v>
      </c>
      <c r="E26" s="245"/>
      <c r="F26" s="246"/>
      <c r="G26" s="35"/>
      <c r="H26" s="18">
        <f>TRUNC(H$25*$G26,2)</f>
        <v>0</v>
      </c>
      <c r="I26" s="96"/>
    </row>
    <row r="27" spans="2:9" x14ac:dyDescent="0.2">
      <c r="B27" s="16" t="s">
        <v>6</v>
      </c>
      <c r="C27" s="88" t="s">
        <v>25</v>
      </c>
      <c r="D27" s="244" t="s">
        <v>168</v>
      </c>
      <c r="E27" s="245"/>
      <c r="F27" s="246"/>
      <c r="G27" s="35"/>
      <c r="H27" s="18">
        <f>TRUNC(H$25*$G27,2)</f>
        <v>0</v>
      </c>
      <c r="I27" s="96"/>
    </row>
    <row r="28" spans="2:9" x14ac:dyDescent="0.2">
      <c r="B28" s="16" t="s">
        <v>7</v>
      </c>
      <c r="C28" s="88" t="s">
        <v>0</v>
      </c>
      <c r="D28" s="244" t="s">
        <v>175</v>
      </c>
      <c r="E28" s="245"/>
      <c r="F28" s="246"/>
      <c r="G28" s="36"/>
      <c r="H28" s="65">
        <f>TRUNC(((H$25+H26)*$G28)/220*8*15,2)</f>
        <v>0</v>
      </c>
      <c r="I28" s="97"/>
    </row>
    <row r="29" spans="2:9" x14ac:dyDescent="0.2">
      <c r="B29" s="117" t="s">
        <v>8</v>
      </c>
      <c r="C29" s="118" t="s">
        <v>26</v>
      </c>
      <c r="D29" s="285" t="s">
        <v>175</v>
      </c>
      <c r="E29" s="286"/>
      <c r="F29" s="287"/>
      <c r="G29" s="119"/>
      <c r="H29" s="120">
        <f>TRUNC(((H25+H26)*$G29)/220*1*15,2)</f>
        <v>0</v>
      </c>
      <c r="I29" s="121" t="s">
        <v>180</v>
      </c>
    </row>
    <row r="30" spans="2:9" x14ac:dyDescent="0.2">
      <c r="B30" s="122" t="s">
        <v>9</v>
      </c>
      <c r="C30" s="118" t="s">
        <v>108</v>
      </c>
      <c r="D30" s="285" t="s">
        <v>176</v>
      </c>
      <c r="E30" s="286"/>
      <c r="F30" s="287"/>
      <c r="G30" s="123"/>
      <c r="H30" s="120">
        <f>TRUNC($G$33*H33*(1+$G$30),2)</f>
        <v>0</v>
      </c>
      <c r="I30" s="121" t="s">
        <v>180</v>
      </c>
    </row>
    <row r="31" spans="2:9" x14ac:dyDescent="0.2">
      <c r="B31" s="16" t="s">
        <v>127</v>
      </c>
      <c r="C31" s="222" t="s">
        <v>61</v>
      </c>
      <c r="D31" s="247"/>
      <c r="E31" s="247"/>
      <c r="F31" s="223"/>
      <c r="G31" s="30"/>
      <c r="H31" s="19">
        <f>SUM(H25:H30)</f>
        <v>2159.79</v>
      </c>
      <c r="I31" s="20"/>
    </row>
    <row r="32" spans="2:9" ht="22.5" x14ac:dyDescent="0.2">
      <c r="B32" s="93"/>
      <c r="C32" s="284" t="s">
        <v>117</v>
      </c>
      <c r="D32" s="284"/>
      <c r="E32" s="284"/>
      <c r="F32" s="284"/>
      <c r="G32" s="52" t="s">
        <v>109</v>
      </c>
      <c r="H32" s="51" t="s">
        <v>119</v>
      </c>
      <c r="I32" s="4"/>
    </row>
    <row r="33" spans="2:9" x14ac:dyDescent="0.2">
      <c r="B33" s="93"/>
      <c r="C33" s="284"/>
      <c r="D33" s="284"/>
      <c r="E33" s="284"/>
      <c r="F33" s="284"/>
      <c r="G33" s="50"/>
      <c r="H33" s="37">
        <f>IF($G$33="",0,TRUNC((H25+H26+H27)/220,2))</f>
        <v>0</v>
      </c>
      <c r="I33" s="99"/>
    </row>
    <row r="34" spans="2:9" x14ac:dyDescent="0.2">
      <c r="B34" s="93"/>
      <c r="C34" s="93"/>
      <c r="D34" s="93"/>
      <c r="E34" s="93"/>
      <c r="F34" s="93"/>
      <c r="G34" s="93"/>
      <c r="H34" s="66"/>
      <c r="I34" s="20"/>
    </row>
    <row r="35" spans="2:9" x14ac:dyDescent="0.2">
      <c r="B35" s="93"/>
      <c r="C35" s="93"/>
      <c r="D35" s="93"/>
      <c r="E35" s="93"/>
      <c r="F35" s="93"/>
      <c r="G35" s="93"/>
      <c r="H35" s="66"/>
      <c r="I35" s="20"/>
    </row>
    <row r="36" spans="2:9" ht="12.75" customHeight="1" x14ac:dyDescent="0.2">
      <c r="B36" s="248" t="s">
        <v>67</v>
      </c>
      <c r="C36" s="249"/>
      <c r="D36" s="249"/>
      <c r="E36" s="249"/>
      <c r="F36" s="249"/>
      <c r="G36" s="134"/>
      <c r="H36" s="135"/>
      <c r="I36" s="94"/>
    </row>
    <row r="37" spans="2:9" x14ac:dyDescent="0.2">
      <c r="B37" s="271"/>
      <c r="C37" s="272"/>
      <c r="D37" s="272"/>
      <c r="E37" s="272"/>
      <c r="F37" s="272"/>
      <c r="G37" s="58"/>
      <c r="H37" s="58"/>
      <c r="I37" s="94"/>
    </row>
    <row r="38" spans="2:9" x14ac:dyDescent="0.2">
      <c r="B38" s="270" t="s">
        <v>36</v>
      </c>
      <c r="C38" s="270"/>
      <c r="D38" s="270"/>
      <c r="E38" s="270"/>
      <c r="F38" s="270"/>
      <c r="G38" s="58"/>
      <c r="H38" s="58"/>
      <c r="I38" s="94"/>
    </row>
    <row r="39" spans="2:9" x14ac:dyDescent="0.2">
      <c r="B39" s="133" t="s">
        <v>38</v>
      </c>
      <c r="C39" s="278" t="s">
        <v>27</v>
      </c>
      <c r="D39" s="279"/>
      <c r="E39" s="279"/>
      <c r="F39" s="280"/>
      <c r="G39" s="89" t="s">
        <v>1</v>
      </c>
      <c r="H39" s="89" t="s">
        <v>49</v>
      </c>
      <c r="I39" s="94"/>
    </row>
    <row r="40" spans="2:9" x14ac:dyDescent="0.2">
      <c r="B40" s="16" t="s">
        <v>4</v>
      </c>
      <c r="C40" s="87" t="s">
        <v>111</v>
      </c>
      <c r="D40" s="244" t="s">
        <v>128</v>
      </c>
      <c r="E40" s="245"/>
      <c r="F40" s="246"/>
      <c r="G40" s="138">
        <f>1/12</f>
        <v>8.3333333333333329E-2</v>
      </c>
      <c r="H40" s="139">
        <f>TRUNC((H$31*$G40),2)</f>
        <v>179.98</v>
      </c>
      <c r="I40" s="100"/>
    </row>
    <row r="41" spans="2:9" x14ac:dyDescent="0.2">
      <c r="B41" s="16" t="s">
        <v>5</v>
      </c>
      <c r="C41" s="87" t="s">
        <v>65</v>
      </c>
      <c r="D41" s="244" t="s">
        <v>130</v>
      </c>
      <c r="E41" s="245"/>
      <c r="F41" s="246"/>
      <c r="G41" s="21">
        <f>(1/12)+(1/3/12)</f>
        <v>0.1111111111111111</v>
      </c>
      <c r="H41" s="22">
        <f>TRUNC((H$31*$G41),2)</f>
        <v>239.97</v>
      </c>
      <c r="I41" s="100"/>
    </row>
    <row r="42" spans="2:9" x14ac:dyDescent="0.2">
      <c r="B42" s="16" t="s">
        <v>129</v>
      </c>
      <c r="C42" s="222" t="s">
        <v>61</v>
      </c>
      <c r="D42" s="247"/>
      <c r="E42" s="247"/>
      <c r="F42" s="223"/>
      <c r="G42" s="23">
        <f>TRUNC(SUM(G40:G41),4)</f>
        <v>0.19439999999999999</v>
      </c>
      <c r="H42" s="19">
        <f>SUM(H40:H41)</f>
        <v>419.95</v>
      </c>
      <c r="I42" s="20"/>
    </row>
    <row r="43" spans="2:9" x14ac:dyDescent="0.2">
      <c r="B43" s="260"/>
      <c r="C43" s="259"/>
      <c r="D43" s="259"/>
      <c r="E43" s="259"/>
      <c r="F43" s="259"/>
      <c r="G43" s="259"/>
      <c r="H43" s="261"/>
      <c r="I43" s="93"/>
    </row>
    <row r="44" spans="2:9" ht="30" customHeight="1" x14ac:dyDescent="0.2">
      <c r="B44" s="264" t="s">
        <v>68</v>
      </c>
      <c r="C44" s="265"/>
      <c r="D44" s="265"/>
      <c r="E44" s="265"/>
      <c r="F44" s="266"/>
      <c r="G44" s="136"/>
      <c r="H44" s="137"/>
      <c r="I44" s="101"/>
    </row>
    <row r="45" spans="2:9" x14ac:dyDescent="0.2">
      <c r="B45" s="89" t="s">
        <v>39</v>
      </c>
      <c r="C45" s="222" t="s">
        <v>69</v>
      </c>
      <c r="D45" s="247"/>
      <c r="E45" s="247"/>
      <c r="F45" s="223"/>
      <c r="G45" s="89" t="s">
        <v>1</v>
      </c>
      <c r="H45" s="89" t="s">
        <v>49</v>
      </c>
      <c r="I45" s="94"/>
    </row>
    <row r="46" spans="2:9" x14ac:dyDescent="0.2">
      <c r="B46" s="16" t="s">
        <v>4</v>
      </c>
      <c r="C46" s="87" t="s">
        <v>30</v>
      </c>
      <c r="D46" s="244" t="s">
        <v>131</v>
      </c>
      <c r="E46" s="245"/>
      <c r="F46" s="246"/>
      <c r="G46" s="21">
        <v>0.2</v>
      </c>
      <c r="H46" s="22">
        <f>TRUNC((H$31+H$42)*$G46,2)</f>
        <v>515.94000000000005</v>
      </c>
      <c r="I46" s="100"/>
    </row>
    <row r="47" spans="2:9" x14ac:dyDescent="0.2">
      <c r="B47" s="16" t="s">
        <v>5</v>
      </c>
      <c r="C47" s="75" t="s">
        <v>31</v>
      </c>
      <c r="D47" s="244" t="s">
        <v>132</v>
      </c>
      <c r="E47" s="245"/>
      <c r="F47" s="246"/>
      <c r="G47" s="21">
        <v>2.5000000000000001E-2</v>
      </c>
      <c r="H47" s="22">
        <f>TRUNC((H$31+H$42)*$G47,2)</f>
        <v>64.489999999999995</v>
      </c>
      <c r="I47" s="100"/>
    </row>
    <row r="48" spans="2:9" x14ac:dyDescent="0.2">
      <c r="B48" s="273" t="s">
        <v>6</v>
      </c>
      <c r="C48" s="275" t="s">
        <v>102</v>
      </c>
      <c r="D48" s="277" t="s">
        <v>138</v>
      </c>
      <c r="E48" s="10" t="s">
        <v>103</v>
      </c>
      <c r="F48" s="10" t="s">
        <v>101</v>
      </c>
      <c r="G48" s="281">
        <f>E49*F49</f>
        <v>0.03</v>
      </c>
      <c r="H48" s="283">
        <f>TRUNC((H$31+H$42)*$G48,2)</f>
        <v>77.39</v>
      </c>
      <c r="I48" s="103"/>
    </row>
    <row r="49" spans="2:9" x14ac:dyDescent="0.2">
      <c r="B49" s="274"/>
      <c r="C49" s="276"/>
      <c r="D49" s="277"/>
      <c r="E49" s="38">
        <v>0.03</v>
      </c>
      <c r="F49" s="39">
        <v>1</v>
      </c>
      <c r="G49" s="282"/>
      <c r="H49" s="283"/>
      <c r="I49" s="103"/>
    </row>
    <row r="50" spans="2:9" x14ac:dyDescent="0.2">
      <c r="B50" s="16" t="s">
        <v>7</v>
      </c>
      <c r="C50" s="87" t="s">
        <v>29</v>
      </c>
      <c r="D50" s="244" t="s">
        <v>133</v>
      </c>
      <c r="E50" s="245"/>
      <c r="F50" s="246"/>
      <c r="G50" s="21">
        <v>1.4999999999999999E-2</v>
      </c>
      <c r="H50" s="22">
        <f>TRUNC((H$31+H$42)*$G50,2)</f>
        <v>38.69</v>
      </c>
      <c r="I50" s="100"/>
    </row>
    <row r="51" spans="2:9" x14ac:dyDescent="0.2">
      <c r="B51" s="16" t="s">
        <v>8</v>
      </c>
      <c r="C51" s="87" t="s">
        <v>32</v>
      </c>
      <c r="D51" s="244" t="s">
        <v>134</v>
      </c>
      <c r="E51" s="245"/>
      <c r="F51" s="246"/>
      <c r="G51" s="21">
        <v>0.01</v>
      </c>
      <c r="H51" s="22">
        <f>TRUNC((H$31+H$42)*$G51,2)</f>
        <v>25.79</v>
      </c>
      <c r="I51" s="100"/>
    </row>
    <row r="52" spans="2:9" x14ac:dyDescent="0.2">
      <c r="B52" s="16" t="s">
        <v>9</v>
      </c>
      <c r="C52" s="87" t="s">
        <v>33</v>
      </c>
      <c r="D52" s="244" t="s">
        <v>135</v>
      </c>
      <c r="E52" s="245"/>
      <c r="F52" s="246"/>
      <c r="G52" s="21">
        <v>6.0000000000000001E-3</v>
      </c>
      <c r="H52" s="22">
        <f>TRUNC((H$31+H$42)*$G52,2)</f>
        <v>15.47</v>
      </c>
      <c r="I52" s="100"/>
    </row>
    <row r="53" spans="2:9" x14ac:dyDescent="0.2">
      <c r="B53" s="16" t="s">
        <v>10</v>
      </c>
      <c r="C53" s="87" t="s">
        <v>34</v>
      </c>
      <c r="D53" s="244" t="s">
        <v>136</v>
      </c>
      <c r="E53" s="245"/>
      <c r="F53" s="246"/>
      <c r="G53" s="21">
        <v>2E-3</v>
      </c>
      <c r="H53" s="22">
        <f>TRUNC((H$31+H$42)*$G53,2)</f>
        <v>5.15</v>
      </c>
      <c r="I53" s="100"/>
    </row>
    <row r="54" spans="2:9" x14ac:dyDescent="0.2">
      <c r="B54" s="16" t="s">
        <v>11</v>
      </c>
      <c r="C54" s="87" t="s">
        <v>35</v>
      </c>
      <c r="D54" s="244" t="s">
        <v>137</v>
      </c>
      <c r="E54" s="245"/>
      <c r="F54" s="246"/>
      <c r="G54" s="21">
        <v>0.08</v>
      </c>
      <c r="H54" s="22">
        <f>TRUNC((H$31+H$42)*$G54,2)</f>
        <v>206.37</v>
      </c>
      <c r="I54" s="100"/>
    </row>
    <row r="55" spans="2:9" x14ac:dyDescent="0.2">
      <c r="B55" s="16" t="s">
        <v>139</v>
      </c>
      <c r="C55" s="222" t="s">
        <v>61</v>
      </c>
      <c r="D55" s="247"/>
      <c r="E55" s="247"/>
      <c r="F55" s="223"/>
      <c r="G55" s="24">
        <f>SUM(G46:G54)</f>
        <v>0.36800000000000005</v>
      </c>
      <c r="H55" s="19">
        <f>SUM(H46:H54)</f>
        <v>949.29</v>
      </c>
      <c r="I55" s="20"/>
    </row>
    <row r="56" spans="2:9" x14ac:dyDescent="0.2">
      <c r="B56" s="267"/>
      <c r="C56" s="268"/>
      <c r="D56" s="268"/>
      <c r="E56" s="268"/>
      <c r="F56" s="268"/>
      <c r="G56" s="268"/>
      <c r="H56" s="269"/>
      <c r="I56" s="112"/>
    </row>
    <row r="57" spans="2:9" ht="12.75" customHeight="1" x14ac:dyDescent="0.2">
      <c r="B57" s="264" t="s">
        <v>37</v>
      </c>
      <c r="C57" s="265"/>
      <c r="D57" s="265"/>
      <c r="E57" s="265"/>
      <c r="F57" s="266"/>
      <c r="G57" s="136"/>
      <c r="H57" s="137"/>
      <c r="I57" s="112"/>
    </row>
    <row r="58" spans="2:9" x14ac:dyDescent="0.2">
      <c r="B58" s="89" t="s">
        <v>40</v>
      </c>
      <c r="C58" s="222" t="s">
        <v>41</v>
      </c>
      <c r="D58" s="247"/>
      <c r="E58" s="247"/>
      <c r="F58" s="247"/>
      <c r="G58" s="76"/>
      <c r="H58" s="89" t="s">
        <v>49</v>
      </c>
      <c r="I58" s="94"/>
    </row>
    <row r="59" spans="2:9" ht="12.75" customHeight="1" x14ac:dyDescent="0.2">
      <c r="B59" s="16" t="s">
        <v>4</v>
      </c>
      <c r="C59" s="87" t="s">
        <v>47</v>
      </c>
      <c r="D59" s="159" t="s">
        <v>142</v>
      </c>
      <c r="E59" s="160"/>
      <c r="F59" s="160"/>
      <c r="G59" s="161"/>
      <c r="H59" s="40">
        <f>TRUNC((8.55*2*22)-(H$25*6%),2)</f>
        <v>246.61</v>
      </c>
      <c r="I59" s="113"/>
    </row>
    <row r="60" spans="2:9" ht="12.75" customHeight="1" x14ac:dyDescent="0.2">
      <c r="B60" s="16" t="s">
        <v>5</v>
      </c>
      <c r="C60" s="87" t="s">
        <v>48</v>
      </c>
      <c r="D60" s="159" t="s">
        <v>345</v>
      </c>
      <c r="E60" s="160"/>
      <c r="F60" s="160"/>
      <c r="G60" s="161"/>
      <c r="H60" s="40">
        <f>22.5*22*0.9</f>
        <v>445.5</v>
      </c>
      <c r="I60" s="113"/>
    </row>
    <row r="61" spans="2:9" x14ac:dyDescent="0.2">
      <c r="B61" s="16" t="s">
        <v>6</v>
      </c>
      <c r="C61" s="87" t="s">
        <v>196</v>
      </c>
      <c r="D61" s="159" t="s">
        <v>197</v>
      </c>
      <c r="E61" s="160"/>
      <c r="F61" s="160"/>
      <c r="G61" s="161"/>
      <c r="H61" s="40">
        <v>19</v>
      </c>
      <c r="I61" s="113"/>
    </row>
    <row r="62" spans="2:9" s="67" customFormat="1" x14ac:dyDescent="0.2">
      <c r="B62" s="16" t="s">
        <v>7</v>
      </c>
      <c r="C62" s="87" t="s">
        <v>2</v>
      </c>
      <c r="D62" s="159"/>
      <c r="E62" s="160"/>
      <c r="F62" s="160"/>
      <c r="G62" s="161"/>
      <c r="H62" s="40"/>
      <c r="I62" s="113"/>
    </row>
    <row r="63" spans="2:9" x14ac:dyDescent="0.2">
      <c r="B63" s="16" t="s">
        <v>140</v>
      </c>
      <c r="C63" s="222" t="s">
        <v>61</v>
      </c>
      <c r="D63" s="247"/>
      <c r="E63" s="247"/>
      <c r="F63" s="247"/>
      <c r="G63" s="76"/>
      <c r="H63" s="19">
        <f>SUM(H59:H62)</f>
        <v>711.11</v>
      </c>
      <c r="I63" s="20"/>
    </row>
    <row r="64" spans="2:9" x14ac:dyDescent="0.2">
      <c r="B64" s="260"/>
      <c r="C64" s="259"/>
      <c r="D64" s="259"/>
      <c r="E64" s="259"/>
      <c r="F64" s="259"/>
      <c r="G64" s="259"/>
      <c r="H64" s="261"/>
      <c r="I64" s="93"/>
    </row>
    <row r="65" spans="2:9" x14ac:dyDescent="0.2">
      <c r="B65" s="257" t="s">
        <v>71</v>
      </c>
      <c r="C65" s="258"/>
      <c r="D65" s="258"/>
      <c r="E65" s="258"/>
      <c r="F65" s="258"/>
      <c r="G65" s="140"/>
      <c r="H65" s="140"/>
      <c r="I65" s="93"/>
    </row>
    <row r="66" spans="2:9" x14ac:dyDescent="0.2">
      <c r="B66" s="89">
        <v>2</v>
      </c>
      <c r="C66" s="222" t="s">
        <v>70</v>
      </c>
      <c r="D66" s="247"/>
      <c r="E66" s="247"/>
      <c r="F66" s="247"/>
      <c r="G66" s="76"/>
      <c r="H66" s="89" t="s">
        <v>49</v>
      </c>
      <c r="I66" s="94"/>
    </row>
    <row r="67" spans="2:9" x14ac:dyDescent="0.2">
      <c r="B67" s="16" t="s">
        <v>38</v>
      </c>
      <c r="C67" s="77" t="s">
        <v>27</v>
      </c>
      <c r="D67" s="159" t="s">
        <v>129</v>
      </c>
      <c r="E67" s="160"/>
      <c r="F67" s="160"/>
      <c r="G67" s="161"/>
      <c r="H67" s="22">
        <f>H42</f>
        <v>419.95</v>
      </c>
      <c r="I67" s="100"/>
    </row>
    <row r="68" spans="2:9" x14ac:dyDescent="0.2">
      <c r="B68" s="16" t="s">
        <v>39</v>
      </c>
      <c r="C68" s="77" t="s">
        <v>28</v>
      </c>
      <c r="D68" s="159" t="s">
        <v>139</v>
      </c>
      <c r="E68" s="160"/>
      <c r="F68" s="160"/>
      <c r="G68" s="161"/>
      <c r="H68" s="22">
        <f>H55</f>
        <v>949.29</v>
      </c>
      <c r="I68" s="100"/>
    </row>
    <row r="69" spans="2:9" x14ac:dyDescent="0.2">
      <c r="B69" s="16" t="s">
        <v>40</v>
      </c>
      <c r="C69" s="77" t="s">
        <v>41</v>
      </c>
      <c r="D69" s="159" t="s">
        <v>140</v>
      </c>
      <c r="E69" s="160"/>
      <c r="F69" s="160"/>
      <c r="G69" s="161"/>
      <c r="H69" s="22">
        <f>H63</f>
        <v>711.11</v>
      </c>
      <c r="I69" s="100"/>
    </row>
    <row r="70" spans="2:9" x14ac:dyDescent="0.2">
      <c r="B70" s="16" t="s">
        <v>141</v>
      </c>
      <c r="C70" s="222" t="s">
        <v>61</v>
      </c>
      <c r="D70" s="247"/>
      <c r="E70" s="247"/>
      <c r="F70" s="247"/>
      <c r="G70" s="76"/>
      <c r="H70" s="19">
        <f>SUM(H67:H69)</f>
        <v>2080.35</v>
      </c>
      <c r="I70" s="20"/>
    </row>
    <row r="71" spans="2:9" x14ac:dyDescent="0.2">
      <c r="B71" s="259"/>
      <c r="C71" s="259"/>
      <c r="D71" s="259"/>
      <c r="E71" s="259"/>
      <c r="F71" s="259"/>
      <c r="G71" s="259"/>
      <c r="H71" s="259"/>
      <c r="I71" s="94"/>
    </row>
    <row r="72" spans="2:9" x14ac:dyDescent="0.2">
      <c r="B72" s="93"/>
      <c r="C72" s="93"/>
      <c r="D72" s="93"/>
      <c r="E72" s="93"/>
      <c r="F72" s="93"/>
      <c r="G72" s="93"/>
      <c r="H72" s="93"/>
      <c r="I72" s="94"/>
    </row>
    <row r="73" spans="2:9" x14ac:dyDescent="0.2">
      <c r="B73" s="248" t="s">
        <v>72</v>
      </c>
      <c r="C73" s="249"/>
      <c r="D73" s="249"/>
      <c r="E73" s="249"/>
      <c r="F73" s="256"/>
      <c r="G73" s="134"/>
      <c r="H73" s="135"/>
      <c r="I73" s="94"/>
    </row>
    <row r="74" spans="2:9" x14ac:dyDescent="0.2">
      <c r="B74" s="89">
        <v>3</v>
      </c>
      <c r="C74" s="222" t="s">
        <v>62</v>
      </c>
      <c r="D74" s="247"/>
      <c r="E74" s="247"/>
      <c r="F74" s="223"/>
      <c r="G74" s="89" t="s">
        <v>1</v>
      </c>
      <c r="H74" s="89" t="s">
        <v>49</v>
      </c>
      <c r="I74" s="94"/>
    </row>
    <row r="75" spans="2:9" x14ac:dyDescent="0.2">
      <c r="B75" s="16" t="s">
        <v>4</v>
      </c>
      <c r="C75" s="78" t="s">
        <v>96</v>
      </c>
      <c r="D75" s="159" t="s">
        <v>157</v>
      </c>
      <c r="E75" s="160"/>
      <c r="F75" s="161"/>
      <c r="G75" s="41">
        <v>1</v>
      </c>
      <c r="H75" s="25">
        <f>TRUNC((H$76+H$77)*$G75,2)</f>
        <v>353.42</v>
      </c>
      <c r="I75" s="20"/>
    </row>
    <row r="76" spans="2:9" x14ac:dyDescent="0.2">
      <c r="B76" s="16" t="s">
        <v>5</v>
      </c>
      <c r="C76" s="87" t="s">
        <v>97</v>
      </c>
      <c r="D76" s="159" t="s">
        <v>177</v>
      </c>
      <c r="E76" s="160"/>
      <c r="F76" s="161"/>
      <c r="G76" s="26"/>
      <c r="H76" s="22">
        <f>TRUNC((H$31+H$42+H$54+H$63-H59)/12,2)</f>
        <v>270.88</v>
      </c>
      <c r="I76" s="100"/>
    </row>
    <row r="77" spans="2:9" x14ac:dyDescent="0.2">
      <c r="B77" s="16" t="s">
        <v>6</v>
      </c>
      <c r="C77" s="87" t="s">
        <v>98</v>
      </c>
      <c r="D77" s="244" t="s">
        <v>169</v>
      </c>
      <c r="E77" s="246"/>
      <c r="F77" s="43">
        <v>0.4</v>
      </c>
      <c r="G77" s="26"/>
      <c r="H77" s="22">
        <f>TRUNC(H$54*$F77,2)</f>
        <v>82.54</v>
      </c>
      <c r="I77" s="100"/>
    </row>
    <row r="78" spans="2:9" x14ac:dyDescent="0.2">
      <c r="B78" s="16" t="s">
        <v>7</v>
      </c>
      <c r="C78" s="78" t="s">
        <v>99</v>
      </c>
      <c r="D78" s="159" t="s">
        <v>158</v>
      </c>
      <c r="E78" s="160"/>
      <c r="F78" s="161"/>
      <c r="G78" s="41">
        <v>1</v>
      </c>
      <c r="H78" s="81">
        <f>IF($G78&gt;=1,(TRUNC(H$79*$G78,2)),"ERRO")</f>
        <v>82.54</v>
      </c>
      <c r="I78" s="102"/>
    </row>
    <row r="79" spans="2:9" x14ac:dyDescent="0.2">
      <c r="B79" s="16" t="s">
        <v>8</v>
      </c>
      <c r="C79" s="87" t="s">
        <v>100</v>
      </c>
      <c r="D79" s="244" t="s">
        <v>169</v>
      </c>
      <c r="E79" s="246"/>
      <c r="F79" s="43">
        <v>0.4</v>
      </c>
      <c r="G79" s="26"/>
      <c r="H79" s="22">
        <f>TRUNC(H$54*$F79,2)</f>
        <v>82.54</v>
      </c>
      <c r="I79" s="100"/>
    </row>
    <row r="80" spans="2:9" x14ac:dyDescent="0.2">
      <c r="B80" s="16" t="s">
        <v>9</v>
      </c>
      <c r="C80" s="78" t="s">
        <v>174</v>
      </c>
      <c r="D80" s="262" t="s">
        <v>355</v>
      </c>
      <c r="E80" s="263"/>
      <c r="F80" s="42">
        <v>12</v>
      </c>
      <c r="G80" s="42">
        <v>3</v>
      </c>
      <c r="H80" s="22">
        <f>TRUNC(((H$31+H$42+H$55)/30)*$G80/$F80,2)</f>
        <v>29.4</v>
      </c>
      <c r="I80" s="100"/>
    </row>
    <row r="81" spans="2:9" x14ac:dyDescent="0.2">
      <c r="B81" s="16" t="s">
        <v>144</v>
      </c>
      <c r="C81" s="222" t="s">
        <v>61</v>
      </c>
      <c r="D81" s="247"/>
      <c r="E81" s="247"/>
      <c r="F81" s="247"/>
      <c r="G81" s="76"/>
      <c r="H81" s="19">
        <f>H$75+H$78+H$80</f>
        <v>465.36</v>
      </c>
      <c r="I81" s="20"/>
    </row>
    <row r="82" spans="2:9" x14ac:dyDescent="0.2">
      <c r="B82" s="90"/>
      <c r="C82" s="90"/>
      <c r="D82" s="90"/>
      <c r="E82" s="90"/>
      <c r="F82" s="90"/>
      <c r="G82" s="90"/>
      <c r="H82" s="90"/>
      <c r="I82" s="90"/>
    </row>
    <row r="83" spans="2:9" x14ac:dyDescent="0.2">
      <c r="B83" s="93"/>
      <c r="C83" s="93"/>
      <c r="D83" s="93"/>
      <c r="E83" s="93"/>
      <c r="F83" s="93"/>
      <c r="G83" s="93"/>
      <c r="H83" s="93"/>
      <c r="I83" s="94"/>
    </row>
    <row r="84" spans="2:9" x14ac:dyDescent="0.2">
      <c r="B84" s="248" t="s">
        <v>73</v>
      </c>
      <c r="C84" s="249"/>
      <c r="D84" s="249"/>
      <c r="E84" s="249"/>
      <c r="F84" s="256"/>
      <c r="G84" s="134"/>
      <c r="H84" s="135"/>
      <c r="I84" s="94"/>
    </row>
    <row r="85" spans="2:9" x14ac:dyDescent="0.2">
      <c r="B85" s="253" t="s">
        <v>90</v>
      </c>
      <c r="C85" s="254"/>
      <c r="D85" s="254"/>
      <c r="E85" s="254"/>
      <c r="F85" s="254"/>
      <c r="G85" s="141"/>
      <c r="H85" s="142"/>
      <c r="I85" s="94"/>
    </row>
    <row r="86" spans="2:9" x14ac:dyDescent="0.2">
      <c r="B86" s="89" t="s">
        <v>14</v>
      </c>
      <c r="C86" s="222" t="s">
        <v>91</v>
      </c>
      <c r="D86" s="247"/>
      <c r="E86" s="247"/>
      <c r="F86" s="223"/>
      <c r="G86" s="89" t="s">
        <v>104</v>
      </c>
      <c r="H86" s="89" t="s">
        <v>49</v>
      </c>
      <c r="I86" s="94"/>
    </row>
    <row r="87" spans="2:9" x14ac:dyDescent="0.2">
      <c r="B87" s="16" t="s">
        <v>4</v>
      </c>
      <c r="C87" s="87" t="s">
        <v>110</v>
      </c>
      <c r="D87" s="159" t="s">
        <v>150</v>
      </c>
      <c r="E87" s="160"/>
      <c r="F87" s="161"/>
      <c r="G87" s="42">
        <v>30</v>
      </c>
      <c r="H87" s="22">
        <f>TRUNC((H$89*$G87)/12,2)</f>
        <v>392.12</v>
      </c>
      <c r="I87" s="100"/>
    </row>
    <row r="88" spans="2:9" ht="22.5" x14ac:dyDescent="0.2">
      <c r="B88" s="16" t="s">
        <v>5</v>
      </c>
      <c r="C88" s="79" t="s">
        <v>156</v>
      </c>
      <c r="D88" s="162" t="s">
        <v>159</v>
      </c>
      <c r="E88" s="163"/>
      <c r="F88" s="164"/>
      <c r="G88" s="57">
        <v>8</v>
      </c>
      <c r="H88" s="22">
        <f>TRUNC((H$89*$G88)/12,2)</f>
        <v>104.56</v>
      </c>
      <c r="I88" s="100"/>
    </row>
    <row r="89" spans="2:9" x14ac:dyDescent="0.2">
      <c r="B89" s="16" t="s">
        <v>6</v>
      </c>
      <c r="C89" s="87" t="s">
        <v>112</v>
      </c>
      <c r="D89" s="159" t="s">
        <v>143</v>
      </c>
      <c r="E89" s="160"/>
      <c r="F89" s="160"/>
      <c r="G89" s="161"/>
      <c r="H89" s="22">
        <f>TRUNC((H$31+H$70+H$81)/30,2)</f>
        <v>156.85</v>
      </c>
      <c r="I89" s="100"/>
    </row>
    <row r="90" spans="2:9" x14ac:dyDescent="0.2">
      <c r="B90" s="16" t="s">
        <v>145</v>
      </c>
      <c r="C90" s="222" t="s">
        <v>61</v>
      </c>
      <c r="D90" s="247"/>
      <c r="E90" s="247"/>
      <c r="F90" s="247"/>
      <c r="G90" s="76"/>
      <c r="H90" s="19">
        <f>TRUNC(H$87+H$88,2)</f>
        <v>496.68</v>
      </c>
      <c r="I90" s="20"/>
    </row>
    <row r="91" spans="2:9" x14ac:dyDescent="0.2">
      <c r="B91" s="68"/>
      <c r="C91" s="69"/>
      <c r="D91" s="69"/>
      <c r="E91" s="69"/>
      <c r="F91" s="69"/>
      <c r="G91" s="69"/>
      <c r="H91" s="70"/>
      <c r="I91" s="27"/>
    </row>
    <row r="92" spans="2:9" x14ac:dyDescent="0.2">
      <c r="B92" s="257" t="s">
        <v>92</v>
      </c>
      <c r="C92" s="258"/>
      <c r="D92" s="258"/>
      <c r="E92" s="258"/>
      <c r="F92" s="258"/>
      <c r="G92" s="143"/>
      <c r="H92" s="144"/>
      <c r="I92" s="94"/>
    </row>
    <row r="93" spans="2:9" x14ac:dyDescent="0.2">
      <c r="B93" s="89" t="s">
        <v>15</v>
      </c>
      <c r="C93" s="222" t="s">
        <v>93</v>
      </c>
      <c r="D93" s="247"/>
      <c r="E93" s="247"/>
      <c r="F93" s="223"/>
      <c r="G93" s="89" t="s">
        <v>104</v>
      </c>
      <c r="H93" s="89" t="s">
        <v>49</v>
      </c>
      <c r="I93" s="94"/>
    </row>
    <row r="94" spans="2:9" ht="22.5" x14ac:dyDescent="0.2">
      <c r="B94" s="16" t="s">
        <v>4</v>
      </c>
      <c r="C94" s="79" t="s">
        <v>94</v>
      </c>
      <c r="D94" s="159" t="s">
        <v>179</v>
      </c>
      <c r="E94" s="160"/>
      <c r="F94" s="160"/>
      <c r="G94" s="42"/>
      <c r="H94" s="22">
        <f>TRUNC(((H$31+H70+H81)/220)*(1+50%)*G94,2)</f>
        <v>0</v>
      </c>
      <c r="I94" s="100"/>
    </row>
    <row r="95" spans="2:9" x14ac:dyDescent="0.2">
      <c r="B95" s="16" t="s">
        <v>146</v>
      </c>
      <c r="C95" s="222" t="s">
        <v>61</v>
      </c>
      <c r="D95" s="247"/>
      <c r="E95" s="247"/>
      <c r="F95" s="247"/>
      <c r="G95" s="126"/>
      <c r="H95" s="19">
        <f>H94</f>
        <v>0</v>
      </c>
      <c r="I95" s="100"/>
    </row>
    <row r="96" spans="2:9" x14ac:dyDescent="0.2">
      <c r="B96" s="92"/>
      <c r="C96" s="91"/>
      <c r="D96" s="91"/>
      <c r="E96" s="91"/>
      <c r="F96" s="91"/>
      <c r="G96" s="93"/>
      <c r="H96" s="158"/>
      <c r="I96" s="116"/>
    </row>
    <row r="97" spans="2:9" x14ac:dyDescent="0.2">
      <c r="B97" s="257" t="s">
        <v>74</v>
      </c>
      <c r="C97" s="258"/>
      <c r="D97" s="258"/>
      <c r="E97" s="258"/>
      <c r="F97" s="258"/>
      <c r="G97" s="143"/>
      <c r="H97" s="144"/>
      <c r="I97" s="94"/>
    </row>
    <row r="98" spans="2:9" x14ac:dyDescent="0.2">
      <c r="B98" s="89">
        <v>4</v>
      </c>
      <c r="C98" s="222" t="s">
        <v>75</v>
      </c>
      <c r="D98" s="247"/>
      <c r="E98" s="247"/>
      <c r="F98" s="247"/>
      <c r="G98" s="223"/>
      <c r="H98" s="89" t="s">
        <v>49</v>
      </c>
      <c r="I98" s="94"/>
    </row>
    <row r="99" spans="2:9" x14ac:dyDescent="0.2">
      <c r="B99" s="16" t="s">
        <v>14</v>
      </c>
      <c r="C99" s="87" t="s">
        <v>42</v>
      </c>
      <c r="D99" s="159" t="s">
        <v>145</v>
      </c>
      <c r="E99" s="160"/>
      <c r="F99" s="160"/>
      <c r="G99" s="161"/>
      <c r="H99" s="22">
        <f>H90</f>
        <v>496.68</v>
      </c>
      <c r="I99" s="100"/>
    </row>
    <row r="100" spans="2:9" x14ac:dyDescent="0.2">
      <c r="B100" s="16" t="s">
        <v>15</v>
      </c>
      <c r="C100" s="87" t="s">
        <v>44</v>
      </c>
      <c r="D100" s="159" t="s">
        <v>146</v>
      </c>
      <c r="E100" s="160"/>
      <c r="F100" s="160"/>
      <c r="G100" s="161"/>
      <c r="H100" s="22">
        <f>H95</f>
        <v>0</v>
      </c>
      <c r="I100" s="100"/>
    </row>
    <row r="101" spans="2:9" x14ac:dyDescent="0.2">
      <c r="B101" s="16" t="s">
        <v>147</v>
      </c>
      <c r="C101" s="222" t="s">
        <v>61</v>
      </c>
      <c r="D101" s="247"/>
      <c r="E101" s="247"/>
      <c r="F101" s="247"/>
      <c r="G101" s="76"/>
      <c r="H101" s="19">
        <f>SUM(H99:H100)</f>
        <v>496.68</v>
      </c>
      <c r="I101" s="20"/>
    </row>
    <row r="102" spans="2:9" x14ac:dyDescent="0.2">
      <c r="B102" s="93"/>
      <c r="C102" s="93"/>
      <c r="D102" s="93"/>
      <c r="E102" s="93"/>
      <c r="F102" s="93"/>
      <c r="G102" s="93"/>
      <c r="H102" s="93"/>
      <c r="I102" s="94"/>
    </row>
    <row r="103" spans="2:9" x14ac:dyDescent="0.2">
      <c r="B103" s="93"/>
      <c r="C103" s="93"/>
      <c r="D103" s="93"/>
      <c r="E103" s="93"/>
      <c r="F103" s="93"/>
      <c r="G103" s="93"/>
      <c r="H103" s="93"/>
      <c r="I103" s="94"/>
    </row>
    <row r="104" spans="2:9" x14ac:dyDescent="0.2">
      <c r="B104" s="253" t="s">
        <v>76</v>
      </c>
      <c r="C104" s="254"/>
      <c r="D104" s="254"/>
      <c r="E104" s="254"/>
      <c r="F104" s="255"/>
      <c r="G104" s="78"/>
      <c r="H104" s="214"/>
      <c r="I104" s="94"/>
    </row>
    <row r="105" spans="2:9" x14ac:dyDescent="0.2">
      <c r="B105" s="16">
        <v>5</v>
      </c>
      <c r="C105" s="250" t="s">
        <v>63</v>
      </c>
      <c r="D105" s="251"/>
      <c r="E105" s="251"/>
      <c r="F105" s="251"/>
      <c r="G105" s="252"/>
      <c r="H105" s="16" t="s">
        <v>49</v>
      </c>
      <c r="I105" s="94"/>
    </row>
    <row r="106" spans="2:9" x14ac:dyDescent="0.2">
      <c r="B106" s="16" t="s">
        <v>4</v>
      </c>
      <c r="C106" s="87" t="s">
        <v>45</v>
      </c>
      <c r="D106" s="88"/>
      <c r="E106" s="88"/>
      <c r="F106" s="88"/>
      <c r="G106" s="215"/>
      <c r="H106" s="22">
        <f>Uniformes!D22</f>
        <v>23.723571428571432</v>
      </c>
      <c r="I106" s="100"/>
    </row>
    <row r="107" spans="2:9" x14ac:dyDescent="0.2">
      <c r="B107" s="16" t="s">
        <v>5</v>
      </c>
      <c r="C107" s="87" t="s">
        <v>12</v>
      </c>
      <c r="D107" s="88"/>
      <c r="E107" s="88"/>
      <c r="F107" s="88"/>
      <c r="G107" s="215"/>
      <c r="H107" s="22">
        <f>Materiais!K31</f>
        <v>122.88027272727273</v>
      </c>
      <c r="I107" s="100"/>
    </row>
    <row r="108" spans="2:9" x14ac:dyDescent="0.2">
      <c r="B108" s="16" t="s">
        <v>6</v>
      </c>
      <c r="C108" s="87" t="s">
        <v>13</v>
      </c>
      <c r="D108" s="88"/>
      <c r="E108" s="88"/>
      <c r="F108" s="88"/>
      <c r="G108" s="215"/>
      <c r="H108" s="22">
        <v>0</v>
      </c>
      <c r="I108" s="100"/>
    </row>
    <row r="109" spans="2:9" x14ac:dyDescent="0.2">
      <c r="B109" s="16" t="s">
        <v>7</v>
      </c>
      <c r="C109" s="87" t="s">
        <v>2</v>
      </c>
      <c r="D109" s="88"/>
      <c r="E109" s="88"/>
      <c r="F109" s="88"/>
      <c r="G109" s="215"/>
      <c r="H109" s="22"/>
      <c r="I109" s="100"/>
    </row>
    <row r="110" spans="2:9" x14ac:dyDescent="0.2">
      <c r="B110" s="16" t="s">
        <v>148</v>
      </c>
      <c r="C110" s="253" t="s">
        <v>61</v>
      </c>
      <c r="D110" s="254"/>
      <c r="E110" s="254"/>
      <c r="F110" s="254"/>
      <c r="G110" s="214"/>
      <c r="H110" s="25">
        <f>SUM(H106:H109)</f>
        <v>146.60384415584417</v>
      </c>
      <c r="I110" s="20"/>
    </row>
    <row r="111" spans="2:9" x14ac:dyDescent="0.2">
      <c r="B111" s="93"/>
      <c r="C111" s="93"/>
      <c r="D111" s="93"/>
      <c r="E111" s="93"/>
      <c r="F111" s="93"/>
      <c r="G111" s="71"/>
      <c r="H111" s="66"/>
      <c r="I111" s="20"/>
    </row>
    <row r="112" spans="2:9" x14ac:dyDescent="0.2">
      <c r="B112" s="93"/>
      <c r="C112" s="93"/>
      <c r="D112" s="93"/>
      <c r="E112" s="93"/>
      <c r="F112" s="93"/>
      <c r="G112" s="93"/>
      <c r="H112" s="93"/>
      <c r="I112" s="94"/>
    </row>
    <row r="113" spans="2:9" x14ac:dyDescent="0.2">
      <c r="B113" s="248" t="s">
        <v>77</v>
      </c>
      <c r="C113" s="249"/>
      <c r="D113" s="249"/>
      <c r="E113" s="249"/>
      <c r="F113" s="256"/>
      <c r="G113" s="134"/>
      <c r="H113" s="135"/>
      <c r="I113" s="94"/>
    </row>
    <row r="114" spans="2:9" x14ac:dyDescent="0.2">
      <c r="B114" s="89">
        <v>6</v>
      </c>
      <c r="C114" s="222" t="s">
        <v>64</v>
      </c>
      <c r="D114" s="247"/>
      <c r="E114" s="247"/>
      <c r="F114" s="223"/>
      <c r="G114" s="89" t="s">
        <v>1</v>
      </c>
      <c r="H114" s="89" t="s">
        <v>49</v>
      </c>
      <c r="I114" s="94"/>
    </row>
    <row r="115" spans="2:9" x14ac:dyDescent="0.2">
      <c r="B115" s="16" t="s">
        <v>4</v>
      </c>
      <c r="C115" s="87" t="s">
        <v>16</v>
      </c>
      <c r="D115" s="244" t="s">
        <v>160</v>
      </c>
      <c r="E115" s="245"/>
      <c r="F115" s="246"/>
      <c r="G115" s="46">
        <v>0.05</v>
      </c>
      <c r="H115" s="22">
        <f>TRUNC(H$132*$G115,2)</f>
        <v>267.43</v>
      </c>
      <c r="I115" s="100"/>
    </row>
    <row r="116" spans="2:9" x14ac:dyDescent="0.2">
      <c r="B116" s="16" t="s">
        <v>5</v>
      </c>
      <c r="C116" s="87" t="s">
        <v>3</v>
      </c>
      <c r="D116" s="244" t="s">
        <v>161</v>
      </c>
      <c r="E116" s="245"/>
      <c r="F116" s="246"/>
      <c r="G116" s="46">
        <v>0.1</v>
      </c>
      <c r="H116" s="22">
        <f>TRUNC((H$132+H$115)*$G116,2)</f>
        <v>561.62</v>
      </c>
      <c r="I116" s="100"/>
    </row>
    <row r="117" spans="2:9" x14ac:dyDescent="0.2">
      <c r="B117" s="16" t="s">
        <v>6</v>
      </c>
      <c r="C117" s="87" t="s">
        <v>115</v>
      </c>
      <c r="D117" s="244" t="s">
        <v>162</v>
      </c>
      <c r="E117" s="245"/>
      <c r="F117" s="246"/>
      <c r="G117" s="48">
        <f>1-(G118+G119+G120)</f>
        <v>0.85749999999999993</v>
      </c>
      <c r="H117" s="28">
        <f>TRUNC(((H$132+H$115+H$116)/$G117),2)</f>
        <v>7204.47</v>
      </c>
      <c r="I117" s="103"/>
    </row>
    <row r="118" spans="2:9" x14ac:dyDescent="0.2">
      <c r="B118" s="16" t="s">
        <v>21</v>
      </c>
      <c r="C118" s="87" t="s">
        <v>18</v>
      </c>
      <c r="D118" s="244" t="s">
        <v>163</v>
      </c>
      <c r="E118" s="245"/>
      <c r="F118" s="246"/>
      <c r="G118" s="47">
        <v>1.6500000000000001E-2</v>
      </c>
      <c r="H118" s="22">
        <f>TRUNC(H$117*$G118,2)</f>
        <v>118.87</v>
      </c>
      <c r="I118" s="100"/>
    </row>
    <row r="119" spans="2:9" x14ac:dyDescent="0.2">
      <c r="B119" s="16" t="s">
        <v>22</v>
      </c>
      <c r="C119" s="87" t="s">
        <v>19</v>
      </c>
      <c r="D119" s="244" t="s">
        <v>163</v>
      </c>
      <c r="E119" s="245"/>
      <c r="F119" s="246"/>
      <c r="G119" s="47">
        <v>7.5999999999999998E-2</v>
      </c>
      <c r="H119" s="22">
        <f>TRUNC(H$117*$G119,2)</f>
        <v>547.53</v>
      </c>
      <c r="I119" s="100"/>
    </row>
    <row r="120" spans="2:9" x14ac:dyDescent="0.2">
      <c r="B120" s="16" t="s">
        <v>23</v>
      </c>
      <c r="C120" s="87" t="s">
        <v>20</v>
      </c>
      <c r="D120" s="244" t="s">
        <v>163</v>
      </c>
      <c r="E120" s="245"/>
      <c r="F120" s="246"/>
      <c r="G120" s="47">
        <v>0.05</v>
      </c>
      <c r="H120" s="22">
        <f>TRUNC(H$117*$G120,2)</f>
        <v>360.22</v>
      </c>
      <c r="I120" s="100"/>
    </row>
    <row r="121" spans="2:9" x14ac:dyDescent="0.2">
      <c r="B121" s="16" t="s">
        <v>149</v>
      </c>
      <c r="C121" s="83" t="s">
        <v>61</v>
      </c>
      <c r="D121" s="228" t="s">
        <v>151</v>
      </c>
      <c r="E121" s="228"/>
      <c r="F121" s="228"/>
      <c r="G121" s="157"/>
      <c r="H121" s="19">
        <f>SUM(H115:H120)-H117</f>
        <v>1855.6699999999992</v>
      </c>
      <c r="I121" s="20"/>
    </row>
    <row r="122" spans="2:9" x14ac:dyDescent="0.2">
      <c r="B122" s="63"/>
      <c r="C122" s="63"/>
      <c r="D122" s="63"/>
      <c r="E122" s="63"/>
      <c r="F122" s="63"/>
      <c r="G122" s="63"/>
      <c r="H122" s="72"/>
      <c r="I122" s="29"/>
    </row>
    <row r="123" spans="2:9" x14ac:dyDescent="0.2">
      <c r="B123" s="232" t="s">
        <v>190</v>
      </c>
      <c r="C123" s="232"/>
      <c r="D123" s="232"/>
      <c r="E123" s="232"/>
      <c r="F123" s="232"/>
      <c r="G123" s="232"/>
      <c r="H123" s="232"/>
      <c r="I123" s="110"/>
    </row>
    <row r="124" spans="2:9" x14ac:dyDescent="0.2">
      <c r="B124" s="86"/>
      <c r="C124" s="86"/>
      <c r="D124" s="86"/>
      <c r="E124" s="86"/>
      <c r="F124" s="86"/>
      <c r="G124" s="86"/>
      <c r="H124" s="86"/>
      <c r="I124" s="110"/>
    </row>
    <row r="125" spans="2:9" x14ac:dyDescent="0.2">
      <c r="B125" s="248" t="s">
        <v>191</v>
      </c>
      <c r="C125" s="249"/>
      <c r="D125" s="249"/>
      <c r="E125" s="249"/>
      <c r="F125" s="249"/>
      <c r="G125" s="151"/>
      <c r="H125" s="135"/>
      <c r="I125" s="94"/>
    </row>
    <row r="126" spans="2:9" ht="12.75" customHeight="1" x14ac:dyDescent="0.2">
      <c r="B126" s="149"/>
      <c r="C126" s="226" t="s">
        <v>116</v>
      </c>
      <c r="D126" s="227"/>
      <c r="E126" s="227"/>
      <c r="F126" s="227"/>
      <c r="G126" s="150"/>
      <c r="H126" s="133" t="s">
        <v>49</v>
      </c>
      <c r="I126" s="94"/>
    </row>
    <row r="127" spans="2:9" x14ac:dyDescent="0.2">
      <c r="B127" s="16" t="s">
        <v>4</v>
      </c>
      <c r="C127" s="79" t="s">
        <v>79</v>
      </c>
      <c r="D127" s="159" t="s">
        <v>127</v>
      </c>
      <c r="E127" s="160"/>
      <c r="F127" s="160"/>
      <c r="G127" s="161"/>
      <c r="H127" s="22">
        <f>H31</f>
        <v>2159.79</v>
      </c>
      <c r="I127" s="100"/>
    </row>
    <row r="128" spans="2:9" ht="22.5" x14ac:dyDescent="0.2">
      <c r="B128" s="16" t="s">
        <v>5</v>
      </c>
      <c r="C128" s="79" t="s">
        <v>80</v>
      </c>
      <c r="D128" s="159" t="s">
        <v>141</v>
      </c>
      <c r="E128" s="160"/>
      <c r="F128" s="160"/>
      <c r="G128" s="161"/>
      <c r="H128" s="22">
        <f>H70</f>
        <v>2080.35</v>
      </c>
      <c r="I128" s="100"/>
    </row>
    <row r="129" spans="2:9" x14ac:dyDescent="0.2">
      <c r="B129" s="16" t="s">
        <v>6</v>
      </c>
      <c r="C129" s="79" t="s">
        <v>81</v>
      </c>
      <c r="D129" s="159" t="s">
        <v>144</v>
      </c>
      <c r="E129" s="160"/>
      <c r="F129" s="160"/>
      <c r="G129" s="161"/>
      <c r="H129" s="22">
        <f>H81</f>
        <v>465.36</v>
      </c>
      <c r="I129" s="100"/>
    </row>
    <row r="130" spans="2:9" ht="22.5" x14ac:dyDescent="0.2">
      <c r="B130" s="16" t="s">
        <v>7</v>
      </c>
      <c r="C130" s="79" t="s">
        <v>43</v>
      </c>
      <c r="D130" s="159" t="s">
        <v>147</v>
      </c>
      <c r="E130" s="160"/>
      <c r="F130" s="160"/>
      <c r="G130" s="161"/>
      <c r="H130" s="22">
        <f>H101</f>
        <v>496.68</v>
      </c>
      <c r="I130" s="100"/>
    </row>
    <row r="131" spans="2:9" x14ac:dyDescent="0.2">
      <c r="B131" s="16" t="s">
        <v>8</v>
      </c>
      <c r="C131" s="79" t="s">
        <v>82</v>
      </c>
      <c r="D131" s="159" t="s">
        <v>148</v>
      </c>
      <c r="E131" s="160"/>
      <c r="F131" s="160"/>
      <c r="G131" s="161"/>
      <c r="H131" s="22">
        <f>H110</f>
        <v>146.60384415584417</v>
      </c>
      <c r="I131" s="100"/>
    </row>
    <row r="132" spans="2:9" x14ac:dyDescent="0.2">
      <c r="B132" s="85" t="s">
        <v>9</v>
      </c>
      <c r="C132" s="78" t="s">
        <v>46</v>
      </c>
      <c r="D132" s="165" t="s">
        <v>167</v>
      </c>
      <c r="E132" s="166"/>
      <c r="F132" s="166"/>
      <c r="G132" s="167"/>
      <c r="H132" s="25">
        <f>SUM(H127:H131)</f>
        <v>5348.7838441558433</v>
      </c>
      <c r="I132" s="20"/>
    </row>
    <row r="133" spans="2:9" x14ac:dyDescent="0.2">
      <c r="B133" s="16" t="s">
        <v>10</v>
      </c>
      <c r="C133" s="87" t="s">
        <v>83</v>
      </c>
      <c r="D133" s="159" t="s">
        <v>149</v>
      </c>
      <c r="E133" s="160"/>
      <c r="F133" s="160"/>
      <c r="G133" s="161"/>
      <c r="H133" s="22">
        <f>H121</f>
        <v>1855.6699999999992</v>
      </c>
      <c r="I133" s="100"/>
    </row>
    <row r="134" spans="2:9" x14ac:dyDescent="0.2">
      <c r="B134" s="16" t="s">
        <v>152</v>
      </c>
      <c r="C134" s="82" t="s">
        <v>78</v>
      </c>
      <c r="D134" s="168" t="s">
        <v>166</v>
      </c>
      <c r="E134" s="156"/>
      <c r="F134" s="156"/>
      <c r="G134" s="157"/>
      <c r="H134" s="31">
        <f>SUM(H132:H133)</f>
        <v>7204.4538441558425</v>
      </c>
      <c r="I134" s="114"/>
    </row>
    <row r="135" spans="2:9" ht="12.75" customHeight="1" x14ac:dyDescent="0.2">
      <c r="B135" s="14"/>
      <c r="C135" s="14"/>
      <c r="D135" s="14"/>
      <c r="E135" s="14"/>
      <c r="F135" s="14"/>
      <c r="G135" s="14"/>
      <c r="H135" s="32"/>
      <c r="I135" s="32"/>
    </row>
    <row r="136" spans="2:9" x14ac:dyDescent="0.2">
      <c r="B136" s="232" t="s">
        <v>192</v>
      </c>
      <c r="C136" s="232"/>
      <c r="D136" s="232"/>
      <c r="E136" s="232"/>
      <c r="F136" s="232"/>
      <c r="I136" s="14"/>
    </row>
    <row r="137" spans="2:9" x14ac:dyDescent="0.2">
      <c r="B137" s="73"/>
      <c r="C137" s="73"/>
      <c r="D137" s="73"/>
      <c r="E137" s="67"/>
      <c r="F137" s="67"/>
      <c r="I137" s="14"/>
    </row>
    <row r="138" spans="2:9" x14ac:dyDescent="0.2">
      <c r="B138" s="236" t="s">
        <v>193</v>
      </c>
      <c r="C138" s="237"/>
      <c r="D138" s="237"/>
      <c r="E138" s="237"/>
      <c r="F138" s="237"/>
      <c r="G138" s="151"/>
      <c r="H138" s="135"/>
      <c r="I138" s="111"/>
    </row>
    <row r="139" spans="2:9" x14ac:dyDescent="0.2">
      <c r="B139" s="127" t="s">
        <v>4</v>
      </c>
      <c r="C139" s="152" t="s">
        <v>105</v>
      </c>
      <c r="D139" s="238" t="s">
        <v>152</v>
      </c>
      <c r="E139" s="239"/>
      <c r="F139" s="239"/>
      <c r="G139" s="153"/>
      <c r="H139" s="154">
        <f>H134</f>
        <v>7204.4538441558425</v>
      </c>
      <c r="I139" s="109"/>
    </row>
    <row r="140" spans="2:9" ht="22.5" x14ac:dyDescent="0.2">
      <c r="B140" s="16" t="s">
        <v>5</v>
      </c>
      <c r="C140" s="80" t="s">
        <v>154</v>
      </c>
      <c r="D140" s="240" t="s">
        <v>155</v>
      </c>
      <c r="E140" s="241"/>
      <c r="F140" s="241"/>
      <c r="G140" s="147"/>
      <c r="H140" s="11">
        <f>H42+H81+H99</f>
        <v>1381.99</v>
      </c>
      <c r="I140" s="104"/>
    </row>
    <row r="141" spans="2:9" ht="22.5" x14ac:dyDescent="0.2">
      <c r="B141" s="16" t="s">
        <v>6</v>
      </c>
      <c r="C141" s="80" t="s">
        <v>170</v>
      </c>
      <c r="D141" s="240" t="s">
        <v>178</v>
      </c>
      <c r="E141" s="241"/>
      <c r="F141" s="241"/>
      <c r="G141" s="148"/>
      <c r="H141" s="108">
        <f>TRUNC((H$42*$G55),2)</f>
        <v>154.54</v>
      </c>
      <c r="I141" s="109"/>
    </row>
    <row r="142" spans="2:9" ht="12.75" customHeight="1" x14ac:dyDescent="0.2">
      <c r="B142" s="16" t="s">
        <v>7</v>
      </c>
      <c r="C142" s="80" t="s">
        <v>16</v>
      </c>
      <c r="D142" s="229" t="s">
        <v>164</v>
      </c>
      <c r="E142" s="230"/>
      <c r="F142" s="231"/>
      <c r="G142" s="12">
        <f>G115</f>
        <v>0.05</v>
      </c>
      <c r="H142" s="11">
        <f>TRUNC((H$140+H$141)*$G142,2)</f>
        <v>76.819999999999993</v>
      </c>
      <c r="I142" s="104"/>
    </row>
    <row r="143" spans="2:9" ht="12.75" customHeight="1" x14ac:dyDescent="0.2">
      <c r="B143" s="16" t="s">
        <v>8</v>
      </c>
      <c r="C143" s="80" t="s">
        <v>3</v>
      </c>
      <c r="D143" s="229" t="s">
        <v>165</v>
      </c>
      <c r="E143" s="230"/>
      <c r="F143" s="231"/>
      <c r="G143" s="12">
        <f>G116</f>
        <v>0.1</v>
      </c>
      <c r="H143" s="11">
        <f>TRUNC((H$140+H$141+H$142)*$G143,2)</f>
        <v>161.33000000000001</v>
      </c>
      <c r="I143" s="104"/>
    </row>
    <row r="144" spans="2:9" ht="12.75" customHeight="1" x14ac:dyDescent="0.2">
      <c r="B144" s="16" t="s">
        <v>9</v>
      </c>
      <c r="C144" s="80" t="s">
        <v>106</v>
      </c>
      <c r="D144" s="229" t="s">
        <v>172</v>
      </c>
      <c r="E144" s="230"/>
      <c r="F144" s="231"/>
      <c r="G144" s="12">
        <f>G118+G119+G120</f>
        <v>0.14250000000000002</v>
      </c>
      <c r="H144" s="11">
        <f>TRUNC((H$140+H$141+H$142+H$143)/(1-$G144)-(H$140+H$141+H$142+H$143),2)</f>
        <v>294.91000000000003</v>
      </c>
      <c r="I144" s="104"/>
    </row>
    <row r="145" spans="2:9" ht="22.5" x14ac:dyDescent="0.2">
      <c r="B145" s="16" t="s">
        <v>10</v>
      </c>
      <c r="C145" s="128" t="s">
        <v>107</v>
      </c>
      <c r="D145" s="145" t="s">
        <v>173</v>
      </c>
      <c r="E145" s="146"/>
      <c r="F145" s="146"/>
      <c r="G145" s="147"/>
      <c r="H145" s="129">
        <f>SUM(H140:H144)</f>
        <v>2069.5899999999997</v>
      </c>
      <c r="I145" s="105"/>
    </row>
    <row r="146" spans="2:9" x14ac:dyDescent="0.2">
      <c r="B146" s="16" t="s">
        <v>153</v>
      </c>
      <c r="C146" s="84" t="s">
        <v>124</v>
      </c>
      <c r="D146" s="242" t="s">
        <v>171</v>
      </c>
      <c r="E146" s="243"/>
      <c r="F146" s="243"/>
      <c r="G146" s="155"/>
      <c r="H146" s="33">
        <f>H139-H145</f>
        <v>5134.8638441558433</v>
      </c>
      <c r="I146" s="115"/>
    </row>
    <row r="147" spans="2:9" ht="45" customHeight="1" x14ac:dyDescent="0.2">
      <c r="B147" s="233" t="s">
        <v>123</v>
      </c>
      <c r="C147" s="234"/>
      <c r="D147" s="234"/>
      <c r="E147" s="234"/>
      <c r="F147" s="234"/>
      <c r="G147" s="235"/>
      <c r="H147" s="132"/>
      <c r="I147" s="106"/>
    </row>
  </sheetData>
  <mergeCells count="105">
    <mergeCell ref="D146:F146"/>
    <mergeCell ref="B147:G147"/>
    <mergeCell ref="D139:F139"/>
    <mergeCell ref="D140:F140"/>
    <mergeCell ref="D141:F141"/>
    <mergeCell ref="D142:F142"/>
    <mergeCell ref="D143:F143"/>
    <mergeCell ref="D144:F144"/>
    <mergeCell ref="D121:F121"/>
    <mergeCell ref="B123:H123"/>
    <mergeCell ref="B125:F125"/>
    <mergeCell ref="C126:F126"/>
    <mergeCell ref="B136:F136"/>
    <mergeCell ref="B138:F138"/>
    <mergeCell ref="D115:F115"/>
    <mergeCell ref="D116:F116"/>
    <mergeCell ref="D117:F117"/>
    <mergeCell ref="D118:F118"/>
    <mergeCell ref="D119:F119"/>
    <mergeCell ref="D120:F120"/>
    <mergeCell ref="C101:F101"/>
    <mergeCell ref="B104:F104"/>
    <mergeCell ref="C105:G105"/>
    <mergeCell ref="C110:F110"/>
    <mergeCell ref="B113:F113"/>
    <mergeCell ref="C114:F114"/>
    <mergeCell ref="C90:F90"/>
    <mergeCell ref="B92:F92"/>
    <mergeCell ref="C93:F93"/>
    <mergeCell ref="C95:F95"/>
    <mergeCell ref="B97:F97"/>
    <mergeCell ref="C98:G98"/>
    <mergeCell ref="D79:E79"/>
    <mergeCell ref="D80:E80"/>
    <mergeCell ref="C81:F81"/>
    <mergeCell ref="B84:F84"/>
    <mergeCell ref="B85:F85"/>
    <mergeCell ref="C86:F86"/>
    <mergeCell ref="C66:F66"/>
    <mergeCell ref="C70:F70"/>
    <mergeCell ref="B71:H71"/>
    <mergeCell ref="B73:F73"/>
    <mergeCell ref="C74:F74"/>
    <mergeCell ref="D77:E77"/>
    <mergeCell ref="B56:H56"/>
    <mergeCell ref="B57:F57"/>
    <mergeCell ref="C58:F58"/>
    <mergeCell ref="C63:F63"/>
    <mergeCell ref="B64:H64"/>
    <mergeCell ref="B65:F65"/>
    <mergeCell ref="D50:F50"/>
    <mergeCell ref="D51:F51"/>
    <mergeCell ref="D52:F52"/>
    <mergeCell ref="D53:F53"/>
    <mergeCell ref="D54:F54"/>
    <mergeCell ref="C55:F55"/>
    <mergeCell ref="D47:F47"/>
    <mergeCell ref="B48:B49"/>
    <mergeCell ref="C48:C49"/>
    <mergeCell ref="D48:D49"/>
    <mergeCell ref="G48:G49"/>
    <mergeCell ref="H48:H49"/>
    <mergeCell ref="D41:F41"/>
    <mergeCell ref="C42:F42"/>
    <mergeCell ref="B43:H43"/>
    <mergeCell ref="B44:F44"/>
    <mergeCell ref="C45:F45"/>
    <mergeCell ref="D46:F46"/>
    <mergeCell ref="C32:F33"/>
    <mergeCell ref="B36:F36"/>
    <mergeCell ref="B37:F37"/>
    <mergeCell ref="B38:F38"/>
    <mergeCell ref="C39:F39"/>
    <mergeCell ref="D40:F40"/>
    <mergeCell ref="D26:F26"/>
    <mergeCell ref="D27:F27"/>
    <mergeCell ref="D28:F28"/>
    <mergeCell ref="D29:F29"/>
    <mergeCell ref="D30:F30"/>
    <mergeCell ref="C31:F31"/>
    <mergeCell ref="B19:B20"/>
    <mergeCell ref="C19:F19"/>
    <mergeCell ref="C20:F20"/>
    <mergeCell ref="B23:F23"/>
    <mergeCell ref="C24:F24"/>
    <mergeCell ref="D25:F25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  <mergeCell ref="B15:B16"/>
    <mergeCell ref="C15:F15"/>
    <mergeCell ref="C16:F16"/>
  </mergeCells>
  <dataValidations count="10">
    <dataValidation type="custom" allowBlank="1" showInputMessage="1" showErrorMessage="1" sqref="G117" xr:uid="{AC7ED4C5-6338-4004-84F0-0A9D97730597}">
      <formula1>1-(G118+G119+G120)</formula1>
    </dataValidation>
    <dataValidation type="list" operator="equal" allowBlank="1" showInputMessage="1" showErrorMessage="1" errorTitle="Valor errado" error="Percentual fixo. Preencher com 40%." sqref="F77 F79" xr:uid="{424E2B85-B3B8-4EB7-A294-F8EFD16FEC9C}">
      <formula1>"40%"</formula1>
    </dataValidation>
    <dataValidation type="whole" allowBlank="1" showInputMessage="1" showErrorMessage="1" errorTitle="Valor errado" error="Quantidade fixa de dias. Prencher com 30" sqref="G87" xr:uid="{4AF321E0-D728-47D9-BFD2-F749F967C84D}">
      <formula1>30</formula1>
      <formula2>30</formula2>
    </dataValidation>
    <dataValidation type="list" allowBlank="1" showInputMessage="1" showErrorMessage="1" sqref="G30" xr:uid="{5743AA7F-30FE-4A7C-9A53-41C5B8F16EC2}">
      <formula1>"0, 50%, 100%"</formula1>
    </dataValidation>
    <dataValidation type="list" allowBlank="1" showInputMessage="1" showErrorMessage="1" sqref="G118" xr:uid="{19AD41E2-B6C8-40EA-81B0-65920F4B557B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19" xr:uid="{9B52E274-4704-40EF-AF69-242A14880C2D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 xr:uid="{C3786D72-226D-459B-8BEA-9490EED952B9}">
      <formula1>"0, 20%"</formula1>
    </dataValidation>
    <dataValidation type="list" allowBlank="1" showInputMessage="1" showErrorMessage="1" sqref="E49" xr:uid="{1F95936F-323E-4C98-8C95-FC3B72D85986}">
      <formula1>"1%, 2%, 3%"</formula1>
    </dataValidation>
    <dataValidation type="list" allowBlank="1" showInputMessage="1" showErrorMessage="1" sqref="G27" xr:uid="{A0353FF1-B7F1-4259-9DA2-A0184B4C998C}">
      <formula1>"0%, 10%, 20%, 40%"</formula1>
    </dataValidation>
    <dataValidation type="list" allowBlank="1" showInputMessage="1" showErrorMessage="1" sqref="G26" xr:uid="{76DA131F-7E1C-4BFC-AABB-9710FAB1E995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64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DB07A-93E7-45E7-8AA3-AE22E6511024}">
  <sheetPr>
    <pageSetUpPr fitToPage="1"/>
  </sheetPr>
  <dimension ref="B1:I147"/>
  <sheetViews>
    <sheetView topLeftCell="A52" workbookViewId="0">
      <selection activeCell="B73" sqref="B73:I147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/>
    <col min="8" max="9" width="15.28515625" style="59" customWidth="1"/>
    <col min="10" max="16384" width="9.140625" style="59"/>
  </cols>
  <sheetData>
    <row r="1" spans="2:9" x14ac:dyDescent="0.2">
      <c r="C1" s="107"/>
      <c r="D1" s="14"/>
      <c r="E1" s="14"/>
      <c r="F1" s="14"/>
      <c r="G1" s="14"/>
      <c r="H1" s="14"/>
      <c r="I1" s="14"/>
    </row>
    <row r="2" spans="2:9" x14ac:dyDescent="0.2">
      <c r="B2" s="288" t="s">
        <v>50</v>
      </c>
      <c r="C2" s="288"/>
      <c r="D2" s="288"/>
      <c r="E2" s="288"/>
      <c r="F2" s="288"/>
      <c r="G2" s="288"/>
      <c r="H2" s="288"/>
      <c r="I2" s="93"/>
    </row>
    <row r="3" spans="2:9" x14ac:dyDescent="0.2">
      <c r="B3" s="289" t="s">
        <v>189</v>
      </c>
      <c r="C3" s="289"/>
      <c r="D3" s="289"/>
      <c r="E3" s="289"/>
      <c r="F3" s="289"/>
      <c r="G3" s="289"/>
      <c r="H3" s="289"/>
      <c r="I3" s="95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0" t="s">
        <v>125</v>
      </c>
      <c r="C6" s="130"/>
      <c r="D6" s="291" t="s">
        <v>202</v>
      </c>
      <c r="E6" s="292"/>
      <c r="F6" s="293"/>
      <c r="I6" s="15"/>
    </row>
    <row r="7" spans="2:9" x14ac:dyDescent="0.2">
      <c r="B7" s="61"/>
      <c r="C7" s="61"/>
      <c r="D7" s="61"/>
      <c r="E7" s="61"/>
      <c r="F7" s="61"/>
      <c r="G7" s="61"/>
      <c r="H7" s="61"/>
      <c r="I7" s="14"/>
    </row>
    <row r="8" spans="2:9" x14ac:dyDescent="0.2">
      <c r="B8" s="294" t="s">
        <v>51</v>
      </c>
      <c r="C8" s="294"/>
      <c r="D8" s="294"/>
      <c r="E8" s="294"/>
      <c r="F8" s="294"/>
      <c r="G8" s="131"/>
      <c r="H8" s="131"/>
      <c r="I8" s="60"/>
    </row>
    <row r="9" spans="2:9" x14ac:dyDescent="0.2">
      <c r="B9" s="290">
        <v>1</v>
      </c>
      <c r="C9" s="295" t="s">
        <v>52</v>
      </c>
      <c r="D9" s="295"/>
      <c r="E9" s="295"/>
      <c r="F9" s="295"/>
      <c r="G9" s="131"/>
      <c r="H9" s="131"/>
      <c r="I9" s="60"/>
    </row>
    <row r="10" spans="2:9" x14ac:dyDescent="0.2">
      <c r="B10" s="290"/>
      <c r="C10" s="296"/>
      <c r="D10" s="296"/>
      <c r="E10" s="296"/>
      <c r="F10" s="296"/>
      <c r="G10" s="131"/>
      <c r="H10" s="131"/>
      <c r="I10" s="60"/>
    </row>
    <row r="11" spans="2:9" x14ac:dyDescent="0.2">
      <c r="B11" s="290">
        <v>2</v>
      </c>
      <c r="C11" s="295" t="s">
        <v>55</v>
      </c>
      <c r="D11" s="295"/>
      <c r="E11" s="295"/>
      <c r="F11" s="295"/>
      <c r="G11" s="131"/>
      <c r="H11" s="131"/>
      <c r="I11" s="60"/>
    </row>
    <row r="12" spans="2:9" x14ac:dyDescent="0.2">
      <c r="B12" s="290"/>
      <c r="C12" s="296"/>
      <c r="D12" s="296"/>
      <c r="E12" s="296"/>
      <c r="F12" s="296"/>
      <c r="G12" s="131"/>
      <c r="H12" s="131"/>
      <c r="I12" s="60"/>
    </row>
    <row r="13" spans="2:9" x14ac:dyDescent="0.2">
      <c r="B13" s="290">
        <v>3</v>
      </c>
      <c r="C13" s="295" t="s">
        <v>56</v>
      </c>
      <c r="D13" s="295"/>
      <c r="E13" s="295"/>
      <c r="F13" s="295"/>
      <c r="G13" s="131"/>
      <c r="H13" s="131"/>
      <c r="I13" s="60"/>
    </row>
    <row r="14" spans="2:9" x14ac:dyDescent="0.2">
      <c r="B14" s="290"/>
      <c r="C14" s="297"/>
      <c r="D14" s="297"/>
      <c r="E14" s="297"/>
      <c r="F14" s="297"/>
      <c r="G14" s="131"/>
      <c r="H14" s="131"/>
      <c r="I14" s="60"/>
    </row>
    <row r="15" spans="2:9" x14ac:dyDescent="0.2">
      <c r="B15" s="290">
        <v>4</v>
      </c>
      <c r="C15" s="295" t="s">
        <v>57</v>
      </c>
      <c r="D15" s="295"/>
      <c r="E15" s="295"/>
      <c r="F15" s="295"/>
      <c r="G15" s="131"/>
      <c r="H15" s="131"/>
      <c r="I15" s="60"/>
    </row>
    <row r="16" spans="2:9" x14ac:dyDescent="0.2">
      <c r="B16" s="290"/>
      <c r="C16" s="296"/>
      <c r="D16" s="296"/>
      <c r="E16" s="296"/>
      <c r="F16" s="296"/>
      <c r="G16" s="131"/>
      <c r="H16" s="131"/>
      <c r="I16" s="60"/>
    </row>
    <row r="17" spans="2:9" x14ac:dyDescent="0.2">
      <c r="B17" s="290">
        <v>5</v>
      </c>
      <c r="C17" s="295" t="s">
        <v>58</v>
      </c>
      <c r="D17" s="295"/>
      <c r="E17" s="295"/>
      <c r="F17" s="295"/>
      <c r="G17" s="131"/>
      <c r="H17" s="131"/>
      <c r="I17" s="60"/>
    </row>
    <row r="18" spans="2:9" x14ac:dyDescent="0.2">
      <c r="B18" s="290"/>
      <c r="C18" s="296"/>
      <c r="D18" s="296"/>
      <c r="E18" s="296"/>
      <c r="F18" s="296"/>
      <c r="G18" s="131"/>
      <c r="H18" s="131"/>
      <c r="I18" s="60"/>
    </row>
    <row r="19" spans="2:9" x14ac:dyDescent="0.2">
      <c r="B19" s="290">
        <v>6</v>
      </c>
      <c r="C19" s="295" t="s">
        <v>59</v>
      </c>
      <c r="D19" s="295"/>
      <c r="E19" s="295"/>
      <c r="F19" s="295"/>
      <c r="G19" s="131"/>
      <c r="H19" s="131"/>
      <c r="I19" s="60"/>
    </row>
    <row r="20" spans="2:9" x14ac:dyDescent="0.2">
      <c r="B20" s="290"/>
      <c r="C20" s="296"/>
      <c r="D20" s="296"/>
      <c r="E20" s="296"/>
      <c r="F20" s="296"/>
      <c r="G20" s="131"/>
      <c r="H20" s="131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</row>
    <row r="23" spans="2:9" x14ac:dyDescent="0.2">
      <c r="B23" s="248" t="s">
        <v>66</v>
      </c>
      <c r="C23" s="249"/>
      <c r="D23" s="249"/>
      <c r="E23" s="249"/>
      <c r="F23" s="249"/>
      <c r="G23" s="134"/>
      <c r="H23" s="135"/>
      <c r="I23" s="94"/>
    </row>
    <row r="24" spans="2:9" x14ac:dyDescent="0.2">
      <c r="B24" s="89">
        <v>1</v>
      </c>
      <c r="C24" s="222" t="s">
        <v>60</v>
      </c>
      <c r="D24" s="247"/>
      <c r="E24" s="247"/>
      <c r="F24" s="223"/>
      <c r="G24" s="133" t="s">
        <v>1</v>
      </c>
      <c r="H24" s="133" t="s">
        <v>49</v>
      </c>
      <c r="I24" s="94"/>
    </row>
    <row r="25" spans="2:9" ht="12.75" customHeight="1" x14ac:dyDescent="0.2">
      <c r="B25" s="16" t="s">
        <v>4</v>
      </c>
      <c r="C25" s="87" t="s">
        <v>17</v>
      </c>
      <c r="D25" s="244"/>
      <c r="E25" s="245"/>
      <c r="F25" s="246"/>
      <c r="G25" s="17"/>
      <c r="H25" s="34">
        <v>1516</v>
      </c>
      <c r="I25" s="100"/>
    </row>
    <row r="26" spans="2:9" x14ac:dyDescent="0.2">
      <c r="B26" s="16" t="s">
        <v>5</v>
      </c>
      <c r="C26" s="87" t="s">
        <v>24</v>
      </c>
      <c r="D26" s="244" t="s">
        <v>126</v>
      </c>
      <c r="E26" s="245"/>
      <c r="F26" s="246"/>
      <c r="G26" s="35"/>
      <c r="H26" s="18">
        <f>TRUNC(H$25*$G26,2)</f>
        <v>0</v>
      </c>
      <c r="I26" s="96"/>
    </row>
    <row r="27" spans="2:9" x14ac:dyDescent="0.2">
      <c r="B27" s="16" t="s">
        <v>6</v>
      </c>
      <c r="C27" s="88" t="s">
        <v>25</v>
      </c>
      <c r="D27" s="244" t="s">
        <v>168</v>
      </c>
      <c r="E27" s="245"/>
      <c r="F27" s="246"/>
      <c r="G27" s="35"/>
      <c r="H27" s="18">
        <f>TRUNC(H$25*$G27,2)</f>
        <v>0</v>
      </c>
      <c r="I27" s="96"/>
    </row>
    <row r="28" spans="2:9" x14ac:dyDescent="0.2">
      <c r="B28" s="16" t="s">
        <v>7</v>
      </c>
      <c r="C28" s="88" t="s">
        <v>0</v>
      </c>
      <c r="D28" s="244" t="s">
        <v>175</v>
      </c>
      <c r="E28" s="245"/>
      <c r="F28" s="246"/>
      <c r="G28" s="36"/>
      <c r="H28" s="65">
        <f>TRUNC(((H$25+H26)*$G28)/220*8*15,2)</f>
        <v>0</v>
      </c>
      <c r="I28" s="97"/>
    </row>
    <row r="29" spans="2:9" x14ac:dyDescent="0.2">
      <c r="B29" s="117" t="s">
        <v>8</v>
      </c>
      <c r="C29" s="118" t="s">
        <v>26</v>
      </c>
      <c r="D29" s="285" t="s">
        <v>175</v>
      </c>
      <c r="E29" s="286"/>
      <c r="F29" s="287"/>
      <c r="G29" s="119"/>
      <c r="H29" s="120">
        <f>TRUNC(((H25+H26)*$G29)/220*1*15,2)</f>
        <v>0</v>
      </c>
      <c r="I29" s="121" t="s">
        <v>180</v>
      </c>
    </row>
    <row r="30" spans="2:9" x14ac:dyDescent="0.2">
      <c r="B30" s="122" t="s">
        <v>9</v>
      </c>
      <c r="C30" s="118" t="s">
        <v>108</v>
      </c>
      <c r="D30" s="285" t="s">
        <v>176</v>
      </c>
      <c r="E30" s="286"/>
      <c r="F30" s="287"/>
      <c r="G30" s="123"/>
      <c r="H30" s="120">
        <f>TRUNC($G$33*H33*(1+$G$30),2)</f>
        <v>0</v>
      </c>
      <c r="I30" s="121" t="s">
        <v>180</v>
      </c>
    </row>
    <row r="31" spans="2:9" x14ac:dyDescent="0.2">
      <c r="B31" s="16" t="s">
        <v>127</v>
      </c>
      <c r="C31" s="222" t="s">
        <v>61</v>
      </c>
      <c r="D31" s="247"/>
      <c r="E31" s="247"/>
      <c r="F31" s="223"/>
      <c r="G31" s="30"/>
      <c r="H31" s="19">
        <f>SUM(H25:H30)</f>
        <v>1516</v>
      </c>
      <c r="I31" s="20"/>
    </row>
    <row r="32" spans="2:9" ht="22.5" x14ac:dyDescent="0.2">
      <c r="B32" s="93"/>
      <c r="C32" s="284" t="s">
        <v>117</v>
      </c>
      <c r="D32" s="284"/>
      <c r="E32" s="284"/>
      <c r="F32" s="284"/>
      <c r="G32" s="52" t="s">
        <v>109</v>
      </c>
      <c r="H32" s="51" t="s">
        <v>119</v>
      </c>
      <c r="I32" s="4"/>
    </row>
    <row r="33" spans="2:9" x14ac:dyDescent="0.2">
      <c r="B33" s="93"/>
      <c r="C33" s="284"/>
      <c r="D33" s="284"/>
      <c r="E33" s="284"/>
      <c r="F33" s="284"/>
      <c r="G33" s="50"/>
      <c r="H33" s="37">
        <f>IF($G$33="",0,TRUNC((H25+H26+H27)/220,2))</f>
        <v>0</v>
      </c>
      <c r="I33" s="99"/>
    </row>
    <row r="34" spans="2:9" x14ac:dyDescent="0.2">
      <c r="B34" s="93"/>
      <c r="C34" s="93"/>
      <c r="D34" s="93"/>
      <c r="E34" s="93"/>
      <c r="F34" s="93"/>
      <c r="G34" s="93"/>
      <c r="H34" s="66"/>
      <c r="I34" s="20"/>
    </row>
    <row r="35" spans="2:9" x14ac:dyDescent="0.2">
      <c r="B35" s="93"/>
      <c r="C35" s="93"/>
      <c r="D35" s="93"/>
      <c r="E35" s="93"/>
      <c r="F35" s="93"/>
      <c r="G35" s="93"/>
      <c r="H35" s="66"/>
      <c r="I35" s="20"/>
    </row>
    <row r="36" spans="2:9" ht="12.75" customHeight="1" x14ac:dyDescent="0.2">
      <c r="B36" s="248" t="s">
        <v>67</v>
      </c>
      <c r="C36" s="249"/>
      <c r="D36" s="249"/>
      <c r="E36" s="249"/>
      <c r="F36" s="249"/>
      <c r="G36" s="134"/>
      <c r="H36" s="135"/>
      <c r="I36" s="94"/>
    </row>
    <row r="37" spans="2:9" x14ac:dyDescent="0.2">
      <c r="B37" s="271"/>
      <c r="C37" s="272"/>
      <c r="D37" s="272"/>
      <c r="E37" s="272"/>
      <c r="F37" s="272"/>
      <c r="G37" s="58"/>
      <c r="H37" s="58"/>
      <c r="I37" s="94"/>
    </row>
    <row r="38" spans="2:9" x14ac:dyDescent="0.2">
      <c r="B38" s="270" t="s">
        <v>36</v>
      </c>
      <c r="C38" s="270"/>
      <c r="D38" s="270"/>
      <c r="E38" s="270"/>
      <c r="F38" s="270"/>
      <c r="G38" s="58"/>
      <c r="H38" s="58"/>
      <c r="I38" s="94"/>
    </row>
    <row r="39" spans="2:9" x14ac:dyDescent="0.2">
      <c r="B39" s="133" t="s">
        <v>38</v>
      </c>
      <c r="C39" s="278" t="s">
        <v>27</v>
      </c>
      <c r="D39" s="279"/>
      <c r="E39" s="279"/>
      <c r="F39" s="280"/>
      <c r="G39" s="89" t="s">
        <v>1</v>
      </c>
      <c r="H39" s="89" t="s">
        <v>49</v>
      </c>
      <c r="I39" s="94"/>
    </row>
    <row r="40" spans="2:9" x14ac:dyDescent="0.2">
      <c r="B40" s="16" t="s">
        <v>4</v>
      </c>
      <c r="C40" s="87" t="s">
        <v>111</v>
      </c>
      <c r="D40" s="244" t="s">
        <v>128</v>
      </c>
      <c r="E40" s="245"/>
      <c r="F40" s="246"/>
      <c r="G40" s="138">
        <f>1/12</f>
        <v>8.3333333333333329E-2</v>
      </c>
      <c r="H40" s="139">
        <f>TRUNC((H$31*$G40),2)</f>
        <v>126.33</v>
      </c>
      <c r="I40" s="100"/>
    </row>
    <row r="41" spans="2:9" x14ac:dyDescent="0.2">
      <c r="B41" s="16" t="s">
        <v>5</v>
      </c>
      <c r="C41" s="87" t="s">
        <v>65</v>
      </c>
      <c r="D41" s="244" t="s">
        <v>130</v>
      </c>
      <c r="E41" s="245"/>
      <c r="F41" s="246"/>
      <c r="G41" s="21">
        <f>(1/12)+(1/3/12)</f>
        <v>0.1111111111111111</v>
      </c>
      <c r="H41" s="22">
        <f>TRUNC((H$31*$G41),2)</f>
        <v>168.44</v>
      </c>
      <c r="I41" s="100"/>
    </row>
    <row r="42" spans="2:9" x14ac:dyDescent="0.2">
      <c r="B42" s="16" t="s">
        <v>129</v>
      </c>
      <c r="C42" s="222" t="s">
        <v>61</v>
      </c>
      <c r="D42" s="247"/>
      <c r="E42" s="247"/>
      <c r="F42" s="223"/>
      <c r="G42" s="23">
        <f>TRUNC(SUM(G40:G41),4)</f>
        <v>0.19439999999999999</v>
      </c>
      <c r="H42" s="19">
        <f>SUM(H40:H41)</f>
        <v>294.77</v>
      </c>
      <c r="I42" s="20"/>
    </row>
    <row r="43" spans="2:9" x14ac:dyDescent="0.2">
      <c r="B43" s="260"/>
      <c r="C43" s="259"/>
      <c r="D43" s="259"/>
      <c r="E43" s="259"/>
      <c r="F43" s="259"/>
      <c r="G43" s="259"/>
      <c r="H43" s="261"/>
      <c r="I43" s="93"/>
    </row>
    <row r="44" spans="2:9" ht="30" customHeight="1" x14ac:dyDescent="0.2">
      <c r="B44" s="264" t="s">
        <v>68</v>
      </c>
      <c r="C44" s="265"/>
      <c r="D44" s="265"/>
      <c r="E44" s="265"/>
      <c r="F44" s="266"/>
      <c r="G44" s="136"/>
      <c r="H44" s="137"/>
      <c r="I44" s="101"/>
    </row>
    <row r="45" spans="2:9" x14ac:dyDescent="0.2">
      <c r="B45" s="89" t="s">
        <v>39</v>
      </c>
      <c r="C45" s="222" t="s">
        <v>69</v>
      </c>
      <c r="D45" s="247"/>
      <c r="E45" s="247"/>
      <c r="F45" s="223"/>
      <c r="G45" s="89" t="s">
        <v>1</v>
      </c>
      <c r="H45" s="89" t="s">
        <v>49</v>
      </c>
      <c r="I45" s="94"/>
    </row>
    <row r="46" spans="2:9" x14ac:dyDescent="0.2">
      <c r="B46" s="16" t="s">
        <v>4</v>
      </c>
      <c r="C46" s="87" t="s">
        <v>30</v>
      </c>
      <c r="D46" s="244" t="s">
        <v>131</v>
      </c>
      <c r="E46" s="245"/>
      <c r="F46" s="246"/>
      <c r="G46" s="21">
        <v>0.2</v>
      </c>
      <c r="H46" s="22">
        <f>TRUNC((H$31+H$42)*$G46,2)</f>
        <v>362.15</v>
      </c>
      <c r="I46" s="100"/>
    </row>
    <row r="47" spans="2:9" x14ac:dyDescent="0.2">
      <c r="B47" s="16" t="s">
        <v>5</v>
      </c>
      <c r="C47" s="75" t="s">
        <v>31</v>
      </c>
      <c r="D47" s="244" t="s">
        <v>132</v>
      </c>
      <c r="E47" s="245"/>
      <c r="F47" s="246"/>
      <c r="G47" s="21">
        <v>2.5000000000000001E-2</v>
      </c>
      <c r="H47" s="22">
        <f>TRUNC((H$31+H$42)*$G47,2)</f>
        <v>45.26</v>
      </c>
      <c r="I47" s="100"/>
    </row>
    <row r="48" spans="2:9" x14ac:dyDescent="0.2">
      <c r="B48" s="273" t="s">
        <v>6</v>
      </c>
      <c r="C48" s="275" t="s">
        <v>102</v>
      </c>
      <c r="D48" s="277" t="s">
        <v>138</v>
      </c>
      <c r="E48" s="10" t="s">
        <v>103</v>
      </c>
      <c r="F48" s="10" t="s">
        <v>101</v>
      </c>
      <c r="G48" s="281">
        <f>E49*F49</f>
        <v>0.03</v>
      </c>
      <c r="H48" s="283">
        <f>TRUNC((H$31+H$42)*$G48,2)</f>
        <v>54.32</v>
      </c>
      <c r="I48" s="103"/>
    </row>
    <row r="49" spans="2:9" x14ac:dyDescent="0.2">
      <c r="B49" s="274"/>
      <c r="C49" s="276"/>
      <c r="D49" s="277"/>
      <c r="E49" s="38">
        <v>0.03</v>
      </c>
      <c r="F49" s="39">
        <v>1</v>
      </c>
      <c r="G49" s="282"/>
      <c r="H49" s="283"/>
      <c r="I49" s="103"/>
    </row>
    <row r="50" spans="2:9" x14ac:dyDescent="0.2">
      <c r="B50" s="16" t="s">
        <v>7</v>
      </c>
      <c r="C50" s="87" t="s">
        <v>29</v>
      </c>
      <c r="D50" s="244" t="s">
        <v>133</v>
      </c>
      <c r="E50" s="245"/>
      <c r="F50" s="246"/>
      <c r="G50" s="21">
        <v>1.4999999999999999E-2</v>
      </c>
      <c r="H50" s="22">
        <f>TRUNC((H$31+H$42)*$G50,2)</f>
        <v>27.16</v>
      </c>
      <c r="I50" s="100"/>
    </row>
    <row r="51" spans="2:9" x14ac:dyDescent="0.2">
      <c r="B51" s="16" t="s">
        <v>8</v>
      </c>
      <c r="C51" s="87" t="s">
        <v>32</v>
      </c>
      <c r="D51" s="244" t="s">
        <v>134</v>
      </c>
      <c r="E51" s="245"/>
      <c r="F51" s="246"/>
      <c r="G51" s="21">
        <v>0.01</v>
      </c>
      <c r="H51" s="22">
        <f>TRUNC((H$31+H$42)*$G51,2)</f>
        <v>18.100000000000001</v>
      </c>
      <c r="I51" s="100"/>
    </row>
    <row r="52" spans="2:9" x14ac:dyDescent="0.2">
      <c r="B52" s="16" t="s">
        <v>9</v>
      </c>
      <c r="C52" s="87" t="s">
        <v>33</v>
      </c>
      <c r="D52" s="244" t="s">
        <v>135</v>
      </c>
      <c r="E52" s="245"/>
      <c r="F52" s="246"/>
      <c r="G52" s="21">
        <v>6.0000000000000001E-3</v>
      </c>
      <c r="H52" s="22">
        <f>TRUNC((H$31+H$42)*$G52,2)</f>
        <v>10.86</v>
      </c>
      <c r="I52" s="100"/>
    </row>
    <row r="53" spans="2:9" x14ac:dyDescent="0.2">
      <c r="B53" s="16" t="s">
        <v>10</v>
      </c>
      <c r="C53" s="87" t="s">
        <v>34</v>
      </c>
      <c r="D53" s="244" t="s">
        <v>136</v>
      </c>
      <c r="E53" s="245"/>
      <c r="F53" s="246"/>
      <c r="G53" s="21">
        <v>2E-3</v>
      </c>
      <c r="H53" s="22">
        <f>TRUNC((H$31+H$42)*$G53,2)</f>
        <v>3.62</v>
      </c>
      <c r="I53" s="100"/>
    </row>
    <row r="54" spans="2:9" x14ac:dyDescent="0.2">
      <c r="B54" s="16" t="s">
        <v>11</v>
      </c>
      <c r="C54" s="87" t="s">
        <v>35</v>
      </c>
      <c r="D54" s="244" t="s">
        <v>137</v>
      </c>
      <c r="E54" s="245"/>
      <c r="F54" s="246"/>
      <c r="G54" s="21">
        <v>0.08</v>
      </c>
      <c r="H54" s="22">
        <f>TRUNC((H$31+H$42)*$G54,2)</f>
        <v>144.86000000000001</v>
      </c>
      <c r="I54" s="100"/>
    </row>
    <row r="55" spans="2:9" x14ac:dyDescent="0.2">
      <c r="B55" s="16" t="s">
        <v>139</v>
      </c>
      <c r="C55" s="222" t="s">
        <v>61</v>
      </c>
      <c r="D55" s="247"/>
      <c r="E55" s="247"/>
      <c r="F55" s="223"/>
      <c r="G55" s="24">
        <f>SUM(G46:G54)</f>
        <v>0.36800000000000005</v>
      </c>
      <c r="H55" s="19">
        <f>SUM(H46:H54)</f>
        <v>666.33</v>
      </c>
      <c r="I55" s="20"/>
    </row>
    <row r="56" spans="2:9" x14ac:dyDescent="0.2">
      <c r="B56" s="267"/>
      <c r="C56" s="268"/>
      <c r="D56" s="268"/>
      <c r="E56" s="268"/>
      <c r="F56" s="268"/>
      <c r="G56" s="268"/>
      <c r="H56" s="269"/>
      <c r="I56" s="112"/>
    </row>
    <row r="57" spans="2:9" ht="12.75" customHeight="1" x14ac:dyDescent="0.2">
      <c r="B57" s="264" t="s">
        <v>37</v>
      </c>
      <c r="C57" s="265"/>
      <c r="D57" s="265"/>
      <c r="E57" s="265"/>
      <c r="F57" s="266"/>
      <c r="G57" s="136"/>
      <c r="H57" s="137"/>
      <c r="I57" s="112"/>
    </row>
    <row r="58" spans="2:9" x14ac:dyDescent="0.2">
      <c r="B58" s="89" t="s">
        <v>40</v>
      </c>
      <c r="C58" s="222" t="s">
        <v>41</v>
      </c>
      <c r="D58" s="247"/>
      <c r="E58" s="247"/>
      <c r="F58" s="247"/>
      <c r="G58" s="76"/>
      <c r="H58" s="89" t="s">
        <v>49</v>
      </c>
      <c r="I58" s="94"/>
    </row>
    <row r="59" spans="2:9" ht="12.75" customHeight="1" x14ac:dyDescent="0.2">
      <c r="B59" s="16" t="s">
        <v>4</v>
      </c>
      <c r="C59" s="87" t="s">
        <v>47</v>
      </c>
      <c r="D59" s="159" t="s">
        <v>142</v>
      </c>
      <c r="E59" s="160"/>
      <c r="F59" s="160"/>
      <c r="G59" s="161"/>
      <c r="H59" s="40">
        <f>TRUNC((8.55*2*22)-(H$25*6%),2)</f>
        <v>285.24</v>
      </c>
      <c r="I59" s="113"/>
    </row>
    <row r="60" spans="2:9" ht="12.75" customHeight="1" x14ac:dyDescent="0.2">
      <c r="B60" s="16" t="s">
        <v>5</v>
      </c>
      <c r="C60" s="87" t="s">
        <v>48</v>
      </c>
      <c r="D60" s="159" t="s">
        <v>345</v>
      </c>
      <c r="E60" s="160"/>
      <c r="F60" s="160"/>
      <c r="G60" s="161"/>
      <c r="H60" s="40">
        <f>22.5*22*0.9</f>
        <v>445.5</v>
      </c>
      <c r="I60" s="113"/>
    </row>
    <row r="61" spans="2:9" x14ac:dyDescent="0.2">
      <c r="B61" s="16" t="s">
        <v>6</v>
      </c>
      <c r="C61" s="87" t="s">
        <v>196</v>
      </c>
      <c r="D61" s="159" t="s">
        <v>197</v>
      </c>
      <c r="E61" s="160"/>
      <c r="F61" s="160"/>
      <c r="G61" s="161"/>
      <c r="H61" s="40">
        <v>19</v>
      </c>
      <c r="I61" s="113"/>
    </row>
    <row r="62" spans="2:9" s="67" customFormat="1" x14ac:dyDescent="0.2">
      <c r="B62" s="16" t="s">
        <v>7</v>
      </c>
      <c r="C62" s="87" t="s">
        <v>2</v>
      </c>
      <c r="D62" s="159"/>
      <c r="E62" s="160"/>
      <c r="F62" s="160"/>
      <c r="G62" s="161"/>
      <c r="H62" s="40"/>
      <c r="I62" s="113"/>
    </row>
    <row r="63" spans="2:9" x14ac:dyDescent="0.2">
      <c r="B63" s="16" t="s">
        <v>140</v>
      </c>
      <c r="C63" s="222" t="s">
        <v>61</v>
      </c>
      <c r="D63" s="247"/>
      <c r="E63" s="247"/>
      <c r="F63" s="247"/>
      <c r="G63" s="76"/>
      <c r="H63" s="19">
        <f>SUM(H59:H62)</f>
        <v>749.74</v>
      </c>
      <c r="I63" s="20"/>
    </row>
    <row r="64" spans="2:9" x14ac:dyDescent="0.2">
      <c r="B64" s="260"/>
      <c r="C64" s="259"/>
      <c r="D64" s="259"/>
      <c r="E64" s="259"/>
      <c r="F64" s="259"/>
      <c r="G64" s="259"/>
      <c r="H64" s="261"/>
      <c r="I64" s="93"/>
    </row>
    <row r="65" spans="2:9" x14ac:dyDescent="0.2">
      <c r="B65" s="257" t="s">
        <v>71</v>
      </c>
      <c r="C65" s="258"/>
      <c r="D65" s="258"/>
      <c r="E65" s="258"/>
      <c r="F65" s="258"/>
      <c r="G65" s="140"/>
      <c r="H65" s="140"/>
      <c r="I65" s="93"/>
    </row>
    <row r="66" spans="2:9" x14ac:dyDescent="0.2">
      <c r="B66" s="89">
        <v>2</v>
      </c>
      <c r="C66" s="222" t="s">
        <v>70</v>
      </c>
      <c r="D66" s="247"/>
      <c r="E66" s="247"/>
      <c r="F66" s="247"/>
      <c r="G66" s="76"/>
      <c r="H66" s="89" t="s">
        <v>49</v>
      </c>
      <c r="I66" s="94"/>
    </row>
    <row r="67" spans="2:9" x14ac:dyDescent="0.2">
      <c r="B67" s="16" t="s">
        <v>38</v>
      </c>
      <c r="C67" s="77" t="s">
        <v>27</v>
      </c>
      <c r="D67" s="159" t="s">
        <v>129</v>
      </c>
      <c r="E67" s="160"/>
      <c r="F67" s="160"/>
      <c r="G67" s="161"/>
      <c r="H67" s="22">
        <f>H42</f>
        <v>294.77</v>
      </c>
      <c r="I67" s="100"/>
    </row>
    <row r="68" spans="2:9" x14ac:dyDescent="0.2">
      <c r="B68" s="16" t="s">
        <v>39</v>
      </c>
      <c r="C68" s="77" t="s">
        <v>28</v>
      </c>
      <c r="D68" s="159" t="s">
        <v>139</v>
      </c>
      <c r="E68" s="160"/>
      <c r="F68" s="160"/>
      <c r="G68" s="161"/>
      <c r="H68" s="22">
        <f>H55</f>
        <v>666.33</v>
      </c>
      <c r="I68" s="100"/>
    </row>
    <row r="69" spans="2:9" x14ac:dyDescent="0.2">
      <c r="B69" s="16" t="s">
        <v>40</v>
      </c>
      <c r="C69" s="77" t="s">
        <v>41</v>
      </c>
      <c r="D69" s="159" t="s">
        <v>140</v>
      </c>
      <c r="E69" s="160"/>
      <c r="F69" s="160"/>
      <c r="G69" s="161"/>
      <c r="H69" s="22">
        <f>H63</f>
        <v>749.74</v>
      </c>
      <c r="I69" s="100"/>
    </row>
    <row r="70" spans="2:9" x14ac:dyDescent="0.2">
      <c r="B70" s="16" t="s">
        <v>141</v>
      </c>
      <c r="C70" s="222" t="s">
        <v>61</v>
      </c>
      <c r="D70" s="247"/>
      <c r="E70" s="247"/>
      <c r="F70" s="247"/>
      <c r="G70" s="76"/>
      <c r="H70" s="19">
        <f>SUM(H67:H69)</f>
        <v>1710.8400000000001</v>
      </c>
      <c r="I70" s="20"/>
    </row>
    <row r="71" spans="2:9" x14ac:dyDescent="0.2">
      <c r="B71" s="259"/>
      <c r="C71" s="259"/>
      <c r="D71" s="259"/>
      <c r="E71" s="259"/>
      <c r="F71" s="259"/>
      <c r="G71" s="259"/>
      <c r="H71" s="259"/>
      <c r="I71" s="94"/>
    </row>
    <row r="72" spans="2:9" x14ac:dyDescent="0.2">
      <c r="B72" s="93"/>
      <c r="C72" s="93"/>
      <c r="D72" s="93"/>
      <c r="E72" s="93"/>
      <c r="F72" s="93"/>
      <c r="G72" s="93"/>
      <c r="H72" s="93"/>
      <c r="I72" s="94"/>
    </row>
    <row r="73" spans="2:9" x14ac:dyDescent="0.2">
      <c r="B73" s="248" t="s">
        <v>72</v>
      </c>
      <c r="C73" s="249"/>
      <c r="D73" s="249"/>
      <c r="E73" s="249"/>
      <c r="F73" s="256"/>
      <c r="G73" s="134"/>
      <c r="H73" s="135"/>
      <c r="I73" s="94"/>
    </row>
    <row r="74" spans="2:9" x14ac:dyDescent="0.2">
      <c r="B74" s="89">
        <v>3</v>
      </c>
      <c r="C74" s="222" t="s">
        <v>62</v>
      </c>
      <c r="D74" s="247"/>
      <c r="E74" s="247"/>
      <c r="F74" s="223"/>
      <c r="G74" s="89" t="s">
        <v>1</v>
      </c>
      <c r="H74" s="89" t="s">
        <v>49</v>
      </c>
      <c r="I74" s="94"/>
    </row>
    <row r="75" spans="2:9" x14ac:dyDescent="0.2">
      <c r="B75" s="16" t="s">
        <v>4</v>
      </c>
      <c r="C75" s="78" t="s">
        <v>96</v>
      </c>
      <c r="D75" s="159" t="s">
        <v>157</v>
      </c>
      <c r="E75" s="160"/>
      <c r="F75" s="161"/>
      <c r="G75" s="41">
        <v>1</v>
      </c>
      <c r="H75" s="25">
        <f>TRUNC((H$76+H$77)*$G75,2)</f>
        <v>259.61</v>
      </c>
      <c r="I75" s="20"/>
    </row>
    <row r="76" spans="2:9" x14ac:dyDescent="0.2">
      <c r="B76" s="16" t="s">
        <v>5</v>
      </c>
      <c r="C76" s="87" t="s">
        <v>97</v>
      </c>
      <c r="D76" s="159" t="s">
        <v>177</v>
      </c>
      <c r="E76" s="160"/>
      <c r="F76" s="161"/>
      <c r="G76" s="26"/>
      <c r="H76" s="22">
        <f>TRUNC((H$31+H$42+H$54+H$63-H59)/12,2)</f>
        <v>201.67</v>
      </c>
      <c r="I76" s="100"/>
    </row>
    <row r="77" spans="2:9" x14ac:dyDescent="0.2">
      <c r="B77" s="16" t="s">
        <v>6</v>
      </c>
      <c r="C77" s="87" t="s">
        <v>98</v>
      </c>
      <c r="D77" s="244" t="s">
        <v>169</v>
      </c>
      <c r="E77" s="246"/>
      <c r="F77" s="43">
        <v>0.4</v>
      </c>
      <c r="G77" s="26"/>
      <c r="H77" s="22">
        <f>TRUNC(H$54*$F77,2)</f>
        <v>57.94</v>
      </c>
      <c r="I77" s="100"/>
    </row>
    <row r="78" spans="2:9" x14ac:dyDescent="0.2">
      <c r="B78" s="16" t="s">
        <v>7</v>
      </c>
      <c r="C78" s="78" t="s">
        <v>99</v>
      </c>
      <c r="D78" s="159" t="s">
        <v>158</v>
      </c>
      <c r="E78" s="160"/>
      <c r="F78" s="161"/>
      <c r="G78" s="41">
        <v>1</v>
      </c>
      <c r="H78" s="81">
        <f>IF($G78&gt;=1,(TRUNC(H$79*$G78,2)),"ERRO")</f>
        <v>57.94</v>
      </c>
      <c r="I78" s="102"/>
    </row>
    <row r="79" spans="2:9" x14ac:dyDescent="0.2">
      <c r="B79" s="16" t="s">
        <v>8</v>
      </c>
      <c r="C79" s="87" t="s">
        <v>100</v>
      </c>
      <c r="D79" s="244" t="s">
        <v>169</v>
      </c>
      <c r="E79" s="246"/>
      <c r="F79" s="43">
        <v>0.4</v>
      </c>
      <c r="G79" s="26"/>
      <c r="H79" s="22">
        <f>TRUNC(H$54*$F79,2)</f>
        <v>57.94</v>
      </c>
      <c r="I79" s="100"/>
    </row>
    <row r="80" spans="2:9" x14ac:dyDescent="0.2">
      <c r="B80" s="16" t="s">
        <v>9</v>
      </c>
      <c r="C80" s="78" t="s">
        <v>174</v>
      </c>
      <c r="D80" s="262" t="s">
        <v>355</v>
      </c>
      <c r="E80" s="263"/>
      <c r="F80" s="42">
        <v>12</v>
      </c>
      <c r="G80" s="216">
        <v>3</v>
      </c>
      <c r="H80" s="22">
        <f>TRUNC(((H$31+H$42+H$55)/30)*$G80/$F80,2)</f>
        <v>20.64</v>
      </c>
      <c r="I80" s="100"/>
    </row>
    <row r="81" spans="2:9" x14ac:dyDescent="0.2">
      <c r="B81" s="16" t="s">
        <v>144</v>
      </c>
      <c r="C81" s="222" t="s">
        <v>61</v>
      </c>
      <c r="D81" s="247"/>
      <c r="E81" s="247"/>
      <c r="F81" s="247"/>
      <c r="G81" s="76"/>
      <c r="H81" s="19">
        <f>H$75+H$78+H$80</f>
        <v>338.19</v>
      </c>
      <c r="I81" s="20"/>
    </row>
    <row r="82" spans="2:9" x14ac:dyDescent="0.2">
      <c r="B82" s="90"/>
      <c r="C82" s="90"/>
      <c r="D82" s="90"/>
      <c r="E82" s="90"/>
      <c r="F82" s="90"/>
      <c r="G82" s="90"/>
      <c r="H82" s="90"/>
      <c r="I82" s="90"/>
    </row>
    <row r="83" spans="2:9" x14ac:dyDescent="0.2">
      <c r="B83" s="93"/>
      <c r="C83" s="93"/>
      <c r="D83" s="93"/>
      <c r="E83" s="93"/>
      <c r="F83" s="93"/>
      <c r="G83" s="93"/>
      <c r="H83" s="93"/>
      <c r="I83" s="94"/>
    </row>
    <row r="84" spans="2:9" x14ac:dyDescent="0.2">
      <c r="B84" s="248" t="s">
        <v>73</v>
      </c>
      <c r="C84" s="249"/>
      <c r="D84" s="249"/>
      <c r="E84" s="249"/>
      <c r="F84" s="256"/>
      <c r="G84" s="134"/>
      <c r="H84" s="135"/>
      <c r="I84" s="94"/>
    </row>
    <row r="85" spans="2:9" x14ac:dyDescent="0.2">
      <c r="B85" s="253" t="s">
        <v>90</v>
      </c>
      <c r="C85" s="254"/>
      <c r="D85" s="254"/>
      <c r="E85" s="254"/>
      <c r="F85" s="254"/>
      <c r="G85" s="141"/>
      <c r="H85" s="142"/>
      <c r="I85" s="94"/>
    </row>
    <row r="86" spans="2:9" x14ac:dyDescent="0.2">
      <c r="B86" s="89" t="s">
        <v>14</v>
      </c>
      <c r="C86" s="222" t="s">
        <v>91</v>
      </c>
      <c r="D86" s="247"/>
      <c r="E86" s="247"/>
      <c r="F86" s="223"/>
      <c r="G86" s="89" t="s">
        <v>104</v>
      </c>
      <c r="H86" s="89" t="s">
        <v>49</v>
      </c>
      <c r="I86" s="94"/>
    </row>
    <row r="87" spans="2:9" x14ac:dyDescent="0.2">
      <c r="B87" s="16" t="s">
        <v>4</v>
      </c>
      <c r="C87" s="87" t="s">
        <v>110</v>
      </c>
      <c r="D87" s="159" t="s">
        <v>150</v>
      </c>
      <c r="E87" s="160"/>
      <c r="F87" s="161"/>
      <c r="G87" s="42">
        <v>30</v>
      </c>
      <c r="H87" s="22">
        <f>TRUNC((H$89*$G87)/12,2)</f>
        <v>297.07</v>
      </c>
      <c r="I87" s="100"/>
    </row>
    <row r="88" spans="2:9" ht="22.5" x14ac:dyDescent="0.2">
      <c r="B88" s="16" t="s">
        <v>5</v>
      </c>
      <c r="C88" s="79" t="s">
        <v>156</v>
      </c>
      <c r="D88" s="162" t="s">
        <v>159</v>
      </c>
      <c r="E88" s="163"/>
      <c r="F88" s="164"/>
      <c r="G88" s="57">
        <v>8</v>
      </c>
      <c r="H88" s="22">
        <f>TRUNC((H$89*$G88)/12,2)</f>
        <v>79.22</v>
      </c>
      <c r="I88" s="100"/>
    </row>
    <row r="89" spans="2:9" x14ac:dyDescent="0.2">
      <c r="B89" s="16" t="s">
        <v>6</v>
      </c>
      <c r="C89" s="87" t="s">
        <v>112</v>
      </c>
      <c r="D89" s="159" t="s">
        <v>143</v>
      </c>
      <c r="E89" s="160"/>
      <c r="F89" s="160"/>
      <c r="G89" s="161"/>
      <c r="H89" s="22">
        <f>TRUNC((H$31+H$70+H$81)/30,2)</f>
        <v>118.83</v>
      </c>
      <c r="I89" s="100"/>
    </row>
    <row r="90" spans="2:9" x14ac:dyDescent="0.2">
      <c r="B90" s="16" t="s">
        <v>145</v>
      </c>
      <c r="C90" s="222" t="s">
        <v>61</v>
      </c>
      <c r="D90" s="247"/>
      <c r="E90" s="247"/>
      <c r="F90" s="247"/>
      <c r="G90" s="76"/>
      <c r="H90" s="19">
        <f>TRUNC(H$87+H$88,2)</f>
        <v>376.29</v>
      </c>
      <c r="I90" s="20"/>
    </row>
    <row r="91" spans="2:9" x14ac:dyDescent="0.2">
      <c r="B91" s="68"/>
      <c r="C91" s="69"/>
      <c r="D91" s="69"/>
      <c r="E91" s="69"/>
      <c r="F91" s="69"/>
      <c r="G91" s="69"/>
      <c r="H91" s="70"/>
      <c r="I91" s="27"/>
    </row>
    <row r="92" spans="2:9" x14ac:dyDescent="0.2">
      <c r="B92" s="257" t="s">
        <v>92</v>
      </c>
      <c r="C92" s="258"/>
      <c r="D92" s="258"/>
      <c r="E92" s="258"/>
      <c r="F92" s="258"/>
      <c r="G92" s="143"/>
      <c r="H92" s="144"/>
      <c r="I92" s="94"/>
    </row>
    <row r="93" spans="2:9" x14ac:dyDescent="0.2">
      <c r="B93" s="89" t="s">
        <v>15</v>
      </c>
      <c r="C93" s="222" t="s">
        <v>93</v>
      </c>
      <c r="D93" s="247"/>
      <c r="E93" s="247"/>
      <c r="F93" s="223"/>
      <c r="G93" s="89" t="s">
        <v>104</v>
      </c>
      <c r="H93" s="89" t="s">
        <v>49</v>
      </c>
      <c r="I93" s="94"/>
    </row>
    <row r="94" spans="2:9" ht="22.5" x14ac:dyDescent="0.2">
      <c r="B94" s="16" t="s">
        <v>4</v>
      </c>
      <c r="C94" s="79" t="s">
        <v>94</v>
      </c>
      <c r="D94" s="159" t="s">
        <v>179</v>
      </c>
      <c r="E94" s="160"/>
      <c r="F94" s="160"/>
      <c r="G94" s="42"/>
      <c r="H94" s="22">
        <f>TRUNC(((H$31+H70+H81)/220)*(1+50%)*G94,2)</f>
        <v>0</v>
      </c>
      <c r="I94" s="100"/>
    </row>
    <row r="95" spans="2:9" x14ac:dyDescent="0.2">
      <c r="B95" s="16" t="s">
        <v>146</v>
      </c>
      <c r="C95" s="222" t="s">
        <v>61</v>
      </c>
      <c r="D95" s="247"/>
      <c r="E95" s="247"/>
      <c r="F95" s="247"/>
      <c r="G95" s="126"/>
      <c r="H95" s="19">
        <f>H94</f>
        <v>0</v>
      </c>
      <c r="I95" s="100"/>
    </row>
    <row r="96" spans="2:9" x14ac:dyDescent="0.2">
      <c r="B96" s="92"/>
      <c r="C96" s="91"/>
      <c r="D96" s="91"/>
      <c r="E96" s="91"/>
      <c r="F96" s="91"/>
      <c r="G96" s="93"/>
      <c r="H96" s="158"/>
      <c r="I96" s="116"/>
    </row>
    <row r="97" spans="2:9" x14ac:dyDescent="0.2">
      <c r="B97" s="257" t="s">
        <v>74</v>
      </c>
      <c r="C97" s="258"/>
      <c r="D97" s="258"/>
      <c r="E97" s="258"/>
      <c r="F97" s="258"/>
      <c r="G97" s="143"/>
      <c r="H97" s="144"/>
      <c r="I97" s="94"/>
    </row>
    <row r="98" spans="2:9" x14ac:dyDescent="0.2">
      <c r="B98" s="89">
        <v>4</v>
      </c>
      <c r="C98" s="222" t="s">
        <v>75</v>
      </c>
      <c r="D98" s="247"/>
      <c r="E98" s="247"/>
      <c r="F98" s="247"/>
      <c r="G98" s="223"/>
      <c r="H98" s="89" t="s">
        <v>49</v>
      </c>
      <c r="I98" s="94"/>
    </row>
    <row r="99" spans="2:9" x14ac:dyDescent="0.2">
      <c r="B99" s="16" t="s">
        <v>14</v>
      </c>
      <c r="C99" s="87" t="s">
        <v>42</v>
      </c>
      <c r="D99" s="159" t="s">
        <v>145</v>
      </c>
      <c r="E99" s="160"/>
      <c r="F99" s="160"/>
      <c r="G99" s="161"/>
      <c r="H99" s="22">
        <f>H90</f>
        <v>376.29</v>
      </c>
      <c r="I99" s="100"/>
    </row>
    <row r="100" spans="2:9" x14ac:dyDescent="0.2">
      <c r="B100" s="16" t="s">
        <v>15</v>
      </c>
      <c r="C100" s="87" t="s">
        <v>44</v>
      </c>
      <c r="D100" s="159" t="s">
        <v>146</v>
      </c>
      <c r="E100" s="160"/>
      <c r="F100" s="160"/>
      <c r="G100" s="161"/>
      <c r="H100" s="22">
        <f>H95</f>
        <v>0</v>
      </c>
      <c r="I100" s="100"/>
    </row>
    <row r="101" spans="2:9" x14ac:dyDescent="0.2">
      <c r="B101" s="16" t="s">
        <v>147</v>
      </c>
      <c r="C101" s="222" t="s">
        <v>61</v>
      </c>
      <c r="D101" s="247"/>
      <c r="E101" s="247"/>
      <c r="F101" s="247"/>
      <c r="G101" s="76"/>
      <c r="H101" s="19">
        <f>SUM(H99:H100)</f>
        <v>376.29</v>
      </c>
      <c r="I101" s="20"/>
    </row>
    <row r="102" spans="2:9" x14ac:dyDescent="0.2">
      <c r="B102" s="93"/>
      <c r="C102" s="93"/>
      <c r="D102" s="93"/>
      <c r="E102" s="93"/>
      <c r="F102" s="93"/>
      <c r="G102" s="93"/>
      <c r="H102" s="93"/>
      <c r="I102" s="94"/>
    </row>
    <row r="103" spans="2:9" x14ac:dyDescent="0.2">
      <c r="B103" s="93"/>
      <c r="C103" s="93"/>
      <c r="D103" s="93"/>
      <c r="E103" s="93"/>
      <c r="F103" s="93"/>
      <c r="G103" s="93"/>
      <c r="H103" s="93"/>
      <c r="I103" s="94"/>
    </row>
    <row r="104" spans="2:9" x14ac:dyDescent="0.2">
      <c r="B104" s="253" t="s">
        <v>76</v>
      </c>
      <c r="C104" s="254"/>
      <c r="D104" s="254"/>
      <c r="E104" s="254"/>
      <c r="F104" s="255"/>
      <c r="G104" s="78"/>
      <c r="H104" s="214"/>
      <c r="I104" s="94"/>
    </row>
    <row r="105" spans="2:9" x14ac:dyDescent="0.2">
      <c r="B105" s="16">
        <v>5</v>
      </c>
      <c r="C105" s="250" t="s">
        <v>63</v>
      </c>
      <c r="D105" s="251"/>
      <c r="E105" s="251"/>
      <c r="F105" s="251"/>
      <c r="G105" s="252"/>
      <c r="H105" s="16" t="s">
        <v>49</v>
      </c>
      <c r="I105" s="94"/>
    </row>
    <row r="106" spans="2:9" x14ac:dyDescent="0.2">
      <c r="B106" s="16" t="s">
        <v>4</v>
      </c>
      <c r="C106" s="87" t="s">
        <v>45</v>
      </c>
      <c r="D106" s="88"/>
      <c r="E106" s="88"/>
      <c r="F106" s="88"/>
      <c r="G106" s="215"/>
      <c r="H106" s="22">
        <f>Uniformes!D49</f>
        <v>7.6267543859649125</v>
      </c>
      <c r="I106" s="100"/>
    </row>
    <row r="107" spans="2:9" x14ac:dyDescent="0.2">
      <c r="B107" s="16" t="s">
        <v>5</v>
      </c>
      <c r="C107" s="87" t="s">
        <v>12</v>
      </c>
      <c r="D107" s="88"/>
      <c r="E107" s="88"/>
      <c r="F107" s="88"/>
      <c r="G107" s="215"/>
      <c r="H107" s="22">
        <f>Materiais!E59</f>
        <v>1956.9647368421054</v>
      </c>
      <c r="I107" s="100"/>
    </row>
    <row r="108" spans="2:9" x14ac:dyDescent="0.2">
      <c r="B108" s="16" t="s">
        <v>6</v>
      </c>
      <c r="C108" s="87" t="s">
        <v>13</v>
      </c>
      <c r="D108" s="88"/>
      <c r="E108" s="88"/>
      <c r="F108" s="88"/>
      <c r="G108" s="215"/>
      <c r="H108" s="22">
        <f>Equipamentos!F11</f>
        <v>17.909157894736843</v>
      </c>
      <c r="I108" s="100"/>
    </row>
    <row r="109" spans="2:9" x14ac:dyDescent="0.2">
      <c r="B109" s="16" t="s">
        <v>7</v>
      </c>
      <c r="C109" s="87" t="s">
        <v>2</v>
      </c>
      <c r="D109" s="88"/>
      <c r="E109" s="88"/>
      <c r="F109" s="88"/>
      <c r="G109" s="215"/>
      <c r="H109" s="22"/>
      <c r="I109" s="100"/>
    </row>
    <row r="110" spans="2:9" x14ac:dyDescent="0.2">
      <c r="B110" s="16" t="s">
        <v>148</v>
      </c>
      <c r="C110" s="253" t="s">
        <v>61</v>
      </c>
      <c r="D110" s="254"/>
      <c r="E110" s="254"/>
      <c r="F110" s="254"/>
      <c r="G110" s="214"/>
      <c r="H110" s="25">
        <f>SUM(H106:H109)</f>
        <v>1982.5006491228071</v>
      </c>
      <c r="I110" s="20"/>
    </row>
    <row r="111" spans="2:9" x14ac:dyDescent="0.2">
      <c r="B111" s="93"/>
      <c r="C111" s="93"/>
      <c r="D111" s="93"/>
      <c r="E111" s="93"/>
      <c r="F111" s="93"/>
      <c r="G111" s="71"/>
      <c r="H111" s="66"/>
      <c r="I111" s="20"/>
    </row>
    <row r="112" spans="2:9" x14ac:dyDescent="0.2">
      <c r="B112" s="93"/>
      <c r="C112" s="93"/>
      <c r="D112" s="93"/>
      <c r="E112" s="93"/>
      <c r="F112" s="93"/>
      <c r="G112" s="93"/>
      <c r="H112" s="93"/>
      <c r="I112" s="94"/>
    </row>
    <row r="113" spans="2:9" x14ac:dyDescent="0.2">
      <c r="B113" s="248" t="s">
        <v>77</v>
      </c>
      <c r="C113" s="249"/>
      <c r="D113" s="249"/>
      <c r="E113" s="249"/>
      <c r="F113" s="256"/>
      <c r="G113" s="134"/>
      <c r="H113" s="135"/>
      <c r="I113" s="94"/>
    </row>
    <row r="114" spans="2:9" x14ac:dyDescent="0.2">
      <c r="B114" s="89">
        <v>6</v>
      </c>
      <c r="C114" s="222" t="s">
        <v>64</v>
      </c>
      <c r="D114" s="247"/>
      <c r="E114" s="247"/>
      <c r="F114" s="223"/>
      <c r="G114" s="89" t="s">
        <v>1</v>
      </c>
      <c r="H114" s="89" t="s">
        <v>49</v>
      </c>
      <c r="I114" s="94"/>
    </row>
    <row r="115" spans="2:9" x14ac:dyDescent="0.2">
      <c r="B115" s="16" t="s">
        <v>4</v>
      </c>
      <c r="C115" s="87" t="s">
        <v>16</v>
      </c>
      <c r="D115" s="244" t="s">
        <v>160</v>
      </c>
      <c r="E115" s="245"/>
      <c r="F115" s="246"/>
      <c r="G115" s="46">
        <v>0.05</v>
      </c>
      <c r="H115" s="22">
        <f>TRUNC(H$132*$G115,2)</f>
        <v>296.19</v>
      </c>
      <c r="I115" s="100"/>
    </row>
    <row r="116" spans="2:9" x14ac:dyDescent="0.2">
      <c r="B116" s="16" t="s">
        <v>5</v>
      </c>
      <c r="C116" s="87" t="s">
        <v>3</v>
      </c>
      <c r="D116" s="244" t="s">
        <v>161</v>
      </c>
      <c r="E116" s="245"/>
      <c r="F116" s="246"/>
      <c r="G116" s="46">
        <v>0.1</v>
      </c>
      <c r="H116" s="22">
        <f>TRUNC((H$132+H$115)*$G116,2)</f>
        <v>622</v>
      </c>
      <c r="I116" s="100"/>
    </row>
    <row r="117" spans="2:9" x14ac:dyDescent="0.2">
      <c r="B117" s="16" t="s">
        <v>6</v>
      </c>
      <c r="C117" s="87" t="s">
        <v>115</v>
      </c>
      <c r="D117" s="244" t="s">
        <v>162</v>
      </c>
      <c r="E117" s="245"/>
      <c r="F117" s="246"/>
      <c r="G117" s="48">
        <f>1-(G118+G119+G120)</f>
        <v>0.85749999999999993</v>
      </c>
      <c r="H117" s="28">
        <f>TRUNC(((H$132+H$115+H$116)/$G117),2)</f>
        <v>7979.02</v>
      </c>
      <c r="I117" s="103"/>
    </row>
    <row r="118" spans="2:9" x14ac:dyDescent="0.2">
      <c r="B118" s="16" t="s">
        <v>21</v>
      </c>
      <c r="C118" s="87" t="s">
        <v>18</v>
      </c>
      <c r="D118" s="244" t="s">
        <v>163</v>
      </c>
      <c r="E118" s="245"/>
      <c r="F118" s="246"/>
      <c r="G118" s="47">
        <v>1.6500000000000001E-2</v>
      </c>
      <c r="H118" s="22">
        <f>TRUNC(H$117*$G118,2)</f>
        <v>131.65</v>
      </c>
      <c r="I118" s="100"/>
    </row>
    <row r="119" spans="2:9" x14ac:dyDescent="0.2">
      <c r="B119" s="16" t="s">
        <v>22</v>
      </c>
      <c r="C119" s="87" t="s">
        <v>19</v>
      </c>
      <c r="D119" s="244" t="s">
        <v>163</v>
      </c>
      <c r="E119" s="245"/>
      <c r="F119" s="246"/>
      <c r="G119" s="47">
        <v>7.5999999999999998E-2</v>
      </c>
      <c r="H119" s="22">
        <f>TRUNC(H$117*$G119,2)</f>
        <v>606.4</v>
      </c>
      <c r="I119" s="100"/>
    </row>
    <row r="120" spans="2:9" x14ac:dyDescent="0.2">
      <c r="B120" s="16" t="s">
        <v>23</v>
      </c>
      <c r="C120" s="87" t="s">
        <v>20</v>
      </c>
      <c r="D120" s="244" t="s">
        <v>163</v>
      </c>
      <c r="E120" s="245"/>
      <c r="F120" s="246"/>
      <c r="G120" s="47">
        <v>0.05</v>
      </c>
      <c r="H120" s="22">
        <f>TRUNC(H$117*$G120,2)</f>
        <v>398.95</v>
      </c>
      <c r="I120" s="100"/>
    </row>
    <row r="121" spans="2:9" x14ac:dyDescent="0.2">
      <c r="B121" s="16" t="s">
        <v>149</v>
      </c>
      <c r="C121" s="83" t="s">
        <v>61</v>
      </c>
      <c r="D121" s="228" t="s">
        <v>151</v>
      </c>
      <c r="E121" s="228"/>
      <c r="F121" s="228"/>
      <c r="G121" s="157"/>
      <c r="H121" s="19">
        <f>SUM(H115:H120)-H117</f>
        <v>2055.1900000000005</v>
      </c>
      <c r="I121" s="20"/>
    </row>
    <row r="122" spans="2:9" x14ac:dyDescent="0.2">
      <c r="B122" s="63"/>
      <c r="C122" s="63"/>
      <c r="D122" s="63"/>
      <c r="E122" s="63"/>
      <c r="F122" s="63"/>
      <c r="G122" s="63"/>
      <c r="H122" s="72"/>
      <c r="I122" s="29"/>
    </row>
    <row r="123" spans="2:9" x14ac:dyDescent="0.2">
      <c r="B123" s="232" t="s">
        <v>190</v>
      </c>
      <c r="C123" s="232"/>
      <c r="D123" s="232"/>
      <c r="E123" s="232"/>
      <c r="F123" s="232"/>
      <c r="G123" s="232"/>
      <c r="H123" s="232"/>
      <c r="I123" s="110"/>
    </row>
    <row r="124" spans="2:9" x14ac:dyDescent="0.2">
      <c r="B124" s="86"/>
      <c r="C124" s="86"/>
      <c r="D124" s="86"/>
      <c r="E124" s="86"/>
      <c r="F124" s="86"/>
      <c r="G124" s="86"/>
      <c r="H124" s="86"/>
      <c r="I124" s="110"/>
    </row>
    <row r="125" spans="2:9" x14ac:dyDescent="0.2">
      <c r="B125" s="248" t="s">
        <v>191</v>
      </c>
      <c r="C125" s="249"/>
      <c r="D125" s="249"/>
      <c r="E125" s="249"/>
      <c r="F125" s="249"/>
      <c r="G125" s="151"/>
      <c r="H125" s="135"/>
      <c r="I125" s="94"/>
    </row>
    <row r="126" spans="2:9" ht="12.75" customHeight="1" x14ac:dyDescent="0.2">
      <c r="B126" s="149"/>
      <c r="C126" s="226" t="s">
        <v>116</v>
      </c>
      <c r="D126" s="227"/>
      <c r="E126" s="227"/>
      <c r="F126" s="227"/>
      <c r="G126" s="150"/>
      <c r="H126" s="133" t="s">
        <v>49</v>
      </c>
      <c r="I126" s="94"/>
    </row>
    <row r="127" spans="2:9" x14ac:dyDescent="0.2">
      <c r="B127" s="16" t="s">
        <v>4</v>
      </c>
      <c r="C127" s="79" t="s">
        <v>79</v>
      </c>
      <c r="D127" s="159" t="s">
        <v>127</v>
      </c>
      <c r="E127" s="160"/>
      <c r="F127" s="160"/>
      <c r="G127" s="161"/>
      <c r="H127" s="22">
        <f>H31</f>
        <v>1516</v>
      </c>
      <c r="I127" s="100"/>
    </row>
    <row r="128" spans="2:9" ht="22.5" x14ac:dyDescent="0.2">
      <c r="B128" s="16" t="s">
        <v>5</v>
      </c>
      <c r="C128" s="79" t="s">
        <v>80</v>
      </c>
      <c r="D128" s="159" t="s">
        <v>141</v>
      </c>
      <c r="E128" s="160"/>
      <c r="F128" s="160"/>
      <c r="G128" s="161"/>
      <c r="H128" s="22">
        <f>H70</f>
        <v>1710.8400000000001</v>
      </c>
      <c r="I128" s="100"/>
    </row>
    <row r="129" spans="2:9" x14ac:dyDescent="0.2">
      <c r="B129" s="16" t="s">
        <v>6</v>
      </c>
      <c r="C129" s="79" t="s">
        <v>81</v>
      </c>
      <c r="D129" s="159" t="s">
        <v>144</v>
      </c>
      <c r="E129" s="160"/>
      <c r="F129" s="160"/>
      <c r="G129" s="161"/>
      <c r="H129" s="22">
        <f>H81</f>
        <v>338.19</v>
      </c>
      <c r="I129" s="100"/>
    </row>
    <row r="130" spans="2:9" ht="22.5" x14ac:dyDescent="0.2">
      <c r="B130" s="16" t="s">
        <v>7</v>
      </c>
      <c r="C130" s="79" t="s">
        <v>43</v>
      </c>
      <c r="D130" s="159" t="s">
        <v>147</v>
      </c>
      <c r="E130" s="160"/>
      <c r="F130" s="160"/>
      <c r="G130" s="161"/>
      <c r="H130" s="22">
        <f>H101</f>
        <v>376.29</v>
      </c>
      <c r="I130" s="100"/>
    </row>
    <row r="131" spans="2:9" x14ac:dyDescent="0.2">
      <c r="B131" s="16" t="s">
        <v>8</v>
      </c>
      <c r="C131" s="79" t="s">
        <v>82</v>
      </c>
      <c r="D131" s="159" t="s">
        <v>148</v>
      </c>
      <c r="E131" s="160"/>
      <c r="F131" s="160"/>
      <c r="G131" s="161"/>
      <c r="H131" s="22">
        <f>H110</f>
        <v>1982.5006491228071</v>
      </c>
      <c r="I131" s="100"/>
    </row>
    <row r="132" spans="2:9" x14ac:dyDescent="0.2">
      <c r="B132" s="85" t="s">
        <v>9</v>
      </c>
      <c r="C132" s="78" t="s">
        <v>46</v>
      </c>
      <c r="D132" s="165" t="s">
        <v>167</v>
      </c>
      <c r="E132" s="166"/>
      <c r="F132" s="166"/>
      <c r="G132" s="167"/>
      <c r="H132" s="25">
        <f>SUM(H127:H131)</f>
        <v>5923.8206491228075</v>
      </c>
      <c r="I132" s="20"/>
    </row>
    <row r="133" spans="2:9" x14ac:dyDescent="0.2">
      <c r="B133" s="16" t="s">
        <v>10</v>
      </c>
      <c r="C133" s="87" t="s">
        <v>83</v>
      </c>
      <c r="D133" s="159" t="s">
        <v>149</v>
      </c>
      <c r="E133" s="160"/>
      <c r="F133" s="160"/>
      <c r="G133" s="161"/>
      <c r="H133" s="22">
        <f>H121</f>
        <v>2055.1900000000005</v>
      </c>
      <c r="I133" s="100"/>
    </row>
    <row r="134" spans="2:9" x14ac:dyDescent="0.2">
      <c r="B134" s="16" t="s">
        <v>152</v>
      </c>
      <c r="C134" s="82" t="s">
        <v>78</v>
      </c>
      <c r="D134" s="168" t="s">
        <v>166</v>
      </c>
      <c r="E134" s="156"/>
      <c r="F134" s="156"/>
      <c r="G134" s="157"/>
      <c r="H134" s="31">
        <f>SUM(H132:H133)</f>
        <v>7979.010649122808</v>
      </c>
      <c r="I134" s="114"/>
    </row>
    <row r="135" spans="2:9" ht="12.75" customHeight="1" x14ac:dyDescent="0.2">
      <c r="B135" s="14"/>
      <c r="C135" s="14"/>
      <c r="D135" s="14"/>
      <c r="E135" s="14"/>
      <c r="F135" s="14"/>
      <c r="G135" s="14"/>
      <c r="H135" s="32"/>
      <c r="I135" s="32"/>
    </row>
    <row r="136" spans="2:9" x14ac:dyDescent="0.2">
      <c r="B136" s="232" t="s">
        <v>192</v>
      </c>
      <c r="C136" s="232"/>
      <c r="D136" s="232"/>
      <c r="E136" s="232"/>
      <c r="F136" s="232"/>
      <c r="I136" s="14"/>
    </row>
    <row r="137" spans="2:9" x14ac:dyDescent="0.2">
      <c r="B137" s="73"/>
      <c r="C137" s="73"/>
      <c r="D137" s="73"/>
      <c r="E137" s="67"/>
      <c r="F137" s="67"/>
      <c r="I137" s="14"/>
    </row>
    <row r="138" spans="2:9" x14ac:dyDescent="0.2">
      <c r="B138" s="236" t="s">
        <v>193</v>
      </c>
      <c r="C138" s="237"/>
      <c r="D138" s="237"/>
      <c r="E138" s="237"/>
      <c r="F138" s="237"/>
      <c r="G138" s="151"/>
      <c r="H138" s="135"/>
      <c r="I138" s="111"/>
    </row>
    <row r="139" spans="2:9" x14ac:dyDescent="0.2">
      <c r="B139" s="127" t="s">
        <v>4</v>
      </c>
      <c r="C139" s="152" t="s">
        <v>105</v>
      </c>
      <c r="D139" s="238" t="s">
        <v>152</v>
      </c>
      <c r="E139" s="239"/>
      <c r="F139" s="239"/>
      <c r="G139" s="153"/>
      <c r="H139" s="154">
        <f>H134</f>
        <v>7979.010649122808</v>
      </c>
      <c r="I139" s="109"/>
    </row>
    <row r="140" spans="2:9" ht="22.5" x14ac:dyDescent="0.2">
      <c r="B140" s="16" t="s">
        <v>5</v>
      </c>
      <c r="C140" s="80" t="s">
        <v>154</v>
      </c>
      <c r="D140" s="240" t="s">
        <v>155</v>
      </c>
      <c r="E140" s="241"/>
      <c r="F140" s="241"/>
      <c r="G140" s="147"/>
      <c r="H140" s="11">
        <f>H42+H81+H99</f>
        <v>1009.25</v>
      </c>
      <c r="I140" s="104"/>
    </row>
    <row r="141" spans="2:9" ht="22.5" x14ac:dyDescent="0.2">
      <c r="B141" s="16" t="s">
        <v>6</v>
      </c>
      <c r="C141" s="80" t="s">
        <v>170</v>
      </c>
      <c r="D141" s="240" t="s">
        <v>178</v>
      </c>
      <c r="E141" s="241"/>
      <c r="F141" s="241"/>
      <c r="G141" s="148"/>
      <c r="H141" s="108">
        <f>TRUNC((H$42*$G55),2)</f>
        <v>108.47</v>
      </c>
      <c r="I141" s="109"/>
    </row>
    <row r="142" spans="2:9" ht="12.75" customHeight="1" x14ac:dyDescent="0.2">
      <c r="B142" s="16" t="s">
        <v>7</v>
      </c>
      <c r="C142" s="80" t="s">
        <v>16</v>
      </c>
      <c r="D142" s="229" t="s">
        <v>164</v>
      </c>
      <c r="E142" s="230"/>
      <c r="F142" s="231"/>
      <c r="G142" s="12">
        <f>G115</f>
        <v>0.05</v>
      </c>
      <c r="H142" s="11">
        <f>TRUNC((H$140+H$141)*$G142,2)</f>
        <v>55.88</v>
      </c>
      <c r="I142" s="104"/>
    </row>
    <row r="143" spans="2:9" ht="12.75" customHeight="1" x14ac:dyDescent="0.2">
      <c r="B143" s="16" t="s">
        <v>8</v>
      </c>
      <c r="C143" s="80" t="s">
        <v>3</v>
      </c>
      <c r="D143" s="229" t="s">
        <v>165</v>
      </c>
      <c r="E143" s="230"/>
      <c r="F143" s="231"/>
      <c r="G143" s="12">
        <f>G116</f>
        <v>0.1</v>
      </c>
      <c r="H143" s="11">
        <f>TRUNC((H$140+H$141+H$142)*$G143,2)</f>
        <v>117.36</v>
      </c>
      <c r="I143" s="104"/>
    </row>
    <row r="144" spans="2:9" ht="12.75" customHeight="1" x14ac:dyDescent="0.2">
      <c r="B144" s="16" t="s">
        <v>9</v>
      </c>
      <c r="C144" s="80" t="s">
        <v>106</v>
      </c>
      <c r="D144" s="229" t="s">
        <v>172</v>
      </c>
      <c r="E144" s="230"/>
      <c r="F144" s="231"/>
      <c r="G144" s="12">
        <f>G118+G119+G120</f>
        <v>0.14250000000000002</v>
      </c>
      <c r="H144" s="11">
        <f>TRUNC((H$140+H$141+H$142+H$143)/(1-$G144)-(H$140+H$141+H$142+H$143),2)</f>
        <v>214.53</v>
      </c>
      <c r="I144" s="104"/>
    </row>
    <row r="145" spans="2:9" ht="22.5" x14ac:dyDescent="0.2">
      <c r="B145" s="16" t="s">
        <v>10</v>
      </c>
      <c r="C145" s="128" t="s">
        <v>107</v>
      </c>
      <c r="D145" s="145" t="s">
        <v>173</v>
      </c>
      <c r="E145" s="146"/>
      <c r="F145" s="146"/>
      <c r="G145" s="147"/>
      <c r="H145" s="129">
        <f>SUM(H140:H144)</f>
        <v>1505.49</v>
      </c>
      <c r="I145" s="105"/>
    </row>
    <row r="146" spans="2:9" x14ac:dyDescent="0.2">
      <c r="B146" s="16" t="s">
        <v>153</v>
      </c>
      <c r="C146" s="84" t="s">
        <v>124</v>
      </c>
      <c r="D146" s="242" t="s">
        <v>171</v>
      </c>
      <c r="E146" s="243"/>
      <c r="F146" s="243"/>
      <c r="G146" s="155"/>
      <c r="H146" s="33">
        <f>H139-H145</f>
        <v>6473.5206491228082</v>
      </c>
      <c r="I146" s="115"/>
    </row>
    <row r="147" spans="2:9" ht="45" customHeight="1" x14ac:dyDescent="0.2">
      <c r="B147" s="233" t="s">
        <v>123</v>
      </c>
      <c r="C147" s="234"/>
      <c r="D147" s="234"/>
      <c r="E147" s="234"/>
      <c r="F147" s="234"/>
      <c r="G147" s="235"/>
      <c r="H147" s="132"/>
      <c r="I147" s="106"/>
    </row>
  </sheetData>
  <mergeCells count="105">
    <mergeCell ref="D146:F146"/>
    <mergeCell ref="B147:G147"/>
    <mergeCell ref="D139:F139"/>
    <mergeCell ref="D140:F140"/>
    <mergeCell ref="D141:F141"/>
    <mergeCell ref="D142:F142"/>
    <mergeCell ref="D143:F143"/>
    <mergeCell ref="D144:F144"/>
    <mergeCell ref="D121:F121"/>
    <mergeCell ref="B123:H123"/>
    <mergeCell ref="B125:F125"/>
    <mergeCell ref="C126:F126"/>
    <mergeCell ref="B136:F136"/>
    <mergeCell ref="B138:F138"/>
    <mergeCell ref="D115:F115"/>
    <mergeCell ref="D116:F116"/>
    <mergeCell ref="D117:F117"/>
    <mergeCell ref="D118:F118"/>
    <mergeCell ref="D119:F119"/>
    <mergeCell ref="D120:F120"/>
    <mergeCell ref="C101:F101"/>
    <mergeCell ref="B104:F104"/>
    <mergeCell ref="C105:G105"/>
    <mergeCell ref="C110:F110"/>
    <mergeCell ref="B113:F113"/>
    <mergeCell ref="C114:F114"/>
    <mergeCell ref="C90:F90"/>
    <mergeCell ref="B92:F92"/>
    <mergeCell ref="C93:F93"/>
    <mergeCell ref="C95:F95"/>
    <mergeCell ref="B97:F97"/>
    <mergeCell ref="C98:G98"/>
    <mergeCell ref="D79:E79"/>
    <mergeCell ref="D80:E80"/>
    <mergeCell ref="C81:F81"/>
    <mergeCell ref="B84:F84"/>
    <mergeCell ref="B85:F85"/>
    <mergeCell ref="C86:F86"/>
    <mergeCell ref="C66:F66"/>
    <mergeCell ref="C70:F70"/>
    <mergeCell ref="B71:H71"/>
    <mergeCell ref="B73:F73"/>
    <mergeCell ref="C74:F74"/>
    <mergeCell ref="D77:E77"/>
    <mergeCell ref="B56:H56"/>
    <mergeCell ref="B57:F57"/>
    <mergeCell ref="C58:F58"/>
    <mergeCell ref="C63:F63"/>
    <mergeCell ref="B64:H64"/>
    <mergeCell ref="B65:F65"/>
    <mergeCell ref="D50:F50"/>
    <mergeCell ref="D51:F51"/>
    <mergeCell ref="D52:F52"/>
    <mergeCell ref="D53:F53"/>
    <mergeCell ref="D54:F54"/>
    <mergeCell ref="C55:F55"/>
    <mergeCell ref="D47:F47"/>
    <mergeCell ref="B48:B49"/>
    <mergeCell ref="C48:C49"/>
    <mergeCell ref="D48:D49"/>
    <mergeCell ref="G48:G49"/>
    <mergeCell ref="H48:H49"/>
    <mergeCell ref="D41:F41"/>
    <mergeCell ref="C42:F42"/>
    <mergeCell ref="B43:H43"/>
    <mergeCell ref="B44:F44"/>
    <mergeCell ref="C45:F45"/>
    <mergeCell ref="D46:F46"/>
    <mergeCell ref="C32:F33"/>
    <mergeCell ref="B36:F36"/>
    <mergeCell ref="B37:F37"/>
    <mergeCell ref="B38:F38"/>
    <mergeCell ref="C39:F39"/>
    <mergeCell ref="D40:F40"/>
    <mergeCell ref="D26:F26"/>
    <mergeCell ref="D27:F27"/>
    <mergeCell ref="D28:F28"/>
    <mergeCell ref="D29:F29"/>
    <mergeCell ref="D30:F30"/>
    <mergeCell ref="C31:F31"/>
    <mergeCell ref="B19:B20"/>
    <mergeCell ref="C19:F19"/>
    <mergeCell ref="C20:F20"/>
    <mergeCell ref="B23:F23"/>
    <mergeCell ref="C24:F24"/>
    <mergeCell ref="D25:F25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  <mergeCell ref="B15:B16"/>
    <mergeCell ref="C15:F15"/>
    <mergeCell ref="C16:F16"/>
  </mergeCells>
  <dataValidations count="10">
    <dataValidation type="list" allowBlank="1" showInputMessage="1" showErrorMessage="1" sqref="G26" xr:uid="{FF5C0E6E-7EF8-4D4A-BA46-12B9536AC855}">
      <formula1>"0%, 30%"</formula1>
    </dataValidation>
    <dataValidation type="list" allowBlank="1" showInputMessage="1" showErrorMessage="1" sqref="G27" xr:uid="{51251F3B-908E-497C-B63D-E24B8508A9F2}">
      <formula1>"0%, 10%, 20%, 40%"</formula1>
    </dataValidation>
    <dataValidation type="list" allowBlank="1" showInputMessage="1" showErrorMessage="1" sqref="E49" xr:uid="{BBA859E2-96FD-4E5D-99CB-273E5A9B85CA}">
      <formula1>"1%, 2%, 3%"</formula1>
    </dataValidation>
    <dataValidation type="list" allowBlank="1" showInputMessage="1" showErrorMessage="1" sqref="G28:G29" xr:uid="{31E7452B-460A-4F6D-89FD-EFAD62BEB989}">
      <formula1>"0, 20%"</formula1>
    </dataValidation>
    <dataValidation type="list" allowBlank="1" showInputMessage="1" showErrorMessage="1" sqref="G119" xr:uid="{9F1B4200-70F2-4B09-A1E3-52AC2E76F50D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18" xr:uid="{D52E8E63-1F15-4FE8-B962-67A5CDB92558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 xr:uid="{877B40DD-0544-4B8C-B709-74C5E82D3233}">
      <formula1>"0, 50%, 100%"</formula1>
    </dataValidation>
    <dataValidation type="whole" allowBlank="1" showInputMessage="1" showErrorMessage="1" errorTitle="Valor errado" error="Quantidade fixa de dias. Prencher com 30" sqref="G87" xr:uid="{E94CADD8-DCE3-483E-B938-673B3EAF22DA}">
      <formula1>30</formula1>
      <formula2>30</formula2>
    </dataValidation>
    <dataValidation type="list" operator="equal" allowBlank="1" showInputMessage="1" showErrorMessage="1" errorTitle="Valor errado" error="Percentual fixo. Preencher com 40%." sqref="F77 F79" xr:uid="{2464A04A-E389-447B-860B-3452FC0FD1C9}">
      <formula1>"40%"</formula1>
    </dataValidation>
    <dataValidation type="custom" allowBlank="1" showInputMessage="1" showErrorMessage="1" sqref="G117" xr:uid="{A4463C87-8417-4D34-936C-9D18FC659F5C}">
      <formula1>1-(G118+G119+G120)</formula1>
    </dataValidation>
  </dataValidations>
  <pageMargins left="0.511811024" right="0.511811024" top="0.78740157499999996" bottom="0.78740157499999996" header="0.31496062000000002" footer="0.31496062000000002"/>
  <pageSetup paperSize="9" scale="64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D49"/>
  <sheetViews>
    <sheetView showGridLines="0" zoomScaleNormal="100" workbookViewId="0">
      <selection activeCell="L14" sqref="L14"/>
    </sheetView>
  </sheetViews>
  <sheetFormatPr defaultColWidth="9.140625" defaultRowHeight="11.25" x14ac:dyDescent="0.2"/>
  <cols>
    <col min="1" max="1" width="17.85546875" style="45" customWidth="1"/>
    <col min="2" max="2" width="24.7109375" style="45" bestFit="1" customWidth="1"/>
    <col min="3" max="3" width="19.7109375" style="45" bestFit="1" customWidth="1"/>
    <col min="4" max="4" width="15.42578125" style="45" customWidth="1"/>
    <col min="5" max="5" width="14" style="45" customWidth="1"/>
    <col min="6" max="6" width="11.42578125" style="45" customWidth="1"/>
    <col min="7" max="7" width="12.5703125" style="45" bestFit="1" customWidth="1"/>
    <col min="8" max="8" width="24.7109375" style="45" bestFit="1" customWidth="1"/>
    <col min="9" max="10" width="21.85546875" style="45" bestFit="1" customWidth="1"/>
    <col min="11" max="11" width="12.5703125" style="45" bestFit="1" customWidth="1"/>
    <col min="12" max="16384" width="9.140625" style="45"/>
  </cols>
  <sheetData>
    <row r="1" spans="1:4" x14ac:dyDescent="0.15">
      <c r="A1" s="299" t="s">
        <v>84</v>
      </c>
      <c r="B1" s="299"/>
      <c r="C1" s="299"/>
      <c r="D1" s="299"/>
    </row>
    <row r="2" spans="1:4" x14ac:dyDescent="0.15">
      <c r="A2" s="300" t="s">
        <v>207</v>
      </c>
      <c r="B2" s="300"/>
      <c r="C2" s="300"/>
      <c r="D2" s="300"/>
    </row>
    <row r="3" spans="1:4" ht="12.75" x14ac:dyDescent="0.2">
      <c r="A3" s="173" t="s">
        <v>208</v>
      </c>
      <c r="B3" s="174" t="s">
        <v>219</v>
      </c>
      <c r="C3" s="179" t="s">
        <v>209</v>
      </c>
      <c r="D3" s="179" t="s">
        <v>210</v>
      </c>
    </row>
    <row r="4" spans="1:4" ht="12.75" x14ac:dyDescent="0.2">
      <c r="A4" s="176" t="s">
        <v>216</v>
      </c>
      <c r="B4" s="177">
        <v>20</v>
      </c>
      <c r="C4" s="170">
        <v>130.94999999999999</v>
      </c>
      <c r="D4" s="170">
        <f t="shared" ref="D4:D6" si="0">B4*C4</f>
        <v>2619</v>
      </c>
    </row>
    <row r="5" spans="1:4" ht="12.75" x14ac:dyDescent="0.2">
      <c r="A5" s="176" t="s">
        <v>211</v>
      </c>
      <c r="B5" s="177">
        <v>10</v>
      </c>
      <c r="C5" s="170">
        <v>81.45</v>
      </c>
      <c r="D5" s="170">
        <f t="shared" si="0"/>
        <v>814.5</v>
      </c>
    </row>
    <row r="6" spans="1:4" ht="12.75" x14ac:dyDescent="0.2">
      <c r="A6" s="176" t="s">
        <v>217</v>
      </c>
      <c r="B6" s="177">
        <v>20</v>
      </c>
      <c r="C6" s="170">
        <v>22.67</v>
      </c>
      <c r="D6" s="170">
        <f t="shared" si="0"/>
        <v>453.40000000000003</v>
      </c>
    </row>
    <row r="7" spans="1:4" ht="23.25" x14ac:dyDescent="0.2">
      <c r="A7" s="176" t="s">
        <v>222</v>
      </c>
      <c r="B7" s="177">
        <v>10</v>
      </c>
      <c r="C7" s="170">
        <v>98.71</v>
      </c>
      <c r="D7" s="170">
        <f>B7*C7</f>
        <v>987.09999999999991</v>
      </c>
    </row>
    <row r="8" spans="1:4" ht="12.75" x14ac:dyDescent="0.2">
      <c r="A8" s="176" t="s">
        <v>218</v>
      </c>
      <c r="B8" s="177">
        <v>5</v>
      </c>
      <c r="C8" s="178">
        <v>111.7</v>
      </c>
      <c r="D8" s="178">
        <f>B8*C8</f>
        <v>558.5</v>
      </c>
    </row>
    <row r="9" spans="1:4" ht="12.75" x14ac:dyDescent="0.2">
      <c r="A9" s="298" t="s">
        <v>220</v>
      </c>
      <c r="B9" s="298"/>
      <c r="C9" s="298"/>
      <c r="D9" s="170">
        <f>SUM(D4:D8)</f>
        <v>5432.5</v>
      </c>
    </row>
    <row r="10" spans="1:4" ht="12.75" x14ac:dyDescent="0.2">
      <c r="A10" s="298" t="s">
        <v>213</v>
      </c>
      <c r="B10" s="298"/>
      <c r="C10" s="298"/>
      <c r="D10" s="178">
        <f>D9/(30*2)</f>
        <v>90.541666666666671</v>
      </c>
    </row>
    <row r="11" spans="1:4" ht="12.75" x14ac:dyDescent="0.2">
      <c r="A11" s="171"/>
      <c r="B11"/>
      <c r="C11" s="172"/>
      <c r="D11" s="172"/>
    </row>
    <row r="12" spans="1:4" ht="12.75" x14ac:dyDescent="0.2">
      <c r="A12" s="171"/>
      <c r="B12"/>
      <c r="C12" s="172"/>
      <c r="D12" s="172"/>
    </row>
    <row r="13" spans="1:4" x14ac:dyDescent="0.15">
      <c r="A13" s="300" t="s">
        <v>214</v>
      </c>
      <c r="B13" s="300"/>
      <c r="C13" s="300"/>
      <c r="D13" s="300"/>
    </row>
    <row r="14" spans="1:4" ht="12.75" x14ac:dyDescent="0.2">
      <c r="A14" s="173" t="s">
        <v>208</v>
      </c>
      <c r="B14" s="174" t="s">
        <v>219</v>
      </c>
      <c r="C14" s="179" t="s">
        <v>209</v>
      </c>
      <c r="D14" s="179" t="s">
        <v>210</v>
      </c>
    </row>
    <row r="15" spans="1:4" ht="12.75" x14ac:dyDescent="0.2">
      <c r="A15" s="176" t="s">
        <v>211</v>
      </c>
      <c r="B15" s="177">
        <v>10</v>
      </c>
      <c r="C15" s="170">
        <v>85.47</v>
      </c>
      <c r="D15" s="170">
        <f t="shared" ref="D15:D19" si="1">B15*C15</f>
        <v>854.7</v>
      </c>
    </row>
    <row r="16" spans="1:4" ht="12.75" x14ac:dyDescent="0.2">
      <c r="A16" s="176" t="s">
        <v>216</v>
      </c>
      <c r="B16" s="177">
        <v>20</v>
      </c>
      <c r="C16" s="170">
        <v>102.45</v>
      </c>
      <c r="D16" s="170">
        <f t="shared" si="1"/>
        <v>2049</v>
      </c>
    </row>
    <row r="17" spans="1:4" ht="12.75" x14ac:dyDescent="0.2">
      <c r="A17" s="176" t="s">
        <v>217</v>
      </c>
      <c r="B17" s="177">
        <v>20</v>
      </c>
      <c r="C17" s="170">
        <v>22.67</v>
      </c>
      <c r="D17" s="170">
        <f t="shared" si="1"/>
        <v>453.40000000000003</v>
      </c>
    </row>
    <row r="18" spans="1:4" ht="12.75" x14ac:dyDescent="0.2">
      <c r="A18" s="176" t="s">
        <v>212</v>
      </c>
      <c r="B18" s="177">
        <v>5</v>
      </c>
      <c r="C18" s="170">
        <v>25.13</v>
      </c>
      <c r="D18" s="170">
        <f t="shared" si="1"/>
        <v>125.64999999999999</v>
      </c>
    </row>
    <row r="19" spans="1:4" ht="23.25" x14ac:dyDescent="0.2">
      <c r="A19" s="176" t="s">
        <v>222</v>
      </c>
      <c r="B19" s="177">
        <v>10</v>
      </c>
      <c r="C19" s="170">
        <v>98.71</v>
      </c>
      <c r="D19" s="170">
        <f t="shared" si="1"/>
        <v>987.09999999999991</v>
      </c>
    </row>
    <row r="20" spans="1:4" ht="12.75" x14ac:dyDescent="0.2">
      <c r="A20" s="176" t="s">
        <v>221</v>
      </c>
      <c r="B20" s="177">
        <v>5</v>
      </c>
      <c r="C20" s="170">
        <v>102.42</v>
      </c>
      <c r="D20" s="170">
        <f>B20*C20</f>
        <v>512.1</v>
      </c>
    </row>
    <row r="21" spans="1:4" ht="12.75" x14ac:dyDescent="0.2">
      <c r="A21" s="298" t="s">
        <v>220</v>
      </c>
      <c r="B21" s="298"/>
      <c r="C21" s="298"/>
      <c r="D21" s="170">
        <f>SUM(D15:D20)</f>
        <v>4981.9500000000007</v>
      </c>
    </row>
    <row r="22" spans="1:4" ht="12.75" x14ac:dyDescent="0.2">
      <c r="A22" s="298" t="s">
        <v>213</v>
      </c>
      <c r="B22" s="298"/>
      <c r="C22" s="298"/>
      <c r="D22" s="178">
        <f>D21/(30*7)</f>
        <v>23.723571428571432</v>
      </c>
    </row>
    <row r="23" spans="1:4" ht="12.75" x14ac:dyDescent="0.2">
      <c r="A23" s="171"/>
      <c r="B23"/>
      <c r="C23" s="172"/>
      <c r="D23" s="172"/>
    </row>
    <row r="24" spans="1:4" ht="12.75" x14ac:dyDescent="0.2">
      <c r="A24" s="171"/>
      <c r="B24"/>
      <c r="C24" s="172"/>
      <c r="D24" s="172"/>
    </row>
    <row r="25" spans="1:4" x14ac:dyDescent="0.15">
      <c r="A25" s="300" t="s">
        <v>215</v>
      </c>
      <c r="B25" s="300"/>
      <c r="C25" s="300"/>
      <c r="D25" s="300"/>
    </row>
    <row r="26" spans="1:4" ht="12.75" x14ac:dyDescent="0.2">
      <c r="A26" s="173" t="s">
        <v>208</v>
      </c>
      <c r="B26" s="174" t="s">
        <v>219</v>
      </c>
      <c r="C26" s="179" t="s">
        <v>209</v>
      </c>
      <c r="D26" s="179" t="s">
        <v>210</v>
      </c>
    </row>
    <row r="27" spans="1:4" ht="12.75" x14ac:dyDescent="0.2">
      <c r="A27" s="176" t="s">
        <v>211</v>
      </c>
      <c r="B27" s="177">
        <v>10</v>
      </c>
      <c r="C27" s="170">
        <v>85.47</v>
      </c>
      <c r="D27" s="170">
        <f t="shared" ref="D27:D31" si="2">B27*C27</f>
        <v>854.7</v>
      </c>
    </row>
    <row r="28" spans="1:4" ht="12.75" x14ac:dyDescent="0.2">
      <c r="A28" s="176" t="s">
        <v>216</v>
      </c>
      <c r="B28" s="177">
        <v>20</v>
      </c>
      <c r="C28" s="170">
        <v>102.45</v>
      </c>
      <c r="D28" s="170">
        <f t="shared" si="2"/>
        <v>2049</v>
      </c>
    </row>
    <row r="29" spans="1:4" ht="12.75" x14ac:dyDescent="0.2">
      <c r="A29" s="176" t="s">
        <v>217</v>
      </c>
      <c r="B29" s="177">
        <v>20</v>
      </c>
      <c r="C29" s="170">
        <v>22.67</v>
      </c>
      <c r="D29" s="170">
        <f t="shared" si="2"/>
        <v>453.40000000000003</v>
      </c>
    </row>
    <row r="30" spans="1:4" ht="23.25" x14ac:dyDescent="0.2">
      <c r="A30" s="176" t="s">
        <v>222</v>
      </c>
      <c r="B30" s="177">
        <v>10</v>
      </c>
      <c r="C30" s="170">
        <v>98.73</v>
      </c>
      <c r="D30" s="170">
        <f t="shared" si="2"/>
        <v>987.30000000000007</v>
      </c>
    </row>
    <row r="31" spans="1:4" ht="12.75" x14ac:dyDescent="0.2">
      <c r="A31" s="176" t="s">
        <v>221</v>
      </c>
      <c r="B31" s="177">
        <v>5</v>
      </c>
      <c r="C31" s="170">
        <v>104.92</v>
      </c>
      <c r="D31" s="170">
        <f t="shared" si="2"/>
        <v>524.6</v>
      </c>
    </row>
    <row r="32" spans="1:4" ht="12.75" x14ac:dyDescent="0.2">
      <c r="A32" s="176" t="s">
        <v>223</v>
      </c>
      <c r="B32" s="177">
        <v>5</v>
      </c>
      <c r="C32" s="170">
        <v>59.28</v>
      </c>
      <c r="D32" s="170">
        <f>B32*C32</f>
        <v>296.39999999999998</v>
      </c>
    </row>
    <row r="33" spans="1:4" ht="12.75" x14ac:dyDescent="0.2">
      <c r="A33" s="298" t="s">
        <v>220</v>
      </c>
      <c r="B33" s="298"/>
      <c r="C33" s="298"/>
      <c r="D33" s="170">
        <f>SUM(D27:D32)</f>
        <v>5165.3999999999996</v>
      </c>
    </row>
    <row r="34" spans="1:4" ht="12.75" x14ac:dyDescent="0.2">
      <c r="A34" s="298" t="s">
        <v>213</v>
      </c>
      <c r="B34" s="298"/>
      <c r="C34" s="298"/>
      <c r="D34" s="178">
        <f>D33/(30*4)</f>
        <v>43.044999999999995</v>
      </c>
    </row>
    <row r="35" spans="1:4" ht="12.75" x14ac:dyDescent="0.2">
      <c r="A35" s="171"/>
      <c r="B35"/>
      <c r="C35" s="172"/>
      <c r="D35" s="172"/>
    </row>
    <row r="36" spans="1:4" ht="12.75" x14ac:dyDescent="0.2">
      <c r="A36" s="171"/>
      <c r="B36"/>
      <c r="C36" s="172"/>
      <c r="D36" s="172"/>
    </row>
    <row r="37" spans="1:4" x14ac:dyDescent="0.15">
      <c r="A37" s="300" t="s">
        <v>205</v>
      </c>
      <c r="B37" s="300"/>
      <c r="C37" s="300"/>
      <c r="D37" s="300"/>
    </row>
    <row r="38" spans="1:4" ht="12.75" x14ac:dyDescent="0.2">
      <c r="A38" s="173" t="s">
        <v>208</v>
      </c>
      <c r="B38" s="174" t="s">
        <v>219</v>
      </c>
      <c r="C38" s="179" t="s">
        <v>209</v>
      </c>
      <c r="D38" s="179" t="s">
        <v>210</v>
      </c>
    </row>
    <row r="39" spans="1:4" ht="12.75" x14ac:dyDescent="0.2">
      <c r="A39" s="176" t="s">
        <v>113</v>
      </c>
      <c r="B39" s="177">
        <v>10</v>
      </c>
      <c r="C39" s="170">
        <v>74.95</v>
      </c>
      <c r="D39" s="170">
        <f t="shared" ref="D39:D40" si="3">B39*C39</f>
        <v>749.5</v>
      </c>
    </row>
    <row r="40" spans="1:4" ht="12.75" x14ac:dyDescent="0.2">
      <c r="A40" s="176" t="s">
        <v>224</v>
      </c>
      <c r="B40" s="177">
        <v>20</v>
      </c>
      <c r="C40" s="170">
        <v>47.93</v>
      </c>
      <c r="D40" s="170">
        <f t="shared" si="3"/>
        <v>958.6</v>
      </c>
    </row>
    <row r="41" spans="1:4" ht="12.75" x14ac:dyDescent="0.2">
      <c r="A41" s="176" t="s">
        <v>217</v>
      </c>
      <c r="B41" s="177">
        <v>20</v>
      </c>
      <c r="C41" s="170">
        <v>19.84</v>
      </c>
      <c r="D41" s="170">
        <f>B41*C41</f>
        <v>396.8</v>
      </c>
    </row>
    <row r="42" spans="1:4" ht="12.75" x14ac:dyDescent="0.2">
      <c r="A42" s="176" t="s">
        <v>225</v>
      </c>
      <c r="B42" s="177">
        <v>5</v>
      </c>
      <c r="C42" s="170">
        <v>57.24</v>
      </c>
      <c r="D42" s="170">
        <f>B42*C42</f>
        <v>286.2</v>
      </c>
    </row>
    <row r="43" spans="1:4" ht="23.25" x14ac:dyDescent="0.2">
      <c r="A43" s="176" t="s">
        <v>222</v>
      </c>
      <c r="B43" s="177">
        <v>10</v>
      </c>
      <c r="C43" s="178">
        <v>98.71</v>
      </c>
      <c r="D43" s="178">
        <f>B43*C43</f>
        <v>987.09999999999991</v>
      </c>
    </row>
    <row r="44" spans="1:4" ht="12.75" x14ac:dyDescent="0.2">
      <c r="A44" s="199" t="s">
        <v>280</v>
      </c>
      <c r="B44" s="177">
        <v>10</v>
      </c>
      <c r="C44" s="178">
        <v>4.24</v>
      </c>
      <c r="D44" s="178">
        <f t="shared" ref="D44:D47" si="4">B44*C44</f>
        <v>42.400000000000006</v>
      </c>
    </row>
    <row r="45" spans="1:4" ht="12.75" x14ac:dyDescent="0.2">
      <c r="A45" s="199" t="s">
        <v>283</v>
      </c>
      <c r="B45" s="177">
        <v>5</v>
      </c>
      <c r="C45" s="178">
        <v>130.13</v>
      </c>
      <c r="D45" s="178">
        <f t="shared" si="4"/>
        <v>650.65</v>
      </c>
    </row>
    <row r="46" spans="1:4" ht="12.75" x14ac:dyDescent="0.2">
      <c r="A46" s="199" t="s">
        <v>284</v>
      </c>
      <c r="B46" s="177">
        <v>20</v>
      </c>
      <c r="C46" s="178">
        <v>1.79</v>
      </c>
      <c r="D46" s="178">
        <f t="shared" si="4"/>
        <v>35.799999999999997</v>
      </c>
    </row>
    <row r="47" spans="1:4" ht="12.75" x14ac:dyDescent="0.2">
      <c r="A47" s="199" t="s">
        <v>285</v>
      </c>
      <c r="B47" s="177">
        <v>20</v>
      </c>
      <c r="C47" s="178">
        <v>12.01</v>
      </c>
      <c r="D47" s="178">
        <f t="shared" si="4"/>
        <v>240.2</v>
      </c>
    </row>
    <row r="48" spans="1:4" ht="12.75" x14ac:dyDescent="0.2">
      <c r="A48" s="298" t="s">
        <v>220</v>
      </c>
      <c r="B48" s="298"/>
      <c r="C48" s="298"/>
      <c r="D48" s="170">
        <f>SUM(D39:D47)</f>
        <v>4347.25</v>
      </c>
    </row>
    <row r="49" spans="1:4" ht="12.75" x14ac:dyDescent="0.2">
      <c r="A49" s="298" t="s">
        <v>213</v>
      </c>
      <c r="B49" s="298"/>
      <c r="C49" s="298"/>
      <c r="D49" s="178">
        <f>D48/(30*19)</f>
        <v>7.6267543859649125</v>
      </c>
    </row>
  </sheetData>
  <mergeCells count="13">
    <mergeCell ref="A48:C48"/>
    <mergeCell ref="A49:C49"/>
    <mergeCell ref="A1:D1"/>
    <mergeCell ref="A2:D2"/>
    <mergeCell ref="A9:C9"/>
    <mergeCell ref="A10:C10"/>
    <mergeCell ref="A13:D13"/>
    <mergeCell ref="A21:C21"/>
    <mergeCell ref="A22:C22"/>
    <mergeCell ref="A25:D25"/>
    <mergeCell ref="A33:C33"/>
    <mergeCell ref="A34:C34"/>
    <mergeCell ref="A37:D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6EDF5-5267-4736-BA42-2123514D1266}">
  <sheetPr>
    <pageSetUpPr fitToPage="1"/>
  </sheetPr>
  <dimension ref="C3:I4"/>
  <sheetViews>
    <sheetView workbookViewId="0">
      <selection activeCell="I20" sqref="I20"/>
    </sheetView>
  </sheetViews>
  <sheetFormatPr defaultRowHeight="12.75" x14ac:dyDescent="0.2"/>
  <cols>
    <col min="4" max="4" width="13.85546875" bestFit="1" customWidth="1"/>
    <col min="5" max="5" width="24.7109375" customWidth="1"/>
    <col min="7" max="7" width="12.85546875" bestFit="1" customWidth="1"/>
    <col min="8" max="8" width="12.140625" bestFit="1" customWidth="1"/>
    <col min="9" max="9" width="29.140625" bestFit="1" customWidth="1"/>
  </cols>
  <sheetData>
    <row r="3" spans="3:9" x14ac:dyDescent="0.2">
      <c r="C3" s="212" t="s">
        <v>349</v>
      </c>
      <c r="D3" s="212" t="s">
        <v>350</v>
      </c>
      <c r="E3" s="212" t="s">
        <v>208</v>
      </c>
      <c r="F3" s="212" t="s">
        <v>86</v>
      </c>
      <c r="G3" s="212" t="s">
        <v>87</v>
      </c>
      <c r="H3" s="212" t="s">
        <v>88</v>
      </c>
      <c r="I3" s="212" t="s">
        <v>354</v>
      </c>
    </row>
    <row r="4" spans="3:9" ht="211.5" customHeight="1" x14ac:dyDescent="0.2">
      <c r="C4" s="213" t="s">
        <v>351</v>
      </c>
      <c r="D4" s="213" t="s">
        <v>352</v>
      </c>
      <c r="E4" s="213" t="s">
        <v>353</v>
      </c>
      <c r="F4" s="193">
        <v>30</v>
      </c>
      <c r="G4" s="170">
        <v>90</v>
      </c>
      <c r="H4" s="170">
        <f>F4*G4</f>
        <v>2700</v>
      </c>
      <c r="I4" s="170">
        <f>G4/2</f>
        <v>45</v>
      </c>
    </row>
  </sheetData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96BF6-FFAC-4AB6-9221-7D611EBBE606}">
  <sheetPr>
    <pageSetUpPr fitToPage="1"/>
  </sheetPr>
  <dimension ref="A1:K59"/>
  <sheetViews>
    <sheetView workbookViewId="0">
      <selection activeCell="A35" sqref="A35"/>
    </sheetView>
  </sheetViews>
  <sheetFormatPr defaultRowHeight="12.75" x14ac:dyDescent="0.2"/>
  <cols>
    <col min="1" max="1" width="16.85546875" bestFit="1" customWidth="1"/>
    <col min="2" max="2" width="20.28515625" customWidth="1"/>
    <col min="3" max="3" width="11.7109375" bestFit="1" customWidth="1"/>
    <col min="4" max="4" width="10.5703125" bestFit="1" customWidth="1"/>
    <col min="5" max="5" width="13.28515625" bestFit="1" customWidth="1"/>
    <col min="7" max="7" width="11" customWidth="1"/>
    <col min="8" max="8" width="10.7109375" bestFit="1" customWidth="1"/>
    <col min="9" max="9" width="11.7109375" bestFit="1" customWidth="1"/>
    <col min="10" max="10" width="10.5703125" bestFit="1" customWidth="1"/>
    <col min="11" max="11" width="13.28515625" bestFit="1" customWidth="1"/>
  </cols>
  <sheetData>
    <row r="1" spans="1:11" x14ac:dyDescent="0.2">
      <c r="A1" s="299" t="s">
        <v>268</v>
      </c>
      <c r="B1" s="299"/>
      <c r="C1" s="299"/>
      <c r="D1" s="299"/>
      <c r="E1" s="299"/>
      <c r="F1" s="180"/>
      <c r="G1" s="299" t="s">
        <v>268</v>
      </c>
      <c r="H1" s="299"/>
      <c r="I1" s="299"/>
      <c r="J1" s="299"/>
      <c r="K1" s="299"/>
    </row>
    <row r="2" spans="1:11" ht="13.5" thickBot="1" x14ac:dyDescent="0.25">
      <c r="A2" s="180"/>
      <c r="B2" s="180"/>
      <c r="C2" s="180"/>
      <c r="D2" s="180"/>
      <c r="E2" s="180"/>
      <c r="F2" s="180"/>
    </row>
    <row r="3" spans="1:11" ht="33.75" x14ac:dyDescent="0.2">
      <c r="A3" s="181" t="s">
        <v>226</v>
      </c>
      <c r="B3" s="182" t="s">
        <v>227</v>
      </c>
      <c r="C3" s="182" t="s">
        <v>228</v>
      </c>
      <c r="D3" s="183" t="s">
        <v>229</v>
      </c>
      <c r="E3" s="184" t="s">
        <v>210</v>
      </c>
      <c r="F3" s="185"/>
      <c r="G3" s="181" t="s">
        <v>226</v>
      </c>
      <c r="H3" s="182" t="s">
        <v>227</v>
      </c>
      <c r="I3" s="182" t="s">
        <v>319</v>
      </c>
      <c r="J3" s="183" t="s">
        <v>229</v>
      </c>
      <c r="K3" s="184" t="s">
        <v>210</v>
      </c>
    </row>
    <row r="4" spans="1:11" ht="22.5" x14ac:dyDescent="0.2">
      <c r="A4" s="186" t="s">
        <v>286</v>
      </c>
      <c r="B4" s="187" t="s">
        <v>230</v>
      </c>
      <c r="C4" s="187">
        <v>45</v>
      </c>
      <c r="D4" s="207">
        <v>7.74</v>
      </c>
      <c r="E4" s="207">
        <f t="shared" ref="E4:E50" si="0">C4*D4</f>
        <v>348.3</v>
      </c>
      <c r="F4" s="180"/>
      <c r="G4" s="186" t="s">
        <v>320</v>
      </c>
      <c r="H4" s="187" t="s">
        <v>321</v>
      </c>
      <c r="I4" s="187">
        <v>624</v>
      </c>
      <c r="J4" s="207">
        <v>6.44</v>
      </c>
      <c r="K4" s="207">
        <f t="shared" ref="K4:K27" si="1">I4*J4</f>
        <v>4018.5600000000004</v>
      </c>
    </row>
    <row r="5" spans="1:11" ht="22.5" x14ac:dyDescent="0.2">
      <c r="A5" s="186" t="s">
        <v>287</v>
      </c>
      <c r="B5" s="187" t="s">
        <v>232</v>
      </c>
      <c r="C5" s="187">
        <v>66</v>
      </c>
      <c r="D5" s="207">
        <v>13.2</v>
      </c>
      <c r="E5" s="207">
        <f t="shared" si="0"/>
        <v>871.19999999999993</v>
      </c>
      <c r="F5" s="180"/>
      <c r="G5" s="186" t="s">
        <v>322</v>
      </c>
      <c r="H5" s="187" t="s">
        <v>321</v>
      </c>
      <c r="I5" s="187">
        <v>380</v>
      </c>
      <c r="J5" s="207">
        <v>19.77</v>
      </c>
      <c r="K5" s="207">
        <f t="shared" si="1"/>
        <v>7512.5999999999995</v>
      </c>
    </row>
    <row r="6" spans="1:11" ht="22.5" x14ac:dyDescent="0.2">
      <c r="A6" s="186" t="s">
        <v>288</v>
      </c>
      <c r="B6" s="187" t="s">
        <v>231</v>
      </c>
      <c r="C6" s="187">
        <v>25</v>
      </c>
      <c r="D6" s="207">
        <v>31.6</v>
      </c>
      <c r="E6" s="207">
        <f t="shared" si="0"/>
        <v>790</v>
      </c>
      <c r="F6" s="180"/>
      <c r="G6" s="186" t="s">
        <v>323</v>
      </c>
      <c r="H6" s="187" t="s">
        <v>321</v>
      </c>
      <c r="I6" s="187">
        <v>92</v>
      </c>
      <c r="J6" s="207">
        <v>22.28</v>
      </c>
      <c r="K6" s="207">
        <f t="shared" si="1"/>
        <v>2049.7600000000002</v>
      </c>
    </row>
    <row r="7" spans="1:11" ht="33.75" x14ac:dyDescent="0.2">
      <c r="A7" s="186" t="s">
        <v>233</v>
      </c>
      <c r="B7" s="187" t="s">
        <v>231</v>
      </c>
      <c r="C7" s="187">
        <v>10</v>
      </c>
      <c r="D7" s="207">
        <v>58.43</v>
      </c>
      <c r="E7" s="207">
        <f t="shared" si="0"/>
        <v>584.29999999999995</v>
      </c>
      <c r="F7" s="180"/>
      <c r="G7" s="186" t="s">
        <v>324</v>
      </c>
      <c r="H7" s="187" t="s">
        <v>321</v>
      </c>
      <c r="I7" s="187">
        <v>40</v>
      </c>
      <c r="J7" s="207">
        <v>13.21</v>
      </c>
      <c r="K7" s="207">
        <f t="shared" si="1"/>
        <v>528.40000000000009</v>
      </c>
    </row>
    <row r="8" spans="1:11" ht="22.5" x14ac:dyDescent="0.2">
      <c r="A8" s="186" t="s">
        <v>234</v>
      </c>
      <c r="B8" s="187" t="s">
        <v>235</v>
      </c>
      <c r="C8" s="187">
        <v>80</v>
      </c>
      <c r="D8" s="178">
        <v>13.16</v>
      </c>
      <c r="E8" s="209">
        <f t="shared" si="0"/>
        <v>1052.8</v>
      </c>
      <c r="F8" s="180"/>
      <c r="G8" s="186" t="s">
        <v>325</v>
      </c>
      <c r="H8" s="187" t="s">
        <v>321</v>
      </c>
      <c r="I8" s="187">
        <v>25</v>
      </c>
      <c r="J8" s="207">
        <v>137.78</v>
      </c>
      <c r="K8" s="207">
        <f t="shared" si="1"/>
        <v>3444.5</v>
      </c>
    </row>
    <row r="9" spans="1:11" ht="22.5" x14ac:dyDescent="0.2">
      <c r="A9" s="186" t="s">
        <v>236</v>
      </c>
      <c r="B9" s="187" t="s">
        <v>235</v>
      </c>
      <c r="C9" s="187">
        <v>60</v>
      </c>
      <c r="D9" s="178">
        <v>3.05</v>
      </c>
      <c r="E9" s="209">
        <f t="shared" si="0"/>
        <v>183</v>
      </c>
      <c r="F9" s="180"/>
      <c r="G9" s="186" t="s">
        <v>326</v>
      </c>
      <c r="H9" s="187" t="s">
        <v>321</v>
      </c>
      <c r="I9" s="187">
        <v>25</v>
      </c>
      <c r="J9" s="207">
        <v>110.78</v>
      </c>
      <c r="K9" s="207">
        <f t="shared" si="1"/>
        <v>2769.5</v>
      </c>
    </row>
    <row r="10" spans="1:11" ht="22.5" x14ac:dyDescent="0.2">
      <c r="A10" s="186" t="s">
        <v>237</v>
      </c>
      <c r="B10" s="187" t="s">
        <v>231</v>
      </c>
      <c r="C10" s="187">
        <v>20</v>
      </c>
      <c r="D10" s="178">
        <v>18.329999999999998</v>
      </c>
      <c r="E10" s="209">
        <f t="shared" si="0"/>
        <v>366.59999999999997</v>
      </c>
      <c r="F10" s="180"/>
      <c r="G10" s="186" t="s">
        <v>327</v>
      </c>
      <c r="H10" s="187" t="s">
        <v>321</v>
      </c>
      <c r="I10" s="187">
        <v>11</v>
      </c>
      <c r="J10" s="207">
        <v>198.48</v>
      </c>
      <c r="K10" s="207">
        <f t="shared" si="1"/>
        <v>2183.2799999999997</v>
      </c>
    </row>
    <row r="11" spans="1:11" x14ac:dyDescent="0.2">
      <c r="A11" s="186" t="s">
        <v>289</v>
      </c>
      <c r="B11" s="187" t="s">
        <v>235</v>
      </c>
      <c r="C11" s="187">
        <v>5</v>
      </c>
      <c r="D11" s="178">
        <v>4.29</v>
      </c>
      <c r="E11" s="209">
        <f t="shared" si="0"/>
        <v>21.45</v>
      </c>
      <c r="F11" s="180"/>
      <c r="G11" s="186" t="s">
        <v>328</v>
      </c>
      <c r="H11" s="187" t="s">
        <v>321</v>
      </c>
      <c r="I11" s="187">
        <v>185</v>
      </c>
      <c r="J11" s="207">
        <v>7.72</v>
      </c>
      <c r="K11" s="207">
        <f t="shared" si="1"/>
        <v>1428.2</v>
      </c>
    </row>
    <row r="12" spans="1:11" ht="33.75" x14ac:dyDescent="0.2">
      <c r="A12" s="186" t="s">
        <v>238</v>
      </c>
      <c r="B12" s="187" t="s">
        <v>235</v>
      </c>
      <c r="C12" s="187">
        <v>25</v>
      </c>
      <c r="D12" s="178">
        <v>4.29</v>
      </c>
      <c r="E12" s="209">
        <f t="shared" si="0"/>
        <v>107.25</v>
      </c>
      <c r="F12" s="180"/>
      <c r="G12" s="186" t="s">
        <v>329</v>
      </c>
      <c r="H12" s="187" t="s">
        <v>321</v>
      </c>
      <c r="I12" s="187">
        <v>20</v>
      </c>
      <c r="J12" s="207">
        <v>67.83</v>
      </c>
      <c r="K12" s="207">
        <f t="shared" si="1"/>
        <v>1356.6</v>
      </c>
    </row>
    <row r="13" spans="1:11" ht="22.5" x14ac:dyDescent="0.2">
      <c r="A13" s="186" t="s">
        <v>239</v>
      </c>
      <c r="B13" s="187" t="s">
        <v>235</v>
      </c>
      <c r="C13" s="187">
        <v>20</v>
      </c>
      <c r="D13" s="178">
        <v>4.29</v>
      </c>
      <c r="E13" s="209">
        <f t="shared" si="0"/>
        <v>85.8</v>
      </c>
      <c r="F13" s="180"/>
      <c r="G13" s="186" t="s">
        <v>330</v>
      </c>
      <c r="H13" s="187" t="s">
        <v>321</v>
      </c>
      <c r="I13" s="187">
        <v>15</v>
      </c>
      <c r="J13" s="207">
        <v>26.34</v>
      </c>
      <c r="K13" s="207">
        <f t="shared" si="1"/>
        <v>395.1</v>
      </c>
    </row>
    <row r="14" spans="1:11" ht="33.75" x14ac:dyDescent="0.2">
      <c r="A14" s="186" t="s">
        <v>240</v>
      </c>
      <c r="B14" s="187" t="s">
        <v>232</v>
      </c>
      <c r="C14" s="187">
        <v>10</v>
      </c>
      <c r="D14" s="178">
        <v>7.69</v>
      </c>
      <c r="E14" s="209">
        <f t="shared" si="0"/>
        <v>76.900000000000006</v>
      </c>
      <c r="F14" s="180"/>
      <c r="G14" s="186" t="s">
        <v>331</v>
      </c>
      <c r="H14" s="187" t="s">
        <v>321</v>
      </c>
      <c r="I14" s="187">
        <v>30</v>
      </c>
      <c r="J14" s="207">
        <v>33.49</v>
      </c>
      <c r="K14" s="207">
        <f t="shared" si="1"/>
        <v>1004.7</v>
      </c>
    </row>
    <row r="15" spans="1:11" ht="22.5" x14ac:dyDescent="0.2">
      <c r="A15" s="186" t="s">
        <v>241</v>
      </c>
      <c r="B15" s="187" t="s">
        <v>235</v>
      </c>
      <c r="C15" s="187">
        <v>100</v>
      </c>
      <c r="D15" s="178">
        <v>7.16</v>
      </c>
      <c r="E15" s="209">
        <f t="shared" si="0"/>
        <v>716</v>
      </c>
      <c r="F15" s="180"/>
      <c r="G15" s="186" t="s">
        <v>332</v>
      </c>
      <c r="H15" s="187" t="s">
        <v>321</v>
      </c>
      <c r="I15" s="187">
        <v>20</v>
      </c>
      <c r="J15" s="207">
        <v>18.940000000000001</v>
      </c>
      <c r="K15" s="207">
        <f t="shared" si="1"/>
        <v>378.8</v>
      </c>
    </row>
    <row r="16" spans="1:11" ht="22.5" x14ac:dyDescent="0.2">
      <c r="A16" s="186" t="s">
        <v>290</v>
      </c>
      <c r="B16" s="187" t="s">
        <v>243</v>
      </c>
      <c r="C16" s="187">
        <v>200</v>
      </c>
      <c r="D16" s="178">
        <v>1.52</v>
      </c>
      <c r="E16" s="209">
        <f t="shared" si="0"/>
        <v>304</v>
      </c>
      <c r="F16" s="180"/>
      <c r="G16" s="186" t="s">
        <v>333</v>
      </c>
      <c r="H16" s="187" t="s">
        <v>321</v>
      </c>
      <c r="I16" s="187">
        <v>95</v>
      </c>
      <c r="J16" s="207">
        <v>3.9</v>
      </c>
      <c r="K16" s="207">
        <f t="shared" si="1"/>
        <v>370.5</v>
      </c>
    </row>
    <row r="17" spans="1:11" ht="22.5" x14ac:dyDescent="0.2">
      <c r="A17" s="186" t="s">
        <v>242</v>
      </c>
      <c r="B17" s="187" t="s">
        <v>243</v>
      </c>
      <c r="C17" s="187">
        <v>25</v>
      </c>
      <c r="D17" s="178">
        <v>0.65</v>
      </c>
      <c r="E17" s="209">
        <f t="shared" si="0"/>
        <v>16.25</v>
      </c>
      <c r="F17" s="180"/>
      <c r="G17" s="186" t="s">
        <v>334</v>
      </c>
      <c r="H17" s="187" t="s">
        <v>321</v>
      </c>
      <c r="I17" s="187">
        <v>360</v>
      </c>
      <c r="J17" s="207">
        <v>2.09</v>
      </c>
      <c r="K17" s="207">
        <f t="shared" si="1"/>
        <v>752.4</v>
      </c>
    </row>
    <row r="18" spans="1:11" ht="22.5" x14ac:dyDescent="0.2">
      <c r="A18" s="186" t="s">
        <v>244</v>
      </c>
      <c r="B18" s="187" t="s">
        <v>243</v>
      </c>
      <c r="C18" s="187">
        <v>15</v>
      </c>
      <c r="D18" s="178">
        <v>0.18</v>
      </c>
      <c r="E18" s="209">
        <f t="shared" si="0"/>
        <v>2.6999999999999997</v>
      </c>
      <c r="F18" s="180"/>
      <c r="G18" s="186" t="s">
        <v>335</v>
      </c>
      <c r="H18" s="187" t="s">
        <v>321</v>
      </c>
      <c r="I18" s="187">
        <v>92</v>
      </c>
      <c r="J18" s="207">
        <v>3.98</v>
      </c>
      <c r="K18" s="207">
        <f t="shared" si="1"/>
        <v>366.16</v>
      </c>
    </row>
    <row r="19" spans="1:11" ht="22.5" x14ac:dyDescent="0.2">
      <c r="A19" s="186" t="s">
        <v>245</v>
      </c>
      <c r="B19" s="187" t="s">
        <v>235</v>
      </c>
      <c r="C19" s="187">
        <v>5</v>
      </c>
      <c r="D19" s="178">
        <v>4</v>
      </c>
      <c r="E19" s="209">
        <f t="shared" si="0"/>
        <v>20</v>
      </c>
      <c r="F19" s="180"/>
      <c r="G19" s="186" t="s">
        <v>336</v>
      </c>
      <c r="H19" s="187" t="s">
        <v>321</v>
      </c>
      <c r="I19" s="187">
        <v>106</v>
      </c>
      <c r="J19" s="207">
        <v>6.51</v>
      </c>
      <c r="K19" s="207">
        <f t="shared" si="1"/>
        <v>690.06</v>
      </c>
    </row>
    <row r="20" spans="1:11" ht="33.75" x14ac:dyDescent="0.2">
      <c r="A20" s="186" t="s">
        <v>246</v>
      </c>
      <c r="B20" s="187" t="s">
        <v>247</v>
      </c>
      <c r="C20" s="187">
        <v>8</v>
      </c>
      <c r="D20" s="178">
        <v>2.61</v>
      </c>
      <c r="E20" s="209">
        <f t="shared" si="0"/>
        <v>20.88</v>
      </c>
      <c r="F20" s="180"/>
      <c r="G20" s="186" t="s">
        <v>337</v>
      </c>
      <c r="H20" s="187" t="s">
        <v>321</v>
      </c>
      <c r="I20" s="187">
        <v>106</v>
      </c>
      <c r="J20" s="207">
        <v>11.25</v>
      </c>
      <c r="K20" s="207">
        <f t="shared" si="1"/>
        <v>1192.5</v>
      </c>
    </row>
    <row r="21" spans="1:11" x14ac:dyDescent="0.2">
      <c r="A21" s="186" t="s">
        <v>248</v>
      </c>
      <c r="B21" s="187" t="s">
        <v>249</v>
      </c>
      <c r="C21" s="187">
        <v>2</v>
      </c>
      <c r="D21" s="178">
        <v>25.98</v>
      </c>
      <c r="E21" s="209">
        <f t="shared" si="0"/>
        <v>51.96</v>
      </c>
      <c r="F21" s="180"/>
      <c r="G21" s="186" t="s">
        <v>338</v>
      </c>
      <c r="H21" s="187" t="s">
        <v>321</v>
      </c>
      <c r="I21" s="187">
        <v>10</v>
      </c>
      <c r="J21" s="207">
        <v>13.09</v>
      </c>
      <c r="K21" s="207">
        <f t="shared" si="1"/>
        <v>130.9</v>
      </c>
    </row>
    <row r="22" spans="1:11" ht="22.5" x14ac:dyDescent="0.2">
      <c r="A22" s="186" t="s">
        <v>250</v>
      </c>
      <c r="B22" s="187" t="s">
        <v>251</v>
      </c>
      <c r="C22" s="187">
        <v>20</v>
      </c>
      <c r="D22" s="178">
        <v>2.12</v>
      </c>
      <c r="E22" s="209">
        <f t="shared" si="0"/>
        <v>42.400000000000006</v>
      </c>
      <c r="F22" s="180"/>
      <c r="G22" s="186" t="s">
        <v>339</v>
      </c>
      <c r="H22" s="187" t="s">
        <v>321</v>
      </c>
      <c r="I22" s="187">
        <v>9</v>
      </c>
      <c r="J22" s="207">
        <v>22.14</v>
      </c>
      <c r="K22" s="207">
        <f t="shared" si="1"/>
        <v>199.26</v>
      </c>
    </row>
    <row r="23" spans="1:11" ht="22.5" x14ac:dyDescent="0.2">
      <c r="A23" s="186" t="s">
        <v>292</v>
      </c>
      <c r="B23" s="187" t="s">
        <v>291</v>
      </c>
      <c r="C23" s="187">
        <v>5</v>
      </c>
      <c r="D23" s="178">
        <v>9.67</v>
      </c>
      <c r="E23" s="209">
        <f t="shared" si="0"/>
        <v>48.35</v>
      </c>
      <c r="F23" s="180"/>
      <c r="G23" s="186" t="s">
        <v>340</v>
      </c>
      <c r="H23" s="187" t="s">
        <v>321</v>
      </c>
      <c r="I23" s="187">
        <v>7</v>
      </c>
      <c r="J23" s="207">
        <v>62.3</v>
      </c>
      <c r="K23" s="207">
        <f t="shared" si="1"/>
        <v>436.09999999999997</v>
      </c>
    </row>
    <row r="24" spans="1:11" ht="22.5" x14ac:dyDescent="0.2">
      <c r="A24" s="186" t="s">
        <v>293</v>
      </c>
      <c r="B24" s="187" t="s">
        <v>252</v>
      </c>
      <c r="C24" s="187">
        <v>10</v>
      </c>
      <c r="D24" s="206">
        <v>8.6</v>
      </c>
      <c r="E24" s="207">
        <f t="shared" si="0"/>
        <v>86</v>
      </c>
      <c r="F24" s="180"/>
      <c r="G24" s="186" t="s">
        <v>341</v>
      </c>
      <c r="H24" s="187" t="s">
        <v>321</v>
      </c>
      <c r="I24" s="187">
        <v>14</v>
      </c>
      <c r="J24" s="207">
        <v>16.82</v>
      </c>
      <c r="K24" s="207">
        <f t="shared" si="1"/>
        <v>235.48000000000002</v>
      </c>
    </row>
    <row r="25" spans="1:11" ht="22.5" x14ac:dyDescent="0.2">
      <c r="A25" s="188" t="s">
        <v>294</v>
      </c>
      <c r="B25" s="187" t="s">
        <v>253</v>
      </c>
      <c r="C25" s="187">
        <v>30</v>
      </c>
      <c r="D25" s="207">
        <v>98.06</v>
      </c>
      <c r="E25" s="209">
        <f t="shared" si="0"/>
        <v>2941.8</v>
      </c>
      <c r="F25" s="180"/>
      <c r="G25" s="188" t="s">
        <v>342</v>
      </c>
      <c r="H25" s="187" t="s">
        <v>321</v>
      </c>
      <c r="I25" s="187">
        <v>22</v>
      </c>
      <c r="J25" s="207">
        <v>29.48</v>
      </c>
      <c r="K25" s="207">
        <f t="shared" si="1"/>
        <v>648.56000000000006</v>
      </c>
    </row>
    <row r="26" spans="1:11" ht="22.5" x14ac:dyDescent="0.2">
      <c r="A26" s="188" t="s">
        <v>295</v>
      </c>
      <c r="B26" s="187" t="s">
        <v>254</v>
      </c>
      <c r="C26" s="187">
        <v>210</v>
      </c>
      <c r="D26" s="207">
        <v>45.85</v>
      </c>
      <c r="E26" s="209">
        <f t="shared" si="0"/>
        <v>9628.5</v>
      </c>
      <c r="F26" s="180"/>
      <c r="G26" s="188" t="s">
        <v>343</v>
      </c>
      <c r="H26" s="187" t="s">
        <v>321</v>
      </c>
      <c r="I26" s="187">
        <v>41</v>
      </c>
      <c r="J26" s="207">
        <v>193.97</v>
      </c>
      <c r="K26" s="207">
        <f t="shared" si="1"/>
        <v>7952.7699999999995</v>
      </c>
    </row>
    <row r="27" spans="1:11" ht="45" x14ac:dyDescent="0.2">
      <c r="A27" s="188" t="s">
        <v>296</v>
      </c>
      <c r="B27" s="187" t="s">
        <v>231</v>
      </c>
      <c r="C27" s="187">
        <v>18</v>
      </c>
      <c r="D27" s="207">
        <v>43.05</v>
      </c>
      <c r="E27" s="209">
        <f t="shared" si="0"/>
        <v>774.9</v>
      </c>
      <c r="F27" s="180"/>
      <c r="G27" s="188" t="s">
        <v>344</v>
      </c>
      <c r="H27" s="187" t="s">
        <v>321</v>
      </c>
      <c r="I27" s="187">
        <v>60</v>
      </c>
      <c r="J27" s="207">
        <v>8.43</v>
      </c>
      <c r="K27" s="207">
        <f t="shared" si="1"/>
        <v>505.79999999999995</v>
      </c>
    </row>
    <row r="28" spans="1:11" ht="22.5" x14ac:dyDescent="0.2">
      <c r="A28" s="188" t="s">
        <v>297</v>
      </c>
      <c r="B28" s="187" t="s">
        <v>255</v>
      </c>
      <c r="C28" s="187">
        <v>2</v>
      </c>
      <c r="D28" s="207">
        <v>163.6</v>
      </c>
      <c r="E28" s="209">
        <f t="shared" si="0"/>
        <v>327.2</v>
      </c>
      <c r="F28" s="180"/>
      <c r="G28" s="284" t="s">
        <v>267</v>
      </c>
      <c r="H28" s="284"/>
      <c r="I28" s="284"/>
      <c r="J28" s="284"/>
      <c r="K28" s="211">
        <f>SUM(K4:K27)</f>
        <v>40550.49</v>
      </c>
    </row>
    <row r="29" spans="1:11" ht="22.5" x14ac:dyDescent="0.2">
      <c r="A29" s="188" t="s">
        <v>298</v>
      </c>
      <c r="B29" s="187" t="s">
        <v>254</v>
      </c>
      <c r="C29" s="187">
        <v>1</v>
      </c>
      <c r="D29" s="207">
        <v>81.900000000000006</v>
      </c>
      <c r="E29" s="207">
        <f t="shared" si="0"/>
        <v>81.900000000000006</v>
      </c>
      <c r="F29" s="180"/>
      <c r="G29" s="284" t="s">
        <v>272</v>
      </c>
      <c r="H29" s="284"/>
      <c r="I29" s="284"/>
      <c r="J29" s="284"/>
      <c r="K29" s="211">
        <f>K28/30</f>
        <v>1351.683</v>
      </c>
    </row>
    <row r="30" spans="1:11" ht="33.75" x14ac:dyDescent="0.2">
      <c r="A30" s="188" t="s">
        <v>299</v>
      </c>
      <c r="B30" s="187" t="s">
        <v>254</v>
      </c>
      <c r="C30" s="187">
        <v>6</v>
      </c>
      <c r="D30" s="207">
        <v>64.09</v>
      </c>
      <c r="E30" s="207">
        <f t="shared" si="0"/>
        <v>384.54</v>
      </c>
      <c r="F30" s="180"/>
      <c r="G30" s="284" t="s">
        <v>347</v>
      </c>
      <c r="H30" s="284"/>
      <c r="I30" s="284"/>
      <c r="J30" s="284"/>
      <c r="K30" s="191">
        <v>11</v>
      </c>
    </row>
    <row r="31" spans="1:11" ht="22.5" x14ac:dyDescent="0.2">
      <c r="A31" s="188" t="s">
        <v>300</v>
      </c>
      <c r="B31" s="187" t="s">
        <v>254</v>
      </c>
      <c r="C31" s="187">
        <v>1</v>
      </c>
      <c r="D31" s="207">
        <v>41.1</v>
      </c>
      <c r="E31" s="207">
        <f t="shared" si="0"/>
        <v>41.1</v>
      </c>
      <c r="F31" s="180"/>
      <c r="G31" s="284" t="s">
        <v>213</v>
      </c>
      <c r="H31" s="284"/>
      <c r="I31" s="284"/>
      <c r="J31" s="284"/>
      <c r="K31" s="211">
        <f>K29/K30</f>
        <v>122.88027272727273</v>
      </c>
    </row>
    <row r="32" spans="1:11" x14ac:dyDescent="0.2">
      <c r="A32" s="186" t="s">
        <v>301</v>
      </c>
      <c r="B32" s="187" t="s">
        <v>256</v>
      </c>
      <c r="C32" s="187">
        <v>350</v>
      </c>
      <c r="D32" s="207">
        <v>18.32</v>
      </c>
      <c r="E32" s="207">
        <f t="shared" si="0"/>
        <v>6412</v>
      </c>
      <c r="F32" s="180"/>
    </row>
    <row r="33" spans="1:6" x14ac:dyDescent="0.2">
      <c r="A33" s="186" t="s">
        <v>302</v>
      </c>
      <c r="B33" s="187" t="s">
        <v>257</v>
      </c>
      <c r="C33" s="187">
        <v>150</v>
      </c>
      <c r="D33" s="207">
        <v>5.05</v>
      </c>
      <c r="E33" s="209">
        <f t="shared" si="0"/>
        <v>757.5</v>
      </c>
      <c r="F33" s="180"/>
    </row>
    <row r="34" spans="1:6" x14ac:dyDescent="0.2">
      <c r="A34" s="186" t="s">
        <v>303</v>
      </c>
      <c r="B34" s="187" t="s">
        <v>258</v>
      </c>
      <c r="C34" s="187">
        <v>18</v>
      </c>
      <c r="D34" s="207">
        <v>5.63</v>
      </c>
      <c r="E34" s="209">
        <f t="shared" si="0"/>
        <v>101.34</v>
      </c>
      <c r="F34" s="180"/>
    </row>
    <row r="35" spans="1:6" ht="89.25" customHeight="1" x14ac:dyDescent="0.2">
      <c r="A35" s="186" t="s">
        <v>356</v>
      </c>
      <c r="B35" s="217" t="s">
        <v>253</v>
      </c>
      <c r="C35" s="187">
        <v>10</v>
      </c>
      <c r="D35" s="207">
        <v>355.01</v>
      </c>
      <c r="E35" s="207">
        <f t="shared" si="0"/>
        <v>3550.1</v>
      </c>
      <c r="F35" s="180"/>
    </row>
    <row r="36" spans="1:6" ht="22.5" x14ac:dyDescent="0.2">
      <c r="A36" s="186" t="s">
        <v>304</v>
      </c>
      <c r="B36" s="187" t="s">
        <v>256</v>
      </c>
      <c r="C36" s="187">
        <v>18</v>
      </c>
      <c r="D36" s="207">
        <v>13.22</v>
      </c>
      <c r="E36" s="207">
        <f t="shared" si="0"/>
        <v>237.96</v>
      </c>
      <c r="F36" s="180"/>
    </row>
    <row r="37" spans="1:6" x14ac:dyDescent="0.2">
      <c r="A37" s="186" t="s">
        <v>305</v>
      </c>
      <c r="B37" s="187" t="s">
        <v>235</v>
      </c>
      <c r="C37" s="187">
        <v>3</v>
      </c>
      <c r="D37" s="208">
        <v>13.22</v>
      </c>
      <c r="E37" s="208">
        <f t="shared" si="0"/>
        <v>39.660000000000004</v>
      </c>
      <c r="F37" s="180"/>
    </row>
    <row r="38" spans="1:6" ht="22.5" x14ac:dyDescent="0.2">
      <c r="A38" s="200" t="s">
        <v>259</v>
      </c>
      <c r="B38" s="201" t="s">
        <v>235</v>
      </c>
      <c r="C38" s="201">
        <v>3</v>
      </c>
      <c r="D38" s="208">
        <v>15.87</v>
      </c>
      <c r="E38" s="208">
        <f t="shared" si="0"/>
        <v>47.61</v>
      </c>
      <c r="F38" s="180"/>
    </row>
    <row r="39" spans="1:6" x14ac:dyDescent="0.2">
      <c r="A39" s="200" t="s">
        <v>260</v>
      </c>
      <c r="B39" s="201" t="s">
        <v>235</v>
      </c>
      <c r="C39" s="201">
        <v>3</v>
      </c>
      <c r="D39" s="208">
        <v>9.92</v>
      </c>
      <c r="E39" s="208">
        <f t="shared" si="0"/>
        <v>29.759999999999998</v>
      </c>
      <c r="F39" s="180"/>
    </row>
    <row r="40" spans="1:6" x14ac:dyDescent="0.2">
      <c r="A40" s="200" t="s">
        <v>306</v>
      </c>
      <c r="B40" s="201" t="s">
        <v>235</v>
      </c>
      <c r="C40" s="201">
        <v>2</v>
      </c>
      <c r="D40" s="208">
        <v>7.05</v>
      </c>
      <c r="E40" s="208">
        <f t="shared" si="0"/>
        <v>14.1</v>
      </c>
      <c r="F40" s="180"/>
    </row>
    <row r="41" spans="1:6" x14ac:dyDescent="0.2">
      <c r="A41" s="202" t="s">
        <v>261</v>
      </c>
      <c r="B41" s="201" t="s">
        <v>235</v>
      </c>
      <c r="C41" s="201">
        <v>38</v>
      </c>
      <c r="D41" s="208">
        <v>7.59</v>
      </c>
      <c r="E41" s="208">
        <f t="shared" si="0"/>
        <v>288.42</v>
      </c>
      <c r="F41" s="180"/>
    </row>
    <row r="42" spans="1:6" x14ac:dyDescent="0.2">
      <c r="A42" s="202" t="s">
        <v>262</v>
      </c>
      <c r="B42" s="201" t="s">
        <v>235</v>
      </c>
      <c r="C42" s="201">
        <v>9</v>
      </c>
      <c r="D42" s="208">
        <v>7.7</v>
      </c>
      <c r="E42" s="208">
        <f t="shared" si="0"/>
        <v>69.3</v>
      </c>
      <c r="F42" s="180"/>
    </row>
    <row r="43" spans="1:6" x14ac:dyDescent="0.2">
      <c r="A43" s="202" t="s">
        <v>346</v>
      </c>
      <c r="B43" s="201" t="s">
        <v>235</v>
      </c>
      <c r="C43" s="201">
        <v>9</v>
      </c>
      <c r="D43" s="208">
        <v>11.96</v>
      </c>
      <c r="E43" s="208">
        <f t="shared" si="0"/>
        <v>107.64000000000001</v>
      </c>
      <c r="F43" s="180"/>
    </row>
    <row r="44" spans="1:6" x14ac:dyDescent="0.2">
      <c r="A44" s="202" t="s">
        <v>307</v>
      </c>
      <c r="B44" s="201" t="s">
        <v>235</v>
      </c>
      <c r="C44" s="201">
        <v>9</v>
      </c>
      <c r="D44" s="208">
        <v>17.29</v>
      </c>
      <c r="E44" s="208">
        <f t="shared" si="0"/>
        <v>155.60999999999999</v>
      </c>
      <c r="F44" s="180"/>
    </row>
    <row r="45" spans="1:6" x14ac:dyDescent="0.2">
      <c r="A45" s="202" t="s">
        <v>263</v>
      </c>
      <c r="B45" s="201" t="s">
        <v>235</v>
      </c>
      <c r="C45" s="201">
        <v>4</v>
      </c>
      <c r="D45" s="208">
        <v>155.58000000000001</v>
      </c>
      <c r="E45" s="208">
        <f t="shared" si="0"/>
        <v>622.32000000000005</v>
      </c>
      <c r="F45" s="180"/>
    </row>
    <row r="46" spans="1:6" x14ac:dyDescent="0.2">
      <c r="A46" s="202" t="s">
        <v>308</v>
      </c>
      <c r="B46" s="201" t="s">
        <v>235</v>
      </c>
      <c r="C46" s="201">
        <v>2</v>
      </c>
      <c r="D46" s="208">
        <v>22.51</v>
      </c>
      <c r="E46" s="208">
        <f t="shared" si="0"/>
        <v>45.02</v>
      </c>
      <c r="F46" s="180"/>
    </row>
    <row r="47" spans="1:6" x14ac:dyDescent="0.2">
      <c r="A47" s="202" t="s">
        <v>264</v>
      </c>
      <c r="B47" s="201" t="s">
        <v>235</v>
      </c>
      <c r="C47" s="201">
        <v>4</v>
      </c>
      <c r="D47" s="208">
        <v>15.37</v>
      </c>
      <c r="E47" s="208">
        <f t="shared" si="0"/>
        <v>61.48</v>
      </c>
      <c r="F47" s="180"/>
    </row>
    <row r="48" spans="1:6" ht="22.5" x14ac:dyDescent="0.2">
      <c r="A48" s="202" t="s">
        <v>265</v>
      </c>
      <c r="B48" s="201" t="s">
        <v>266</v>
      </c>
      <c r="C48" s="201">
        <v>76</v>
      </c>
      <c r="D48" s="208">
        <v>46.21</v>
      </c>
      <c r="E48" s="208">
        <f t="shared" si="0"/>
        <v>3511.96</v>
      </c>
      <c r="F48" s="180"/>
    </row>
    <row r="49" spans="1:6" x14ac:dyDescent="0.2">
      <c r="A49" s="202" t="s">
        <v>309</v>
      </c>
      <c r="B49" s="201" t="s">
        <v>235</v>
      </c>
      <c r="C49" s="201">
        <v>2</v>
      </c>
      <c r="D49" s="208">
        <v>20.22</v>
      </c>
      <c r="E49" s="208">
        <f t="shared" si="0"/>
        <v>40.44</v>
      </c>
      <c r="F49" s="180"/>
    </row>
    <row r="50" spans="1:6" ht="22.5" x14ac:dyDescent="0.2">
      <c r="A50" s="203" t="s">
        <v>310</v>
      </c>
      <c r="B50" s="204" t="s">
        <v>231</v>
      </c>
      <c r="C50" s="204">
        <v>2</v>
      </c>
      <c r="D50" s="208">
        <v>48.96</v>
      </c>
      <c r="E50" s="208">
        <f t="shared" si="0"/>
        <v>97.92</v>
      </c>
      <c r="F50" s="180"/>
    </row>
    <row r="51" spans="1:6" ht="22.5" x14ac:dyDescent="0.2">
      <c r="A51" s="205" t="s">
        <v>311</v>
      </c>
      <c r="B51" s="187" t="s">
        <v>312</v>
      </c>
      <c r="C51" s="187">
        <v>72</v>
      </c>
      <c r="D51" s="208">
        <v>7.68</v>
      </c>
      <c r="E51" s="208">
        <f>C51*D51</f>
        <v>552.96</v>
      </c>
      <c r="F51" s="54"/>
    </row>
    <row r="52" spans="1:6" ht="22.5" x14ac:dyDescent="0.2">
      <c r="A52" s="205" t="s">
        <v>313</v>
      </c>
      <c r="B52" s="187" t="s">
        <v>312</v>
      </c>
      <c r="C52" s="187">
        <v>9</v>
      </c>
      <c r="D52" s="208">
        <v>8.25</v>
      </c>
      <c r="E52" s="208">
        <f t="shared" ref="E52:E55" si="2">C52*D52</f>
        <v>74.25</v>
      </c>
      <c r="F52" s="54"/>
    </row>
    <row r="53" spans="1:6" x14ac:dyDescent="0.2">
      <c r="A53" s="205" t="s">
        <v>314</v>
      </c>
      <c r="B53" s="187" t="s">
        <v>235</v>
      </c>
      <c r="C53" s="187">
        <v>9</v>
      </c>
      <c r="D53" s="208">
        <v>11.46</v>
      </c>
      <c r="E53" s="208">
        <f t="shared" si="2"/>
        <v>103.14000000000001</v>
      </c>
      <c r="F53" s="190"/>
    </row>
    <row r="54" spans="1:6" x14ac:dyDescent="0.2">
      <c r="A54" s="205" t="s">
        <v>315</v>
      </c>
      <c r="B54" s="187" t="s">
        <v>235</v>
      </c>
      <c r="C54" s="187">
        <v>1</v>
      </c>
      <c r="D54" s="208">
        <v>38.89</v>
      </c>
      <c r="E54" s="208">
        <f t="shared" si="2"/>
        <v>38.89</v>
      </c>
      <c r="F54" s="190"/>
    </row>
    <row r="55" spans="1:6" x14ac:dyDescent="0.2">
      <c r="A55" s="205" t="s">
        <v>316</v>
      </c>
      <c r="B55" s="187" t="s">
        <v>256</v>
      </c>
      <c r="C55" s="187">
        <v>18</v>
      </c>
      <c r="D55" s="208">
        <v>2.77</v>
      </c>
      <c r="E55" s="208">
        <f t="shared" si="2"/>
        <v>49.86</v>
      </c>
      <c r="F55" s="190"/>
    </row>
    <row r="56" spans="1:6" x14ac:dyDescent="0.2">
      <c r="A56" s="205" t="s">
        <v>317</v>
      </c>
      <c r="B56" s="187" t="s">
        <v>256</v>
      </c>
      <c r="C56" s="187">
        <v>9</v>
      </c>
      <c r="D56" s="208">
        <v>21.89</v>
      </c>
      <c r="E56" s="210">
        <f>C56*D56</f>
        <v>197.01</v>
      </c>
      <c r="F56" s="190"/>
    </row>
    <row r="57" spans="1:6" x14ac:dyDescent="0.2">
      <c r="A57" s="301" t="s">
        <v>267</v>
      </c>
      <c r="B57" s="249"/>
      <c r="C57" s="249"/>
      <c r="D57" s="256"/>
      <c r="E57" s="211">
        <f>SUM(E4:E56)</f>
        <v>37182.33</v>
      </c>
      <c r="F57" s="189"/>
    </row>
    <row r="58" spans="1:6" x14ac:dyDescent="0.2">
      <c r="A58" s="301" t="s">
        <v>318</v>
      </c>
      <c r="B58" s="249"/>
      <c r="C58" s="249"/>
      <c r="D58" s="256"/>
      <c r="E58" s="191">
        <v>19</v>
      </c>
      <c r="F58" s="54"/>
    </row>
    <row r="59" spans="1:6" ht="13.5" thickBot="1" x14ac:dyDescent="0.25">
      <c r="A59" s="302" t="s">
        <v>213</v>
      </c>
      <c r="B59" s="303"/>
      <c r="C59" s="303"/>
      <c r="D59" s="304"/>
      <c r="E59" s="211">
        <f>E57/E58</f>
        <v>1956.9647368421054</v>
      </c>
      <c r="F59" s="189"/>
    </row>
  </sheetData>
  <mergeCells count="9">
    <mergeCell ref="A1:E1"/>
    <mergeCell ref="A57:D57"/>
    <mergeCell ref="A58:D58"/>
    <mergeCell ref="A59:D59"/>
    <mergeCell ref="G28:J28"/>
    <mergeCell ref="G29:J29"/>
    <mergeCell ref="G30:J30"/>
    <mergeCell ref="G31:J31"/>
    <mergeCell ref="G1:K1"/>
  </mergeCells>
  <pageMargins left="0.511811024" right="0.511811024" top="0.78740157499999996" bottom="0.78740157499999996" header="0.31496062000000002" footer="0.31496062000000002"/>
  <pageSetup paperSize="9" scale="6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81D4-BBF4-41BA-B240-2403F2A11BA4}">
  <sheetPr>
    <pageSetUpPr fitToPage="1"/>
  </sheetPr>
  <dimension ref="B2:I16"/>
  <sheetViews>
    <sheetView tabSelected="1" workbookViewId="0">
      <selection activeCell="G38" sqref="G38"/>
    </sheetView>
  </sheetViews>
  <sheetFormatPr defaultRowHeight="12.75" x14ac:dyDescent="0.2"/>
  <cols>
    <col min="2" max="2" width="46.5703125" bestFit="1" customWidth="1"/>
    <col min="3" max="3" width="20.7109375" bestFit="1" customWidth="1"/>
    <col min="4" max="4" width="13.140625" bestFit="1" customWidth="1"/>
    <col min="5" max="5" width="13.28515625" bestFit="1" customWidth="1"/>
    <col min="6" max="6" width="14.85546875" bestFit="1" customWidth="1"/>
  </cols>
  <sheetData>
    <row r="2" spans="2:9" x14ac:dyDescent="0.2">
      <c r="B2" s="308" t="s">
        <v>114</v>
      </c>
      <c r="C2" s="308"/>
      <c r="D2" s="308"/>
      <c r="E2" s="308"/>
      <c r="F2" s="308"/>
    </row>
    <row r="4" spans="2:9" x14ac:dyDescent="0.2">
      <c r="B4" s="192" t="s">
        <v>269</v>
      </c>
      <c r="C4" s="192" t="s">
        <v>281</v>
      </c>
      <c r="D4" s="192" t="s">
        <v>270</v>
      </c>
      <c r="E4" s="192" t="s">
        <v>271</v>
      </c>
      <c r="F4" s="192" t="s">
        <v>282</v>
      </c>
    </row>
    <row r="5" spans="2:9" x14ac:dyDescent="0.2">
      <c r="B5" s="193" t="s">
        <v>273</v>
      </c>
      <c r="C5" s="194" t="s">
        <v>274</v>
      </c>
      <c r="D5" s="195" t="s">
        <v>235</v>
      </c>
      <c r="E5" s="196">
        <v>3312.38</v>
      </c>
      <c r="F5" s="175">
        <f t="shared" ref="F5:F6" si="0">C5*E5</f>
        <v>9937.14</v>
      </c>
    </row>
    <row r="6" spans="2:9" x14ac:dyDescent="0.2">
      <c r="B6" s="193" t="s">
        <v>275</v>
      </c>
      <c r="C6" s="194" t="s">
        <v>276</v>
      </c>
      <c r="D6" s="195" t="s">
        <v>235</v>
      </c>
      <c r="E6" s="196">
        <v>67.77</v>
      </c>
      <c r="F6" s="175">
        <f t="shared" si="0"/>
        <v>271.08</v>
      </c>
    </row>
    <row r="7" spans="2:9" x14ac:dyDescent="0.2">
      <c r="B7" s="305" t="s">
        <v>61</v>
      </c>
      <c r="C7" s="306"/>
      <c r="D7" s="306"/>
      <c r="E7" s="307"/>
      <c r="F7" s="170">
        <f>SUM(F5:F6)</f>
        <v>10208.219999999999</v>
      </c>
    </row>
    <row r="8" spans="2:9" x14ac:dyDescent="0.2">
      <c r="B8" s="305" t="s">
        <v>277</v>
      </c>
      <c r="C8" s="306"/>
      <c r="D8" s="306"/>
      <c r="E8" s="307"/>
      <c r="F8" s="196">
        <v>0</v>
      </c>
    </row>
    <row r="9" spans="2:9" x14ac:dyDescent="0.2">
      <c r="B9" s="305" t="s">
        <v>278</v>
      </c>
      <c r="C9" s="306"/>
      <c r="D9" s="306"/>
      <c r="E9" s="307"/>
      <c r="F9" s="196">
        <f>(F7-F8)/30</f>
        <v>340.274</v>
      </c>
    </row>
    <row r="10" spans="2:9" x14ac:dyDescent="0.2">
      <c r="B10" s="305" t="s">
        <v>318</v>
      </c>
      <c r="C10" s="306"/>
      <c r="D10" s="306"/>
      <c r="E10" s="307"/>
      <c r="F10" s="197">
        <v>19</v>
      </c>
    </row>
    <row r="11" spans="2:9" x14ac:dyDescent="0.2">
      <c r="B11" s="305" t="s">
        <v>279</v>
      </c>
      <c r="C11" s="306"/>
      <c r="D11" s="306"/>
      <c r="E11" s="307"/>
      <c r="F11" s="198">
        <f>F9/F10</f>
        <v>17.909157894736843</v>
      </c>
    </row>
    <row r="16" spans="2:9" x14ac:dyDescent="0.2">
      <c r="I16" s="196"/>
    </row>
  </sheetData>
  <mergeCells count="6">
    <mergeCell ref="B7:E7"/>
    <mergeCell ref="B9:E9"/>
    <mergeCell ref="B10:E10"/>
    <mergeCell ref="B11:E11"/>
    <mergeCell ref="B2:F2"/>
    <mergeCell ref="B8:E8"/>
  </mergeCells>
  <pageMargins left="0.511811024" right="0.511811024" top="0.78740157499999996" bottom="0.78740157499999996" header="0.31496062000000002" footer="0.3149606200000000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Quadro resumo</vt:lpstr>
      <vt:lpstr>Encarregada</vt:lpstr>
      <vt:lpstr>Copeira</vt:lpstr>
      <vt:lpstr>Garçonete</vt:lpstr>
      <vt:lpstr>ASG</vt:lpstr>
      <vt:lpstr>Uniformes</vt:lpstr>
      <vt:lpstr>Relatório de Impacto Ambiental</vt:lpstr>
      <vt:lpstr>Materiais</vt:lpstr>
      <vt:lpstr>Equipamentos</vt:lpstr>
      <vt:lpstr>Encarregada!Area_de_impressao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Paulo Roberto Maciel de Souza</cp:lastModifiedBy>
  <cp:lastPrinted>2024-01-18T19:37:05Z</cp:lastPrinted>
  <dcterms:created xsi:type="dcterms:W3CDTF">2010-12-08T17:56:29Z</dcterms:created>
  <dcterms:modified xsi:type="dcterms:W3CDTF">2024-01-18T19:37:10Z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