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DM\ALOG\DCAD\Processos Licitatórios\Editais\2024\Pregão\2 - Numerados\01 Mão de Obra Eventos - RC 6074\"/>
    </mc:Choice>
  </mc:AlternateContent>
  <xr:revisionPtr revIDLastSave="0" documentId="13_ncr:1_{86AEAE70-A66B-45AC-85C0-8A44908BDA54}" xr6:coauthVersionLast="47" xr6:coauthVersionMax="47" xr10:uidLastSave="{00000000-0000-0000-0000-000000000000}"/>
  <bookViews>
    <workbookView xWindow="-120" yWindow="-120" windowWidth="20730" windowHeight="11040" tabRatio="877" activeTab="1" xr2:uid="{00000000-000D-0000-FFFF-FFFF00000000}"/>
  </bookViews>
  <sheets>
    <sheet name="Quadro resumo" sheetId="7" r:id="rId1"/>
    <sheet name="Assistente de Eventos RJ" sheetId="28" r:id="rId2"/>
    <sheet name="Insumos" sheetId="23" r:id="rId3"/>
  </sheets>
  <definedNames>
    <definedName name="_xlnm.Print_Area" localSheetId="1">'Assistente de Eventos RJ'!$A$1:$I$149</definedName>
    <definedName name="_xlnm.Print_Area" localSheetId="2">Insumos!$A$1:$G$20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28" l="1"/>
  <c r="H61" i="28"/>
  <c r="H60" i="28"/>
  <c r="E11" i="23"/>
  <c r="F11" i="23" s="1"/>
  <c r="G11" i="23" s="1"/>
  <c r="E12" i="23"/>
  <c r="F12" i="23" s="1"/>
  <c r="E13" i="23"/>
  <c r="F13" i="23" s="1"/>
  <c r="E14" i="23"/>
  <c r="F14" i="23" s="1"/>
  <c r="E15" i="23"/>
  <c r="F15" i="23" s="1"/>
  <c r="E16" i="23"/>
  <c r="F16" i="23" s="1"/>
  <c r="E17" i="23"/>
  <c r="F17" i="23" s="1"/>
  <c r="G17" i="23" s="1"/>
  <c r="E18" i="23"/>
  <c r="F18" i="23" s="1"/>
  <c r="G145" i="28" l="1"/>
  <c r="G144" i="28"/>
  <c r="G143" i="28"/>
  <c r="G118" i="28"/>
  <c r="H64" i="28"/>
  <c r="H70" i="28" s="1"/>
  <c r="G49" i="28"/>
  <c r="G56" i="28" s="1"/>
  <c r="G42" i="28"/>
  <c r="G41" i="28"/>
  <c r="H27" i="28"/>
  <c r="H26" i="28"/>
  <c r="H29" i="28" s="1"/>
  <c r="G43" i="28" l="1"/>
  <c r="H34" i="28"/>
  <c r="H30" i="28" s="1"/>
  <c r="H28" i="28"/>
  <c r="G18" i="23"/>
  <c r="G16" i="23"/>
  <c r="G15" i="23"/>
  <c r="G14" i="23"/>
  <c r="G13" i="23"/>
  <c r="G12" i="23"/>
  <c r="G19" i="23" l="1"/>
  <c r="H107" i="28" s="1"/>
  <c r="H111" i="28" s="1"/>
  <c r="H132" i="28" s="1"/>
  <c r="H32" i="28"/>
  <c r="H128" i="28" s="1"/>
  <c r="H41" i="28" l="1"/>
  <c r="H43" i="28" s="1"/>
  <c r="H51" i="28" s="1"/>
  <c r="H42" i="28"/>
  <c r="H53" i="28" l="1"/>
  <c r="H55" i="28"/>
  <c r="H77" i="28" s="1"/>
  <c r="H54" i="28"/>
  <c r="H49" i="28"/>
  <c r="H48" i="28"/>
  <c r="H47" i="28"/>
  <c r="H142" i="28"/>
  <c r="H52" i="28"/>
  <c r="H68" i="28"/>
  <c r="H78" i="28"/>
  <c r="H80" i="28"/>
  <c r="H79" i="28" s="1"/>
  <c r="H76" i="28" l="1"/>
  <c r="H56" i="28"/>
  <c r="H69" i="28" s="1"/>
  <c r="H71" i="28" s="1"/>
  <c r="H81" i="28" l="1"/>
  <c r="H82" i="28" s="1"/>
  <c r="H130" i="28" s="1"/>
  <c r="H129" i="28"/>
  <c r="H90" i="28" l="1"/>
  <c r="H88" i="28" s="1"/>
  <c r="H95" i="28"/>
  <c r="H96" i="28" s="1"/>
  <c r="H101" i="28" s="1"/>
  <c r="H89" i="28" l="1"/>
  <c r="H91" i="28" s="1"/>
  <c r="H100" i="28" s="1"/>
  <c r="H102" i="28" l="1"/>
  <c r="H131" i="28" s="1"/>
  <c r="H133" i="28" s="1"/>
  <c r="H116" i="28" s="1"/>
  <c r="H141" i="28"/>
  <c r="H143" i="28" s="1"/>
  <c r="H117" i="28" l="1"/>
  <c r="H118" i="28" s="1"/>
  <c r="H144" i="28"/>
  <c r="H145" i="28" s="1"/>
  <c r="H146" i="28" s="1"/>
  <c r="H121" i="28" l="1"/>
  <c r="H120" i="28"/>
  <c r="H119" i="28"/>
  <c r="H122" i="28" l="1"/>
  <c r="H134" i="28" s="1"/>
  <c r="H135" i="28" s="1"/>
  <c r="H140" i="28" l="1"/>
  <c r="H147" i="28" s="1"/>
  <c r="E9" i="7"/>
  <c r="F9" i="7" l="1"/>
  <c r="F10" i="7" s="1"/>
  <c r="G9" i="7" l="1"/>
  <c r="G10" i="7" s="1"/>
  <c r="G1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michelly</author>
    <author>Felipe Mazza Mascarenhas</author>
  </authors>
  <commentList>
    <comment ref="B23" authorId="0" shapeId="0" xr:uid="{8EF9FF17-23F5-484A-870C-9BA816CC3C37}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7" authorId="0" shapeId="0" xr:uid="{AE16E795-59E6-4D6C-BC81-31111BF09D76}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 xr:uid="{012F115A-E581-4509-BB19-D87B1B0D2DB7}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 xr:uid="{361D5C3B-7C50-4D18-A2A4-1D30A0F8F2D1}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 xr:uid="{CDFA61FB-1F1A-4453-BC5E-92DD1D178D94}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 xr:uid="{3794E779-4A28-4358-8065-B0A9FA8E2C07}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 xr:uid="{2D4EDB0A-1062-4C76-BBF9-FB56F8EAC6DC}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 xr:uid="{41E08C08-33AF-4EA1-B8BE-C74DC38948D7}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 xr:uid="{1C6FF8B6-86D0-46DC-8BDA-A360EF43E89A}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 xr:uid="{A06A0DBA-A8DD-4E81-AF1A-07A63DC2A201}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 xr:uid="{4C3A473C-B5C0-42FF-B6F3-3B1E4C310E75}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 xr:uid="{1E5D2DFB-563D-423D-82E5-D6B2A86E6A4F}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 xr:uid="{6C590D71-1263-4382-9FDD-6AB076629741}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 xr:uid="{BC3B6F53-2DD3-4CE8-9763-C6D21D35190F}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 xr:uid="{5B98A3CC-5B2B-4660-9ACE-C0933C8551CC}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 xr:uid="{09D62F5A-846D-4B91-8274-47BB753B3414}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 xr:uid="{AA10ED3D-070D-4EB6-9E7B-BED011B332BD}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 xr:uid="{E2F03A5B-8F96-4D2C-83B5-A79320469865}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7" authorId="1" shapeId="0" xr:uid="{32CD948B-CF46-4099-A359-3A498496CCC4}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8" authorId="1" shapeId="0" xr:uid="{7A9A7CE7-5BBC-4ADF-9B8F-D4C3EE376252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9" authorId="1" shapeId="0" xr:uid="{67807066-47C8-4492-9F6A-B12602447E6E}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0" authorId="1" shapeId="0" xr:uid="{FABFAEAD-0EBC-4710-BC0B-BFC5DEB112F0}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1" authorId="1" shapeId="0" xr:uid="{9F6D21C7-0660-49D4-A0A6-657CCBB4AB49}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1" authorId="1" shapeId="0" xr:uid="{BF2EDCAA-DD70-4D43-B6BF-B25708FE3041}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1" authorId="1" shapeId="0" xr:uid="{5335D8A1-808A-40BD-9555-BA00CD064C8E}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5" authorId="0" shapeId="0" xr:uid="{346E54C6-4B37-4845-92CB-9C52DCA2ACEE}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7" authorId="0" shapeId="0" xr:uid="{24FD10E5-964A-493D-9000-BE286A0EF1E9}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8" authorId="1" shapeId="0" xr:uid="{561DBF13-9927-4417-9245-CC4163C1673B}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9" authorId="0" shapeId="0" xr:uid="{02BFBF61-32CA-4852-9412-1D9BC906ECEE}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0" authorId="1" shapeId="0" xr:uid="{26BFE4BF-8290-4623-8AA8-3EF294204F12}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4" authorId="0" shapeId="0" xr:uid="{0E70CD31-4754-45A0-AD04-3CAB1C45703C}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5" authorId="0" shapeId="0" xr:uid="{36F32626-749B-42FA-88CB-2FAB3502CD31}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<sst xmlns="http://schemas.openxmlformats.org/spreadsheetml/2006/main" count="315" uniqueCount="215">
  <si>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</si>
  <si>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</si>
  <si>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</si>
  <si>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</si>
  <si>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</si>
  <si>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</si>
  <si>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</si>
  <si>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</si>
  <si>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</si>
  <si>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</si>
  <si>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</si>
  <si>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</si>
  <si>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</si>
  <si>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</si>
  <si>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4.1</t>
  </si>
  <si>
    <t>4.2</t>
  </si>
  <si>
    <t>Custos Indiretos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</si>
  <si>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</si>
  <si>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</si>
  <si>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</si>
  <si>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</si>
  <si>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</si>
  <si>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</si>
  <si>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</si>
  <si>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</si>
  <si>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</si>
  <si>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</si>
  <si>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</si>
  <si>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</si>
  <si>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</si>
  <si>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</si>
  <si>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</si>
  <si>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</si>
  <si>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</si>
  <si>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</si>
  <si>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</si>
  <si>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</si>
  <si>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</si>
  <si>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</si>
  <si>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</si>
  <si>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</si>
  <si>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</si>
  <si>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</si>
  <si>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</si>
  <si>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</si>
  <si>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</si>
  <si>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</si>
  <si>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</si>
  <si>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</si>
  <si>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</si>
  <si>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</si>
  <si>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</si>
  <si>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</si>
  <si>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</si>
  <si>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</si>
  <si>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</si>
  <si>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</si>
  <si>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</si>
  <si>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</si>
  <si>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</si>
  <si>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</si>
  <si>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</si>
  <si>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</si>
  <si>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</si>
  <si>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</si>
  <si>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</si>
  <si>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</si>
  <si>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</si>
  <si>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</si>
  <si>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</si>
  <si>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</si>
  <si>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</si>
  <si>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</si>
  <si>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</si>
  <si>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</si>
  <si>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</si>
  <si>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</si>
  <si>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</si>
  <si>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</si>
  <si>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</si>
  <si>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</si>
  <si>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</si>
  <si>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</si>
  <si>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</si>
  <si>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Item</t>
  </si>
  <si>
    <t>Custo Unitário</t>
  </si>
  <si>
    <t>Cargo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</si>
  <si>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</si>
  <si>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</si>
  <si>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</si>
  <si>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</si>
  <si>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</si>
  <si>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</si>
  <si>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</si>
  <si>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</si>
  <si>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</si>
  <si>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</si>
  <si>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</si>
  <si>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</si>
  <si>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</si>
  <si>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</si>
  <si>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</si>
  <si>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</si>
  <si>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</si>
  <si>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</si>
  <si>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</si>
  <si>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</si>
  <si>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</si>
  <si>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</si>
  <si>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</si>
  <si>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</si>
  <si>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</si>
  <si>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</si>
  <si>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</si>
  <si>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Custo anual por posto</t>
  </si>
  <si>
    <t>Custo mensal por posto</t>
  </si>
  <si>
    <t>BASE DE CÁLCULO DOS TRIBUTOS</t>
  </si>
  <si>
    <t>Mão de Obra vinculada à execução contratual (valor por posto)</t>
  </si>
  <si>
    <t>Memória de cálculo da hora extra</t>
  </si>
  <si>
    <t>VALOR TOTAL</t>
  </si>
  <si>
    <t>Valor da hora extra</t>
  </si>
  <si>
    <r>
      <t>Quantidade (</t>
    </r>
    <r>
      <rPr>
        <b/>
        <sz val="9"/>
        <color rgb="FFFF0000"/>
        <rFont val="Tahoma"/>
        <family val="2"/>
      </rPr>
      <t>Posto</t>
    </r>
    <r>
      <rPr>
        <b/>
        <sz val="9"/>
        <color theme="1"/>
        <rFont val="Tahoma"/>
        <family val="2"/>
      </rPr>
      <t xml:space="preserve">) </t>
    </r>
  </si>
  <si>
    <t>Anexo II</t>
  </si>
  <si>
    <r>
      <t xml:space="preserve">Ref.: Pregão eletrônico nº </t>
    </r>
    <r>
      <rPr>
        <b/>
        <sz val="9"/>
        <color rgb="FFFF0000"/>
        <rFont val="Tahoma"/>
        <family val="2"/>
      </rPr>
      <t>XX</t>
    </r>
    <r>
      <rPr>
        <b/>
        <sz val="9"/>
        <rFont val="Tahoma"/>
        <family val="2"/>
      </rPr>
      <t>/202</t>
    </r>
    <r>
      <rPr>
        <b/>
        <sz val="9"/>
        <color rgb="FFFF0000"/>
        <rFont val="Tahoma"/>
        <family val="2"/>
      </rPr>
      <t>X</t>
    </r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</si>
  <si>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</si>
  <si>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</si>
  <si>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</si>
  <si>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</si>
  <si>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</si>
  <si>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</si>
  <si>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</si>
  <si>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</si>
  <si>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</si>
  <si>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</si>
  <si>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</si>
  <si>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</si>
  <si>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</si>
  <si>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</si>
  <si>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</si>
  <si>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</si>
  <si>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</si>
  <si>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</si>
  <si>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</si>
  <si>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</si>
  <si>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</si>
  <si>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</si>
  <si>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</si>
  <si>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</si>
  <si>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</si>
  <si>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</si>
  <si>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</si>
  <si>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</si>
  <si>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</si>
  <si>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</si>
  <si>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</si>
  <si>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</si>
  <si>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</si>
  <si>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</si>
  <si>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</si>
  <si>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</si>
  <si>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</si>
  <si>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</si>
  <si>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</si>
  <si>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</si>
  <si>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</si>
  <si>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</si>
  <si>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</si>
  <si>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</si>
  <si>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</si>
  <si>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</si>
  <si>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</si>
  <si>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</si>
  <si>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</si>
  <si>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</si>
  <si>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</si>
  <si>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</si>
  <si>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</si>
  <si>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</si>
  <si>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</si>
  <si>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</si>
  <si>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</si>
  <si>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</si>
  <si>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</si>
  <si>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</si>
  <si>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</si>
  <si>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</si>
  <si>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</si>
  <si>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 contar do dia da sessão de recebimento da mesma (observar o subitem 5.5 do Edital).</t>
  </si>
  <si>
    <t>CUSTO POR EMPREGADO</t>
  </si>
  <si>
    <t>Módulo 7 - QUADRO-RESUMO DO CUSTO POR EMPREGADO</t>
  </si>
  <si>
    <t>PAGAMENTO MÍNIMO MENSAL SEM FATO GERADOR E/OU OUTRAS OCORRÊNCIAS</t>
  </si>
  <si>
    <t>Módulo 8- QUADRO-RESUMO DO PAGAMENTO MENSAL SEM FATO GERADOR E/OU OUTRAS OCORRÊNCIAS</t>
  </si>
  <si>
    <t>Contrato inicial</t>
  </si>
  <si>
    <t>Categoria Profissional</t>
  </si>
  <si>
    <r>
      <t xml:space="preserve">OBJETO: </t>
    </r>
    <r>
      <rPr>
        <sz val="9"/>
        <rFont val="Tahoma"/>
        <family val="2"/>
      </rPr>
      <t>Serviços continuados de Assistente de Eventos, nas dependências da Finep/RJ, com dedicação exclusiva de mão-de-obra</t>
    </r>
  </si>
  <si>
    <t>Assistente de Eventos</t>
  </si>
  <si>
    <t>2023/2024</t>
  </si>
  <si>
    <t>CBO 354820</t>
  </si>
  <si>
    <t xml:space="preserve">SINDICATO DOS TRABALHADORES E PROFISSIONAIS DE TURISMO DO ESTADO DO RIO DE JANEIRO - SINTUR </t>
  </si>
  <si>
    <t>UNIFORMES</t>
  </si>
  <si>
    <t>Calça Social</t>
  </si>
  <si>
    <t>Camisa Social</t>
  </si>
  <si>
    <t>Agasalho moleton</t>
  </si>
  <si>
    <t>Sapatenis</t>
  </si>
  <si>
    <t>Calça jeans</t>
  </si>
  <si>
    <t>Camisa Pólo</t>
  </si>
  <si>
    <t>Cinto Social</t>
  </si>
  <si>
    <t>Quantidade por posto 30 meses</t>
  </si>
  <si>
    <t>Meia (par)</t>
  </si>
  <si>
    <t>Custo 30 meses</t>
  </si>
  <si>
    <t>Bilhete único Intermunicipal</t>
  </si>
  <si>
    <t>Outros</t>
  </si>
  <si>
    <t>Auxílio Creche</t>
  </si>
  <si>
    <t>{[(1.A + 1.B + 1.C) ÷ 220h] x 32 h} x 50%</t>
  </si>
  <si>
    <t>{[(Tot.1+Tot.2.1+Tot.2.2)÷30 dias]x 3 dias}÷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</si>
</sst>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  <numFmt numFmtId="167" formatCode="&quot;R$&quot;\ #,##0.0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9"/>
      <color theme="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5">
    <xf numFmtId="0" fontId="0" fillId="0" borderId="0" xfId="0"/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vertical="center"/>
    </xf>
    <xf numFmtId="10" fontId="14" fillId="0" borderId="1" xfId="2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43" fontId="7" fillId="0" borderId="1" xfId="3" applyFont="1" applyBorder="1" applyAlignment="1">
      <alignment vertical="center"/>
    </xf>
    <xf numFmtId="43" fontId="6" fillId="3" borderId="1" xfId="3" applyFont="1" applyFill="1" applyBorder="1" applyAlignment="1">
      <alignment vertical="center"/>
    </xf>
    <xf numFmtId="43" fontId="6" fillId="0" borderId="0" xfId="3" applyFont="1" applyFill="1" applyBorder="1" applyAlignment="1">
      <alignment vertical="center"/>
    </xf>
    <xf numFmtId="10" fontId="7" fillId="0" borderId="1" xfId="0" applyNumberFormat="1" applyFont="1" applyBorder="1" applyAlignment="1">
      <alignment horizontal="center" vertical="center"/>
    </xf>
    <xf numFmtId="43" fontId="7" fillId="0" borderId="1" xfId="3" applyFont="1" applyFill="1" applyBorder="1" applyAlignment="1">
      <alignment vertical="center"/>
    </xf>
    <xf numFmtId="10" fontId="6" fillId="3" borderId="1" xfId="0" applyNumberFormat="1" applyFont="1" applyFill="1" applyBorder="1" applyAlignment="1">
      <alignment horizontal="center" vertical="center"/>
    </xf>
    <xf numFmtId="10" fontId="6" fillId="3" borderId="13" xfId="0" applyNumberFormat="1" applyFont="1" applyFill="1" applyBorder="1" applyAlignment="1">
      <alignment horizontal="center" vertical="center"/>
    </xf>
    <xf numFmtId="43" fontId="6" fillId="0" borderId="1" xfId="3" applyFont="1" applyFill="1" applyBorder="1" applyAlignment="1">
      <alignment vertical="center"/>
    </xf>
    <xf numFmtId="10" fontId="11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3" fontId="7" fillId="0" borderId="1" xfId="3" applyFont="1" applyFill="1" applyBorder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3" borderId="1" xfId="0" applyFont="1" applyFill="1" applyBorder="1" applyAlignment="1">
      <alignment vertical="center"/>
    </xf>
    <xf numFmtId="164" fontId="6" fillId="3" borderId="1" xfId="1" applyFont="1" applyFill="1" applyBorder="1" applyAlignment="1">
      <alignment vertical="center"/>
    </xf>
    <xf numFmtId="2" fontId="5" fillId="0" borderId="0" xfId="0" applyNumberFormat="1" applyFont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43" fontId="7" fillId="7" borderId="1" xfId="3" applyFont="1" applyFill="1" applyBorder="1" applyAlignment="1">
      <alignment vertical="center"/>
    </xf>
    <xf numFmtId="9" fontId="7" fillId="7" borderId="1" xfId="2" applyFont="1" applyFill="1" applyBorder="1" applyAlignment="1">
      <alignment horizontal="center" vertical="center"/>
    </xf>
    <xf numFmtId="10" fontId="7" fillId="7" borderId="1" xfId="2" applyNumberFormat="1" applyFont="1" applyFill="1" applyBorder="1" applyAlignment="1">
      <alignment horizontal="center" vertical="center"/>
    </xf>
    <xf numFmtId="43" fontId="7" fillId="0" borderId="1" xfId="0" applyNumberFormat="1" applyFont="1" applyBorder="1" applyAlignment="1">
      <alignment vertical="center"/>
    </xf>
    <xf numFmtId="9" fontId="7" fillId="7" borderId="2" xfId="0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43" fontId="7" fillId="7" borderId="1" xfId="3" applyFont="1" applyFill="1" applyBorder="1" applyAlignment="1">
      <alignment horizontal="right" vertical="center"/>
    </xf>
    <xf numFmtId="10" fontId="7" fillId="7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4" fontId="15" fillId="5" borderId="0" xfId="0" applyNumberFormat="1" applyFont="1" applyFill="1" applyAlignment="1">
      <alignment horizontal="center" vertical="center" wrapText="1"/>
    </xf>
    <xf numFmtId="4" fontId="14" fillId="7" borderId="1" xfId="0" applyNumberFormat="1" applyFont="1" applyFill="1" applyBorder="1" applyAlignment="1">
      <alignment horizontal="center" vertical="center" wrapText="1"/>
    </xf>
    <xf numFmtId="10" fontId="7" fillId="7" borderId="1" xfId="0" applyNumberFormat="1" applyFont="1" applyFill="1" applyBorder="1" applyAlignment="1">
      <alignment horizontal="right" vertical="center"/>
    </xf>
    <xf numFmtId="10" fontId="7" fillId="7" borderId="1" xfId="2" applyNumberFormat="1" applyFont="1" applyFill="1" applyBorder="1" applyAlignment="1">
      <alignment horizontal="right" vertical="center"/>
    </xf>
    <xf numFmtId="0" fontId="7" fillId="3" borderId="1" xfId="2" applyNumberFormat="1" applyFont="1" applyFill="1" applyBorder="1" applyAlignment="1">
      <alignment horizontal="right" vertical="center"/>
    </xf>
    <xf numFmtId="43" fontId="7" fillId="0" borderId="1" xfId="3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66" fontId="14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8" fontId="7" fillId="0" borderId="0" xfId="0" applyNumberFormat="1" applyFont="1" applyAlignment="1">
      <alignment vertical="center"/>
    </xf>
    <xf numFmtId="8" fontId="6" fillId="2" borderId="1" xfId="0" applyNumberFormat="1" applyFont="1" applyFill="1" applyBorder="1" applyAlignment="1">
      <alignment vertical="center"/>
    </xf>
    <xf numFmtId="2" fontId="7" fillId="7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7" fillId="5" borderId="9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43" fontId="7" fillId="5" borderId="1" xfId="3" applyFont="1" applyFill="1" applyBorder="1" applyAlignment="1">
      <alignment vertical="center"/>
    </xf>
    <xf numFmtId="43" fontId="6" fillId="5" borderId="0" xfId="3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6" fillId="5" borderId="14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18" xfId="0" applyFont="1" applyFill="1" applyBorder="1" applyAlignment="1">
      <alignment horizontal="left" vertical="center" wrapText="1"/>
    </xf>
    <xf numFmtId="10" fontId="6" fillId="5" borderId="0" xfId="0" applyNumberFormat="1" applyFont="1" applyFill="1" applyAlignment="1">
      <alignment horizontal="center" vertical="center"/>
    </xf>
    <xf numFmtId="2" fontId="6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4" fillId="7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3" fontId="6" fillId="0" borderId="1" xfId="3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1" fillId="5" borderId="0" xfId="0" applyFont="1" applyFill="1" applyAlignment="1">
      <alignment horizontal="left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3" fontId="7" fillId="0" borderId="0" xfId="3" applyFont="1" applyBorder="1" applyAlignment="1">
      <alignment vertical="center"/>
    </xf>
    <xf numFmtId="43" fontId="7" fillId="5" borderId="0" xfId="3" applyFont="1" applyFill="1" applyBorder="1" applyAlignment="1">
      <alignment vertical="center"/>
    </xf>
    <xf numFmtId="43" fontId="7" fillId="0" borderId="0" xfId="3" applyFont="1" applyBorder="1" applyAlignment="1">
      <alignment horizontal="center" vertical="center"/>
    </xf>
    <xf numFmtId="43" fontId="7" fillId="0" borderId="0" xfId="0" applyNumberFormat="1" applyFont="1" applyAlignment="1">
      <alignment vertical="center"/>
    </xf>
    <xf numFmtId="43" fontId="7" fillId="0" borderId="0" xfId="3" applyFont="1" applyFill="1" applyBorder="1" applyAlignment="1">
      <alignment vertical="center"/>
    </xf>
    <xf numFmtId="0" fontId="6" fillId="5" borderId="0" xfId="0" applyFont="1" applyFill="1" applyAlignment="1">
      <alignment horizontal="center" vertical="center" wrapText="1"/>
    </xf>
    <xf numFmtId="43" fontId="6" fillId="0" borderId="0" xfId="3" applyFont="1" applyFill="1" applyBorder="1" applyAlignment="1">
      <alignment horizontal="center" vertical="center"/>
    </xf>
    <xf numFmtId="43" fontId="7" fillId="0" borderId="0" xfId="3" applyFont="1" applyFill="1" applyBorder="1" applyAlignment="1">
      <alignment horizontal="center" vertical="center"/>
    </xf>
    <xf numFmtId="165" fontId="14" fillId="5" borderId="0" xfId="0" applyNumberFormat="1" applyFont="1" applyFill="1" applyAlignment="1">
      <alignment vertical="center"/>
    </xf>
    <xf numFmtId="165" fontId="11" fillId="0" borderId="0" xfId="1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65" fontId="14" fillId="0" borderId="1" xfId="0" applyNumberFormat="1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3" fontId="7" fillId="0" borderId="0" xfId="3" applyFont="1" applyFill="1" applyBorder="1" applyAlignment="1">
      <alignment horizontal="right" vertical="center"/>
    </xf>
    <xf numFmtId="164" fontId="6" fillId="0" borderId="0" xfId="1" applyFont="1" applyFill="1" applyBorder="1" applyAlignment="1">
      <alignment vertical="center"/>
    </xf>
    <xf numFmtId="165" fontId="15" fillId="0" borderId="0" xfId="0" applyNumberFormat="1" applyFont="1" applyAlignment="1">
      <alignment vertical="center"/>
    </xf>
    <xf numFmtId="43" fontId="6" fillId="0" borderId="0" xfId="0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vertical="center"/>
    </xf>
    <xf numFmtId="10" fontId="7" fillId="8" borderId="1" xfId="2" applyNumberFormat="1" applyFont="1" applyFill="1" applyBorder="1" applyAlignment="1">
      <alignment horizontal="center" vertical="center"/>
    </xf>
    <xf numFmtId="43" fontId="7" fillId="8" borderId="1" xfId="3" applyFont="1" applyFill="1" applyBorder="1" applyAlignment="1">
      <alignment vertical="center"/>
    </xf>
    <xf numFmtId="43" fontId="11" fillId="5" borderId="0" xfId="3" applyFont="1" applyFill="1" applyBorder="1" applyAlignment="1">
      <alignment vertical="center"/>
    </xf>
    <xf numFmtId="0" fontId="6" fillId="8" borderId="13" xfId="0" applyFont="1" applyFill="1" applyBorder="1" applyAlignment="1">
      <alignment horizontal="center" vertical="center"/>
    </xf>
    <xf numFmtId="10" fontId="7" fillId="8" borderId="1" xfId="2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165" fontId="27" fillId="0" borderId="1" xfId="1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6" fillId="5" borderId="0" xfId="0" applyFont="1" applyFill="1" applyAlignment="1">
      <alignment vertical="center"/>
    </xf>
    <xf numFmtId="0" fontId="27" fillId="0" borderId="11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/>
    </xf>
    <xf numFmtId="43" fontId="7" fillId="0" borderId="2" xfId="3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5" borderId="8" xfId="0" applyFont="1" applyFill="1" applyBorder="1" applyAlignment="1">
      <alignment vertical="center"/>
    </xf>
    <xf numFmtId="0" fontId="6" fillId="5" borderId="16" xfId="0" applyFont="1" applyFill="1" applyBorder="1" applyAlignment="1">
      <alignment vertical="center"/>
    </xf>
    <xf numFmtId="0" fontId="13" fillId="5" borderId="9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3" fillId="5" borderId="10" xfId="0" applyFont="1" applyFill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14" fillId="5" borderId="2" xfId="0" applyFont="1" applyFill="1" applyBorder="1" applyAlignment="1">
      <alignment vertical="center" wrapText="1"/>
    </xf>
    <xf numFmtId="0" fontId="13" fillId="5" borderId="16" xfId="0" applyFont="1" applyFill="1" applyBorder="1" applyAlignment="1">
      <alignment vertical="center"/>
    </xf>
    <xf numFmtId="165" fontId="14" fillId="5" borderId="2" xfId="0" applyNumberFormat="1" applyFont="1" applyFill="1" applyBorder="1" applyAlignment="1">
      <alignment vertical="center"/>
    </xf>
    <xf numFmtId="0" fontId="25" fillId="2" borderId="10" xfId="0" applyFont="1" applyFill="1" applyBorder="1" applyAlignment="1">
      <alignment vertical="center"/>
    </xf>
    <xf numFmtId="0" fontId="21" fillId="3" borderId="3" xfId="0" applyFont="1" applyFill="1" applyBorder="1" applyAlignment="1">
      <alignment vertical="center"/>
    </xf>
    <xf numFmtId="0" fontId="21" fillId="3" borderId="10" xfId="0" applyFont="1" applyFill="1" applyBorder="1" applyAlignment="1">
      <alignment vertical="center"/>
    </xf>
    <xf numFmtId="0" fontId="6" fillId="5" borderId="18" xfId="0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21" fillId="0" borderId="9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3" borderId="9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2" fontId="14" fillId="0" borderId="1" xfId="0" applyNumberFormat="1" applyFont="1" applyBorder="1" applyAlignment="1">
      <alignment horizontal="center" vertical="center" wrapText="1"/>
    </xf>
    <xf numFmtId="8" fontId="5" fillId="5" borderId="0" xfId="0" applyNumberFormat="1" applyFont="1" applyFill="1" applyAlignment="1">
      <alignment vertical="center"/>
    </xf>
    <xf numFmtId="164" fontId="3" fillId="5" borderId="1" xfId="1" applyFill="1" applyBorder="1" applyAlignment="1">
      <alignment horizontal="center" vertical="center" wrapText="1"/>
    </xf>
    <xf numFmtId="164" fontId="3" fillId="0" borderId="0" xfId="1" applyAlignment="1">
      <alignment vertical="center"/>
    </xf>
    <xf numFmtId="164" fontId="6" fillId="0" borderId="1" xfId="0" applyNumberFormat="1" applyFont="1" applyBorder="1" applyAlignment="1">
      <alignment vertical="center"/>
    </xf>
    <xf numFmtId="164" fontId="15" fillId="0" borderId="1" xfId="0" applyNumberFormat="1" applyFont="1" applyBorder="1" applyAlignment="1">
      <alignment vertical="center"/>
    </xf>
    <xf numFmtId="0" fontId="15" fillId="4" borderId="10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5" borderId="0" xfId="0" applyNumberFormat="1" applyFont="1" applyFill="1" applyAlignment="1">
      <alignment horizontal="center" vertical="center" wrapText="1"/>
    </xf>
    <xf numFmtId="43" fontId="14" fillId="0" borderId="1" xfId="3" applyFont="1" applyBorder="1" applyAlignment="1">
      <alignment horizontal="center" vertical="center" wrapText="1"/>
    </xf>
    <xf numFmtId="43" fontId="11" fillId="0" borderId="0" xfId="3" applyFont="1" applyFill="1" applyBorder="1" applyAlignment="1">
      <alignment horizontal="left" vertical="top"/>
    </xf>
    <xf numFmtId="0" fontId="24" fillId="3" borderId="6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167" fontId="14" fillId="7" borderId="1" xfId="0" applyNumberFormat="1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14" fontId="14" fillId="7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16" fillId="8" borderId="9" xfId="0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10" fontId="7" fillId="0" borderId="15" xfId="0" applyNumberFormat="1" applyFont="1" applyBorder="1" applyAlignment="1">
      <alignment horizontal="center" vertical="center"/>
    </xf>
    <xf numFmtId="10" fontId="7" fillId="0" borderId="16" xfId="0" applyNumberFormat="1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43" fontId="7" fillId="0" borderId="1" xfId="3" applyFont="1" applyFill="1" applyBorder="1" applyAlignment="1">
      <alignment horizontal="center" vertical="center"/>
    </xf>
    <xf numFmtId="0" fontId="26" fillId="0" borderId="9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21" fillId="3" borderId="3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5" fillId="2" borderId="9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</cellXfs>
  <cellStyles count="14">
    <cellStyle name="Moeda" xfId="1" builtinId="4"/>
    <cellStyle name="Moeda 2" xfId="6" xr:uid="{00000000-0005-0000-0000-000001000000}"/>
    <cellStyle name="Moeda 3" xfId="11" xr:uid="{00000000-0005-0000-0000-000002000000}"/>
    <cellStyle name="Normal" xfId="0" builtinId="0"/>
    <cellStyle name="Normal 2" xfId="5" xr:uid="{00000000-0005-0000-0000-000004000000}"/>
    <cellStyle name="Normal 3" xfId="4" xr:uid="{00000000-0005-0000-0000-000005000000}"/>
    <cellStyle name="Normal 4" xfId="12" xr:uid="{00000000-0005-0000-0000-000006000000}"/>
    <cellStyle name="Porcentagem" xfId="2" builtinId="5"/>
    <cellStyle name="Porcentagem 2" xfId="7" xr:uid="{00000000-0005-0000-0000-000008000000}"/>
    <cellStyle name="Porcentagem 3" xfId="10" xr:uid="{00000000-0005-0000-0000-000009000000}"/>
    <cellStyle name="Vírgula" xfId="3" builtinId="3"/>
    <cellStyle name="Vírgula 2" xfId="8" xr:uid="{00000000-0005-0000-0000-00000B000000}"/>
    <cellStyle name="Vírgula 3" xfId="9" xr:uid="{00000000-0005-0000-0000-00000C000000}"/>
    <cellStyle name="Vírgula 4" xfId="13" xr:uid="{00000000-0005-0000-0000-00000D000000}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B1:H23"/>
  <sheetViews>
    <sheetView showGridLines="0" zoomScaleNormal="100" workbookViewId="0">
      <selection activeCell="G23" sqref="G23"/>
    </sheetView>
  </sheetViews>
  <sheetFormatPr defaultColWidth="9.140625" defaultRowHeight="22.5" customHeight="1" x14ac:dyDescent="0.2"/>
  <cols>
    <col min="1" max="1" width="3.28515625" style="54" customWidth="1"/>
    <col min="2" max="2" width="20.85546875" style="54" customWidth="1"/>
    <col min="3" max="4" width="13.28515625" style="54" customWidth="1"/>
    <col min="5" max="5" width="14.28515625" style="54" customWidth="1"/>
    <col min="6" max="6" width="18.140625" style="54" customWidth="1"/>
    <col min="7" max="7" width="16.140625" style="54" bestFit="1" customWidth="1"/>
    <col min="8" max="8" width="14.7109375" style="54" bestFit="1" customWidth="1"/>
    <col min="9" max="16384" width="9.140625" style="54"/>
  </cols>
  <sheetData>
    <row r="1" spans="2:8" ht="22.5" customHeight="1" x14ac:dyDescent="0.2">
      <c r="B1" s="194" t="s">
        <v>122</v>
      </c>
      <c r="C1" s="194"/>
      <c r="D1" s="194"/>
      <c r="E1" s="194"/>
      <c r="F1" s="194"/>
      <c r="G1" s="194"/>
    </row>
    <row r="2" spans="2:8" ht="16.149999999999999" customHeight="1" x14ac:dyDescent="0.2"/>
    <row r="3" spans="2:8" ht="15.6" customHeight="1" x14ac:dyDescent="0.2">
      <c r="B3" s="58" t="s">
        <v>123</v>
      </c>
    </row>
    <row r="4" spans="2:8" ht="44.25" customHeight="1" x14ac:dyDescent="0.2">
      <c r="B4" s="195" t="s">
        <v>194</v>
      </c>
      <c r="C4" s="195"/>
      <c r="D4" s="195"/>
      <c r="E4" s="195"/>
      <c r="F4" s="195"/>
      <c r="G4" s="195"/>
      <c r="H4" s="55"/>
    </row>
    <row r="5" spans="2:8" ht="22.5" customHeight="1" thickBot="1" x14ac:dyDescent="0.25"/>
    <row r="6" spans="2:8" ht="22.5" customHeight="1" thickBot="1" x14ac:dyDescent="0.25">
      <c r="B6" s="188" t="s">
        <v>90</v>
      </c>
      <c r="C6" s="189"/>
      <c r="D6" s="189"/>
      <c r="E6" s="189"/>
      <c r="F6" s="189"/>
      <c r="G6" s="190"/>
    </row>
    <row r="7" spans="2:8" ht="22.5" customHeight="1" x14ac:dyDescent="0.2">
      <c r="B7" s="9"/>
      <c r="C7" s="9"/>
      <c r="D7" s="9"/>
      <c r="E7" s="9"/>
      <c r="F7" s="9"/>
      <c r="G7" s="9"/>
    </row>
    <row r="8" spans="2:8" ht="22.5" customHeight="1" x14ac:dyDescent="0.2">
      <c r="B8" s="40" t="s">
        <v>86</v>
      </c>
      <c r="C8" s="40" t="s">
        <v>121</v>
      </c>
      <c r="D8" s="40" t="s">
        <v>87</v>
      </c>
      <c r="E8" s="40" t="s">
        <v>96</v>
      </c>
      <c r="F8" s="40" t="s">
        <v>88</v>
      </c>
      <c r="G8" s="40" t="s">
        <v>89</v>
      </c>
    </row>
    <row r="9" spans="2:8" ht="22.5" customHeight="1" x14ac:dyDescent="0.2">
      <c r="B9" s="5" t="s">
        <v>195</v>
      </c>
      <c r="C9" s="5">
        <v>2</v>
      </c>
      <c r="D9" s="5">
        <v>30</v>
      </c>
      <c r="E9" s="178">
        <f>'Assistente de Eventos RJ'!H135</f>
        <v>8430.8533333333362</v>
      </c>
      <c r="F9" s="178">
        <f>E9*C9</f>
        <v>16861.706666666672</v>
      </c>
      <c r="G9" s="178">
        <f>F9*D9</f>
        <v>505851.20000000019</v>
      </c>
    </row>
    <row r="10" spans="2:8" ht="22.5" customHeight="1" x14ac:dyDescent="0.2">
      <c r="B10" s="12" t="s">
        <v>61</v>
      </c>
      <c r="C10" s="53">
        <v>2</v>
      </c>
      <c r="D10" s="192"/>
      <c r="E10" s="193"/>
      <c r="F10" s="180">
        <f>F9</f>
        <v>16861.706666666672</v>
      </c>
      <c r="G10" s="181">
        <f>G9</f>
        <v>505851.20000000019</v>
      </c>
    </row>
    <row r="11" spans="2:8" ht="22.5" customHeight="1" x14ac:dyDescent="0.2">
      <c r="B11" s="191" t="s">
        <v>119</v>
      </c>
      <c r="C11" s="191"/>
      <c r="D11" s="191"/>
      <c r="E11" s="191"/>
      <c r="F11" s="191"/>
      <c r="G11" s="56">
        <f>G10</f>
        <v>505851.20000000019</v>
      </c>
    </row>
    <row r="12" spans="2:8" ht="22.5" customHeight="1" x14ac:dyDescent="0.2">
      <c r="F12" s="1"/>
    </row>
    <row r="13" spans="2:8" ht="22.5" customHeight="1" x14ac:dyDescent="0.2">
      <c r="B13" s="2" t="s">
        <v>53</v>
      </c>
      <c r="C13" s="3"/>
      <c r="D13" s="77"/>
      <c r="E13" s="1" t="s">
        <v>54</v>
      </c>
      <c r="F13" s="1"/>
    </row>
    <row r="14" spans="2:8" ht="22.5" customHeight="1" x14ac:dyDescent="0.2">
      <c r="B14" s="54" t="s">
        <v>187</v>
      </c>
      <c r="F14" s="1"/>
    </row>
    <row r="15" spans="2:8" ht="22.5" customHeight="1" x14ac:dyDescent="0.2">
      <c r="F15" s="1"/>
    </row>
    <row r="16" spans="2:8" ht="22.5" customHeight="1" x14ac:dyDescent="0.2">
      <c r="E16" s="127" t="s">
        <v>180</v>
      </c>
      <c r="F16" s="1"/>
      <c r="H16" s="55"/>
    </row>
    <row r="17" spans="5:8" ht="22.5" customHeight="1" x14ac:dyDescent="0.2">
      <c r="E17" s="128"/>
      <c r="H17" s="179"/>
    </row>
    <row r="18" spans="5:8" ht="22.5" customHeight="1" x14ac:dyDescent="0.2">
      <c r="E18" s="128" t="s">
        <v>181</v>
      </c>
      <c r="H18" s="179"/>
    </row>
    <row r="19" spans="5:8" ht="22.5" customHeight="1" x14ac:dyDescent="0.2">
      <c r="E19" s="128" t="s">
        <v>182</v>
      </c>
      <c r="H19" s="55"/>
    </row>
    <row r="20" spans="5:8" ht="22.5" customHeight="1" x14ac:dyDescent="0.2">
      <c r="E20" s="128" t="s">
        <v>183</v>
      </c>
    </row>
    <row r="21" spans="5:8" ht="22.5" customHeight="1" x14ac:dyDescent="0.2">
      <c r="E21" s="128" t="s">
        <v>184</v>
      </c>
    </row>
    <row r="22" spans="5:8" ht="22.5" customHeight="1" x14ac:dyDescent="0.2">
      <c r="E22" s="128" t="s">
        <v>185</v>
      </c>
    </row>
    <row r="23" spans="5:8" ht="22.5" customHeight="1" x14ac:dyDescent="0.2">
      <c r="E23" s="128" t="s">
        <v>186</v>
      </c>
    </row>
  </sheetData>
  <mergeCells count="5">
    <mergeCell ref="B6:G6"/>
    <mergeCell ref="B11:F11"/>
    <mergeCell ref="D10:E10"/>
    <mergeCell ref="B1:G1"/>
    <mergeCell ref="B4:G4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9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798E2-B940-436F-9F1C-DB7F75E0358C}">
  <sheetPr>
    <tabColor theme="9"/>
  </sheetPr>
  <dimension ref="B1:J154"/>
  <sheetViews>
    <sheetView showGridLines="0" tabSelected="1" view="pageBreakPreview" topLeftCell="A95" zoomScaleNormal="100" zoomScaleSheetLayoutView="100" workbookViewId="0">
      <selection activeCell="I121" sqref="I121"/>
    </sheetView>
  </sheetViews>
  <sheetFormatPr defaultColWidth="9.140625" defaultRowHeight="12.75" x14ac:dyDescent="0.2"/>
  <cols>
    <col min="1" max="1" width="3.5703125" style="59" customWidth="1"/>
    <col min="2" max="2" width="8.28515625" style="59" customWidth="1"/>
    <col min="3" max="3" width="39.140625" style="59" customWidth="1"/>
    <col min="4" max="4" width="29.140625" style="59" customWidth="1"/>
    <col min="5" max="6" width="8.140625" style="59" customWidth="1"/>
    <col min="7" max="7" width="9.140625" style="59" customWidth="1"/>
    <col min="8" max="8" width="15.28515625" style="59" customWidth="1"/>
    <col min="9" max="9" width="46.28515625" style="59" customWidth="1"/>
    <col min="10" max="16384" width="9.140625" style="59"/>
  </cols>
  <sheetData>
    <row r="1" spans="2:9" x14ac:dyDescent="0.2">
      <c r="C1" s="110"/>
      <c r="D1" s="10"/>
      <c r="E1" s="10"/>
      <c r="F1" s="10"/>
      <c r="G1" s="10"/>
      <c r="H1" s="10"/>
      <c r="I1" s="10"/>
    </row>
    <row r="2" spans="2:9" x14ac:dyDescent="0.2">
      <c r="B2" s="200" t="s">
        <v>50</v>
      </c>
      <c r="C2" s="200"/>
      <c r="D2" s="200"/>
      <c r="E2" s="200"/>
      <c r="F2" s="200"/>
      <c r="G2" s="200"/>
      <c r="H2" s="200"/>
      <c r="I2" s="96"/>
    </row>
    <row r="3" spans="2:9" x14ac:dyDescent="0.2">
      <c r="B3" s="201"/>
      <c r="C3" s="201"/>
      <c r="D3" s="201"/>
      <c r="E3" s="201"/>
      <c r="F3" s="201"/>
      <c r="G3" s="201"/>
      <c r="H3" s="201"/>
      <c r="I3" s="98"/>
    </row>
    <row r="4" spans="2:9" x14ac:dyDescent="0.2">
      <c r="B4" s="61"/>
      <c r="C4" s="61"/>
      <c r="D4" s="61"/>
      <c r="E4" s="61"/>
      <c r="F4" s="61"/>
      <c r="G4" s="61"/>
      <c r="H4" s="61"/>
      <c r="I4" s="61"/>
    </row>
    <row r="5" spans="2:9" x14ac:dyDescent="0.2">
      <c r="B5" s="61"/>
      <c r="C5" s="61"/>
      <c r="D5" s="61"/>
      <c r="E5" s="61"/>
      <c r="F5" s="61"/>
      <c r="G5" s="61"/>
      <c r="H5" s="61"/>
      <c r="I5" s="61"/>
    </row>
    <row r="6" spans="2:9" x14ac:dyDescent="0.2">
      <c r="B6" s="135" t="s">
        <v>193</v>
      </c>
      <c r="C6" s="135"/>
      <c r="D6" s="202" t="s">
        <v>195</v>
      </c>
      <c r="E6" s="203"/>
      <c r="F6" s="204"/>
      <c r="I6" s="11"/>
    </row>
    <row r="7" spans="2:9" x14ac:dyDescent="0.2">
      <c r="B7" s="61"/>
      <c r="C7" s="61"/>
      <c r="D7" s="61"/>
      <c r="E7" s="61"/>
      <c r="F7" s="61"/>
      <c r="G7" s="61"/>
      <c r="H7" s="61"/>
      <c r="I7" s="10"/>
    </row>
    <row r="8" spans="2:9" x14ac:dyDescent="0.2">
      <c r="B8" s="205" t="s">
        <v>51</v>
      </c>
      <c r="C8" s="205"/>
      <c r="D8" s="205"/>
      <c r="E8" s="205"/>
      <c r="F8" s="205"/>
      <c r="G8" s="136"/>
      <c r="H8" s="136"/>
      <c r="I8" s="60"/>
    </row>
    <row r="9" spans="2:9" x14ac:dyDescent="0.2">
      <c r="B9" s="196">
        <v>1</v>
      </c>
      <c r="C9" s="197" t="s">
        <v>52</v>
      </c>
      <c r="D9" s="197"/>
      <c r="E9" s="197"/>
      <c r="F9" s="197"/>
      <c r="G9" s="136"/>
      <c r="H9" s="136"/>
      <c r="I9" s="60"/>
    </row>
    <row r="10" spans="2:9" x14ac:dyDescent="0.2">
      <c r="B10" s="196"/>
      <c r="C10" s="198" t="s">
        <v>195</v>
      </c>
      <c r="D10" s="198"/>
      <c r="E10" s="198"/>
      <c r="F10" s="198"/>
      <c r="G10" s="136"/>
      <c r="H10" s="136"/>
      <c r="I10" s="60"/>
    </row>
    <row r="11" spans="2:9" x14ac:dyDescent="0.2">
      <c r="B11" s="196">
        <v>2</v>
      </c>
      <c r="C11" s="197" t="s">
        <v>55</v>
      </c>
      <c r="D11" s="197"/>
      <c r="E11" s="197"/>
      <c r="F11" s="197"/>
      <c r="G11" s="136"/>
      <c r="H11" s="136"/>
      <c r="I11" s="60"/>
    </row>
    <row r="12" spans="2:9" x14ac:dyDescent="0.2">
      <c r="B12" s="196"/>
      <c r="C12" s="198" t="s">
        <v>197</v>
      </c>
      <c r="D12" s="198"/>
      <c r="E12" s="198"/>
      <c r="F12" s="198"/>
      <c r="G12" s="136"/>
      <c r="H12" s="136"/>
      <c r="I12" s="60"/>
    </row>
    <row r="13" spans="2:9" x14ac:dyDescent="0.2">
      <c r="B13" s="196">
        <v>3</v>
      </c>
      <c r="C13" s="197" t="s">
        <v>56</v>
      </c>
      <c r="D13" s="197"/>
      <c r="E13" s="197"/>
      <c r="F13" s="197"/>
      <c r="G13" s="136"/>
      <c r="H13" s="136"/>
      <c r="I13" s="60"/>
    </row>
    <row r="14" spans="2:9" x14ac:dyDescent="0.2">
      <c r="B14" s="196"/>
      <c r="C14" s="199">
        <v>1870</v>
      </c>
      <c r="D14" s="199"/>
      <c r="E14" s="199"/>
      <c r="F14" s="199"/>
      <c r="G14" s="136"/>
      <c r="H14" s="136"/>
      <c r="I14" s="60"/>
    </row>
    <row r="15" spans="2:9" x14ac:dyDescent="0.2">
      <c r="B15" s="196">
        <v>4</v>
      </c>
      <c r="C15" s="197" t="s">
        <v>57</v>
      </c>
      <c r="D15" s="197"/>
      <c r="E15" s="197"/>
      <c r="F15" s="197"/>
      <c r="G15" s="136"/>
      <c r="H15" s="136"/>
      <c r="I15" s="60"/>
    </row>
    <row r="16" spans="2:9" x14ac:dyDescent="0.2">
      <c r="B16" s="196"/>
      <c r="C16" s="213">
        <v>45017</v>
      </c>
      <c r="D16" s="198"/>
      <c r="E16" s="198"/>
      <c r="F16" s="198"/>
      <c r="G16" s="136"/>
      <c r="H16" s="136"/>
      <c r="I16" s="60"/>
    </row>
    <row r="17" spans="2:9" x14ac:dyDescent="0.2">
      <c r="B17" s="196">
        <v>5</v>
      </c>
      <c r="C17" s="197" t="s">
        <v>58</v>
      </c>
      <c r="D17" s="197"/>
      <c r="E17" s="197"/>
      <c r="F17" s="197"/>
      <c r="G17" s="136"/>
      <c r="H17" s="136"/>
      <c r="I17" s="60"/>
    </row>
    <row r="18" spans="2:9" x14ac:dyDescent="0.2">
      <c r="B18" s="196"/>
      <c r="C18" s="198" t="s">
        <v>196</v>
      </c>
      <c r="D18" s="198"/>
      <c r="E18" s="198"/>
      <c r="F18" s="198"/>
      <c r="G18" s="136"/>
      <c r="H18" s="136"/>
      <c r="I18" s="60"/>
    </row>
    <row r="19" spans="2:9" x14ac:dyDescent="0.2">
      <c r="B19" s="196">
        <v>6</v>
      </c>
      <c r="C19" s="197" t="s">
        <v>59</v>
      </c>
      <c r="D19" s="197"/>
      <c r="E19" s="197"/>
      <c r="F19" s="197"/>
      <c r="G19" s="136"/>
      <c r="H19" s="136"/>
      <c r="I19" s="60"/>
    </row>
    <row r="20" spans="2:9" ht="24.75" customHeight="1" x14ac:dyDescent="0.2">
      <c r="B20" s="196"/>
      <c r="C20" s="206" t="s">
        <v>198</v>
      </c>
      <c r="D20" s="206"/>
      <c r="E20" s="206"/>
      <c r="F20" s="206"/>
      <c r="G20" s="136"/>
      <c r="H20" s="136"/>
      <c r="I20" s="60"/>
    </row>
    <row r="21" spans="2:9" x14ac:dyDescent="0.2">
      <c r="B21" s="62"/>
      <c r="C21" s="62"/>
      <c r="D21" s="62"/>
      <c r="E21" s="62"/>
      <c r="F21" s="62"/>
      <c r="G21" s="63"/>
      <c r="H21" s="63"/>
      <c r="I21" s="60"/>
    </row>
    <row r="22" spans="2:9" x14ac:dyDescent="0.2">
      <c r="B22" s="64"/>
      <c r="C22" s="64"/>
      <c r="D22" s="64"/>
      <c r="E22" s="64"/>
      <c r="F22" s="64"/>
      <c r="G22" s="64"/>
      <c r="H22" s="141" t="s">
        <v>192</v>
      </c>
    </row>
    <row r="23" spans="2:9" x14ac:dyDescent="0.2">
      <c r="B23" s="207" t="s">
        <v>66</v>
      </c>
      <c r="C23" s="208"/>
      <c r="D23" s="208"/>
      <c r="E23" s="208"/>
      <c r="F23" s="208"/>
      <c r="G23" s="139"/>
      <c r="H23" s="140"/>
      <c r="I23" s="97"/>
    </row>
    <row r="24" spans="2:9" x14ac:dyDescent="0.2">
      <c r="B24" s="92">
        <v>1</v>
      </c>
      <c r="C24" s="192" t="s">
        <v>60</v>
      </c>
      <c r="D24" s="209"/>
      <c r="E24" s="209"/>
      <c r="F24" s="193"/>
      <c r="G24" s="138" t="s">
        <v>1</v>
      </c>
      <c r="H24" s="138" t="s">
        <v>49</v>
      </c>
      <c r="I24" s="97"/>
    </row>
    <row r="25" spans="2:9" ht="12.75" customHeight="1" x14ac:dyDescent="0.2">
      <c r="B25" s="12" t="s">
        <v>4</v>
      </c>
      <c r="C25" s="90" t="s">
        <v>17</v>
      </c>
      <c r="D25" s="210"/>
      <c r="E25" s="211"/>
      <c r="F25" s="212"/>
      <c r="G25" s="13"/>
      <c r="H25" s="30">
        <v>1870</v>
      </c>
      <c r="I25" s="103"/>
    </row>
    <row r="26" spans="2:9" x14ac:dyDescent="0.2">
      <c r="B26" s="12" t="s">
        <v>5</v>
      </c>
      <c r="C26" s="90" t="s">
        <v>24</v>
      </c>
      <c r="D26" s="210" t="s">
        <v>126</v>
      </c>
      <c r="E26" s="211"/>
      <c r="F26" s="212"/>
      <c r="G26" s="31"/>
      <c r="H26" s="14">
        <f>TRUNC(H$25*$G26,2)</f>
        <v>0</v>
      </c>
      <c r="I26" s="99"/>
    </row>
    <row r="27" spans="2:9" x14ac:dyDescent="0.2">
      <c r="B27" s="12" t="s">
        <v>6</v>
      </c>
      <c r="C27" s="91" t="s">
        <v>25</v>
      </c>
      <c r="D27" s="210" t="s">
        <v>169</v>
      </c>
      <c r="E27" s="211"/>
      <c r="F27" s="212"/>
      <c r="G27" s="31"/>
      <c r="H27" s="14">
        <f>TRUNC(H$25*$G27,2)</f>
        <v>0</v>
      </c>
      <c r="I27" s="99"/>
    </row>
    <row r="28" spans="2:9" x14ac:dyDescent="0.2">
      <c r="B28" s="12" t="s">
        <v>7</v>
      </c>
      <c r="C28" s="91" t="s">
        <v>0</v>
      </c>
      <c r="D28" s="210" t="s">
        <v>176</v>
      </c>
      <c r="E28" s="211"/>
      <c r="F28" s="212"/>
      <c r="G28" s="32"/>
      <c r="H28" s="68">
        <f>TRUNC(((H$25+H26)*$G28)/220*8*15,2)</f>
        <v>0</v>
      </c>
      <c r="I28" s="100"/>
    </row>
    <row r="29" spans="2:9" x14ac:dyDescent="0.2">
      <c r="B29" s="120" t="s">
        <v>8</v>
      </c>
      <c r="C29" s="121" t="s">
        <v>26</v>
      </c>
      <c r="D29" s="221" t="s">
        <v>176</v>
      </c>
      <c r="E29" s="222"/>
      <c r="F29" s="223"/>
      <c r="G29" s="122"/>
      <c r="H29" s="123">
        <f>TRUNC(((H25+H26)*$G29)/220*1*15,2)</f>
        <v>0</v>
      </c>
      <c r="I29" s="124"/>
    </row>
    <row r="30" spans="2:9" x14ac:dyDescent="0.2">
      <c r="B30" s="125" t="s">
        <v>9</v>
      </c>
      <c r="C30" s="121" t="s">
        <v>109</v>
      </c>
      <c r="D30" s="221" t="s">
        <v>213</v>
      </c>
      <c r="E30" s="222"/>
      <c r="F30" s="223"/>
      <c r="G30" s="126">
        <v>0.5</v>
      </c>
      <c r="H30" s="123">
        <f>TRUNC($G$34*H34*(1+$G$30),2)</f>
        <v>408</v>
      </c>
      <c r="I30" s="124"/>
    </row>
    <row r="31" spans="2:9" x14ac:dyDescent="0.2">
      <c r="B31" s="12" t="s">
        <v>10</v>
      </c>
      <c r="C31" s="91" t="s">
        <v>2</v>
      </c>
      <c r="D31" s="210"/>
      <c r="E31" s="211"/>
      <c r="F31" s="212"/>
      <c r="G31" s="32"/>
      <c r="H31" s="49"/>
      <c r="I31" s="101"/>
    </row>
    <row r="32" spans="2:9" x14ac:dyDescent="0.2">
      <c r="B32" s="12" t="s">
        <v>127</v>
      </c>
      <c r="C32" s="192" t="s">
        <v>61</v>
      </c>
      <c r="D32" s="209"/>
      <c r="E32" s="209"/>
      <c r="F32" s="193"/>
      <c r="G32" s="26"/>
      <c r="H32" s="15">
        <f>SUM(H25:H31)</f>
        <v>2278</v>
      </c>
      <c r="I32" s="16"/>
    </row>
    <row r="33" spans="2:9" ht="22.5" x14ac:dyDescent="0.2">
      <c r="B33" s="96"/>
      <c r="C33" s="214" t="s">
        <v>118</v>
      </c>
      <c r="D33" s="214"/>
      <c r="E33" s="214"/>
      <c r="F33" s="214"/>
      <c r="G33" s="52" t="s">
        <v>110</v>
      </c>
      <c r="H33" s="51" t="s">
        <v>120</v>
      </c>
      <c r="I33" s="4"/>
    </row>
    <row r="34" spans="2:9" x14ac:dyDescent="0.2">
      <c r="B34" s="96"/>
      <c r="C34" s="214"/>
      <c r="D34" s="214"/>
      <c r="E34" s="214"/>
      <c r="F34" s="214"/>
      <c r="G34" s="50">
        <v>32</v>
      </c>
      <c r="H34" s="33">
        <f>IF($G$34="",0,TRUNC((H25+H26+H27)/220,2))</f>
        <v>8.5</v>
      </c>
      <c r="I34" s="102"/>
    </row>
    <row r="35" spans="2:9" x14ac:dyDescent="0.2">
      <c r="B35" s="96"/>
      <c r="C35" s="96"/>
      <c r="D35" s="96"/>
      <c r="E35" s="96"/>
      <c r="F35" s="96"/>
      <c r="G35" s="96"/>
      <c r="H35" s="69"/>
      <c r="I35" s="16"/>
    </row>
    <row r="36" spans="2:9" x14ac:dyDescent="0.2">
      <c r="B36" s="96"/>
      <c r="C36" s="96"/>
      <c r="D36" s="96"/>
      <c r="E36" s="96"/>
      <c r="F36" s="96"/>
      <c r="G36" s="96"/>
      <c r="H36" s="69"/>
      <c r="I36" s="16"/>
    </row>
    <row r="37" spans="2:9" ht="12.75" customHeight="1" x14ac:dyDescent="0.2">
      <c r="B37" s="207" t="s">
        <v>67</v>
      </c>
      <c r="C37" s="208"/>
      <c r="D37" s="208"/>
      <c r="E37" s="208"/>
      <c r="F37" s="208"/>
      <c r="G37" s="139"/>
      <c r="H37" s="140"/>
      <c r="I37" s="97"/>
    </row>
    <row r="38" spans="2:9" x14ac:dyDescent="0.2">
      <c r="B38" s="215"/>
      <c r="C38" s="216"/>
      <c r="D38" s="216"/>
      <c r="E38" s="216"/>
      <c r="F38" s="216"/>
      <c r="G38" s="58"/>
      <c r="H38" s="58"/>
      <c r="I38" s="97"/>
    </row>
    <row r="39" spans="2:9" x14ac:dyDescent="0.2">
      <c r="B39" s="217" t="s">
        <v>36</v>
      </c>
      <c r="C39" s="217"/>
      <c r="D39" s="217"/>
      <c r="E39" s="217"/>
      <c r="F39" s="217"/>
      <c r="G39" s="58"/>
      <c r="H39" s="58"/>
      <c r="I39" s="97"/>
    </row>
    <row r="40" spans="2:9" x14ac:dyDescent="0.2">
      <c r="B40" s="138" t="s">
        <v>38</v>
      </c>
      <c r="C40" s="218" t="s">
        <v>27</v>
      </c>
      <c r="D40" s="219"/>
      <c r="E40" s="219"/>
      <c r="F40" s="220"/>
      <c r="G40" s="92" t="s">
        <v>1</v>
      </c>
      <c r="H40" s="92" t="s">
        <v>49</v>
      </c>
      <c r="I40" s="97"/>
    </row>
    <row r="41" spans="2:9" x14ac:dyDescent="0.2">
      <c r="B41" s="12" t="s">
        <v>4</v>
      </c>
      <c r="C41" s="90" t="s">
        <v>112</v>
      </c>
      <c r="D41" s="210" t="s">
        <v>128</v>
      </c>
      <c r="E41" s="211"/>
      <c r="F41" s="212"/>
      <c r="G41" s="144">
        <f>1/12</f>
        <v>8.3333333333333329E-2</v>
      </c>
      <c r="H41" s="145">
        <f>TRUNC((H$32*$G41),2)</f>
        <v>189.83</v>
      </c>
      <c r="I41" s="103"/>
    </row>
    <row r="42" spans="2:9" x14ac:dyDescent="0.2">
      <c r="B42" s="12" t="s">
        <v>5</v>
      </c>
      <c r="C42" s="90" t="s">
        <v>65</v>
      </c>
      <c r="D42" s="210" t="s">
        <v>130</v>
      </c>
      <c r="E42" s="211"/>
      <c r="F42" s="212"/>
      <c r="G42" s="17">
        <f>(1/12)+(1/3/12)</f>
        <v>0.1111111111111111</v>
      </c>
      <c r="H42" s="18">
        <f>TRUNC((H$32*$G42),2)</f>
        <v>253.11</v>
      </c>
      <c r="I42" s="103"/>
    </row>
    <row r="43" spans="2:9" x14ac:dyDescent="0.2">
      <c r="B43" s="12" t="s">
        <v>129</v>
      </c>
      <c r="C43" s="192" t="s">
        <v>61</v>
      </c>
      <c r="D43" s="209"/>
      <c r="E43" s="209"/>
      <c r="F43" s="193"/>
      <c r="G43" s="19">
        <f>TRUNC(SUM(G41:G42),4)</f>
        <v>0.19439999999999999</v>
      </c>
      <c r="H43" s="15">
        <f>SUM(H41:H42)</f>
        <v>442.94000000000005</v>
      </c>
      <c r="I43" s="16"/>
    </row>
    <row r="44" spans="2:9" x14ac:dyDescent="0.2">
      <c r="B44" s="231"/>
      <c r="C44" s="232"/>
      <c r="D44" s="232"/>
      <c r="E44" s="232"/>
      <c r="F44" s="232"/>
      <c r="G44" s="232"/>
      <c r="H44" s="233"/>
      <c r="I44" s="96"/>
    </row>
    <row r="45" spans="2:9" ht="30" customHeight="1" x14ac:dyDescent="0.2">
      <c r="B45" s="234" t="s">
        <v>68</v>
      </c>
      <c r="C45" s="235"/>
      <c r="D45" s="235"/>
      <c r="E45" s="235"/>
      <c r="F45" s="236"/>
      <c r="G45" s="142"/>
      <c r="H45" s="143"/>
      <c r="I45" s="104"/>
    </row>
    <row r="46" spans="2:9" x14ac:dyDescent="0.2">
      <c r="B46" s="92" t="s">
        <v>39</v>
      </c>
      <c r="C46" s="192" t="s">
        <v>69</v>
      </c>
      <c r="D46" s="209"/>
      <c r="E46" s="209"/>
      <c r="F46" s="193"/>
      <c r="G46" s="92" t="s">
        <v>1</v>
      </c>
      <c r="H46" s="92" t="s">
        <v>49</v>
      </c>
      <c r="I46" s="97"/>
    </row>
    <row r="47" spans="2:9" x14ac:dyDescent="0.2">
      <c r="B47" s="12" t="s">
        <v>4</v>
      </c>
      <c r="C47" s="90" t="s">
        <v>30</v>
      </c>
      <c r="D47" s="210" t="s">
        <v>131</v>
      </c>
      <c r="E47" s="211"/>
      <c r="F47" s="212"/>
      <c r="G47" s="17">
        <v>0.2</v>
      </c>
      <c r="H47" s="18">
        <f>TRUNC((H$32+H$43)*$G47,2)</f>
        <v>544.17999999999995</v>
      </c>
      <c r="I47" s="103"/>
    </row>
    <row r="48" spans="2:9" x14ac:dyDescent="0.2">
      <c r="B48" s="12" t="s">
        <v>5</v>
      </c>
      <c r="C48" s="78" t="s">
        <v>31</v>
      </c>
      <c r="D48" s="210" t="s">
        <v>132</v>
      </c>
      <c r="E48" s="211"/>
      <c r="F48" s="212"/>
      <c r="G48" s="17">
        <v>2.5000000000000001E-2</v>
      </c>
      <c r="H48" s="18">
        <f>TRUNC((H$32+H$43)*$G48,2)</f>
        <v>68.02</v>
      </c>
      <c r="I48" s="103"/>
    </row>
    <row r="49" spans="2:10" x14ac:dyDescent="0.2">
      <c r="B49" s="224" t="s">
        <v>6</v>
      </c>
      <c r="C49" s="226" t="s">
        <v>103</v>
      </c>
      <c r="D49" s="228" t="s">
        <v>138</v>
      </c>
      <c r="E49" s="6" t="s">
        <v>104</v>
      </c>
      <c r="F49" s="6" t="s">
        <v>102</v>
      </c>
      <c r="G49" s="229">
        <f>E50*F50</f>
        <v>0.03</v>
      </c>
      <c r="H49" s="240">
        <f>TRUNC((H$32+H$43)*$G49,2)</f>
        <v>81.62</v>
      </c>
      <c r="I49" s="106"/>
    </row>
    <row r="50" spans="2:10" x14ac:dyDescent="0.2">
      <c r="B50" s="225"/>
      <c r="C50" s="227"/>
      <c r="D50" s="228"/>
      <c r="E50" s="34">
        <v>0.03</v>
      </c>
      <c r="F50" s="35">
        <v>1</v>
      </c>
      <c r="G50" s="230"/>
      <c r="H50" s="240"/>
      <c r="I50" s="106"/>
    </row>
    <row r="51" spans="2:10" x14ac:dyDescent="0.2">
      <c r="B51" s="12" t="s">
        <v>7</v>
      </c>
      <c r="C51" s="90" t="s">
        <v>29</v>
      </c>
      <c r="D51" s="210" t="s">
        <v>133</v>
      </c>
      <c r="E51" s="211"/>
      <c r="F51" s="212"/>
      <c r="G51" s="17">
        <v>1.4999999999999999E-2</v>
      </c>
      <c r="H51" s="18">
        <f>TRUNC((H$32+H$43)*$G51,2)</f>
        <v>40.81</v>
      </c>
      <c r="I51" s="103"/>
    </row>
    <row r="52" spans="2:10" x14ac:dyDescent="0.2">
      <c r="B52" s="12" t="s">
        <v>8</v>
      </c>
      <c r="C52" s="90" t="s">
        <v>32</v>
      </c>
      <c r="D52" s="210" t="s">
        <v>134</v>
      </c>
      <c r="E52" s="211"/>
      <c r="F52" s="212"/>
      <c r="G52" s="17">
        <v>0.01</v>
      </c>
      <c r="H52" s="18">
        <f>TRUNC((H$32+H$43)*$G52,2)</f>
        <v>27.2</v>
      </c>
      <c r="I52" s="103"/>
    </row>
    <row r="53" spans="2:10" x14ac:dyDescent="0.2">
      <c r="B53" s="12" t="s">
        <v>9</v>
      </c>
      <c r="C53" s="90" t="s">
        <v>33</v>
      </c>
      <c r="D53" s="210" t="s">
        <v>135</v>
      </c>
      <c r="E53" s="211"/>
      <c r="F53" s="212"/>
      <c r="G53" s="17">
        <v>6.0000000000000001E-3</v>
      </c>
      <c r="H53" s="18">
        <f>TRUNC((H$32+H$43)*$G53,2)</f>
        <v>16.32</v>
      </c>
      <c r="I53" s="103"/>
    </row>
    <row r="54" spans="2:10" x14ac:dyDescent="0.2">
      <c r="B54" s="12" t="s">
        <v>10</v>
      </c>
      <c r="C54" s="90" t="s">
        <v>34</v>
      </c>
      <c r="D54" s="210" t="s">
        <v>136</v>
      </c>
      <c r="E54" s="211"/>
      <c r="F54" s="212"/>
      <c r="G54" s="17">
        <v>2E-3</v>
      </c>
      <c r="H54" s="18">
        <f>TRUNC((H$32+H$43)*$G54,2)</f>
        <v>5.44</v>
      </c>
      <c r="I54" s="103"/>
    </row>
    <row r="55" spans="2:10" x14ac:dyDescent="0.2">
      <c r="B55" s="12" t="s">
        <v>11</v>
      </c>
      <c r="C55" s="90" t="s">
        <v>35</v>
      </c>
      <c r="D55" s="210" t="s">
        <v>137</v>
      </c>
      <c r="E55" s="211"/>
      <c r="F55" s="212"/>
      <c r="G55" s="17">
        <v>0.08</v>
      </c>
      <c r="H55" s="18">
        <f>TRUNC((H$32+H$43)*$G55,2)</f>
        <v>217.67</v>
      </c>
      <c r="I55" s="103"/>
    </row>
    <row r="56" spans="2:10" x14ac:dyDescent="0.2">
      <c r="B56" s="12" t="s">
        <v>139</v>
      </c>
      <c r="C56" s="192" t="s">
        <v>61</v>
      </c>
      <c r="D56" s="209"/>
      <c r="E56" s="209"/>
      <c r="F56" s="193"/>
      <c r="G56" s="20">
        <f>SUM(G47:G55)</f>
        <v>0.36800000000000005</v>
      </c>
      <c r="H56" s="15">
        <f>SUM(H47:H55)</f>
        <v>1001.26</v>
      </c>
      <c r="I56" s="16"/>
    </row>
    <row r="57" spans="2:10" x14ac:dyDescent="0.2">
      <c r="B57" s="237"/>
      <c r="C57" s="238"/>
      <c r="D57" s="238"/>
      <c r="E57" s="238"/>
      <c r="F57" s="238"/>
      <c r="G57" s="238"/>
      <c r="H57" s="239"/>
      <c r="I57" s="115"/>
    </row>
    <row r="58" spans="2:10" ht="12.75" customHeight="1" x14ac:dyDescent="0.2">
      <c r="B58" s="234" t="s">
        <v>37</v>
      </c>
      <c r="C58" s="235"/>
      <c r="D58" s="235"/>
      <c r="E58" s="235"/>
      <c r="F58" s="236"/>
      <c r="G58" s="142"/>
      <c r="H58" s="143"/>
      <c r="I58" s="115"/>
    </row>
    <row r="59" spans="2:10" x14ac:dyDescent="0.2">
      <c r="B59" s="92" t="s">
        <v>40</v>
      </c>
      <c r="C59" s="192" t="s">
        <v>41</v>
      </c>
      <c r="D59" s="209"/>
      <c r="E59" s="209"/>
      <c r="F59" s="209"/>
      <c r="G59" s="79"/>
      <c r="H59" s="92" t="s">
        <v>49</v>
      </c>
      <c r="I59" s="97"/>
    </row>
    <row r="60" spans="2:10" ht="12.75" customHeight="1" x14ac:dyDescent="0.2">
      <c r="B60" s="12" t="s">
        <v>4</v>
      </c>
      <c r="C60" s="90" t="s">
        <v>47</v>
      </c>
      <c r="D60" s="165" t="s">
        <v>142</v>
      </c>
      <c r="E60" s="166"/>
      <c r="F60" s="166"/>
      <c r="G60" s="167"/>
      <c r="H60" s="36">
        <f>TRUNC((8.5*2*22)-(H$25*6%),2)</f>
        <v>261.8</v>
      </c>
      <c r="I60" s="187" t="s">
        <v>210</v>
      </c>
    </row>
    <row r="61" spans="2:10" ht="12.75" customHeight="1" x14ac:dyDescent="0.2">
      <c r="B61" s="12" t="s">
        <v>5</v>
      </c>
      <c r="C61" s="90" t="s">
        <v>48</v>
      </c>
      <c r="D61" s="165" t="s">
        <v>143</v>
      </c>
      <c r="E61" s="166"/>
      <c r="F61" s="166"/>
      <c r="G61" s="167"/>
      <c r="H61" s="36">
        <f>(27*22)</f>
        <v>594</v>
      </c>
      <c r="I61" s="116"/>
    </row>
    <row r="62" spans="2:10" x14ac:dyDescent="0.2">
      <c r="B62" s="12" t="s">
        <v>6</v>
      </c>
      <c r="C62" s="90" t="s">
        <v>212</v>
      </c>
      <c r="D62" s="165"/>
      <c r="E62" s="166"/>
      <c r="F62" s="166"/>
      <c r="G62" s="167"/>
      <c r="H62" s="36">
        <f>0.2*1640</f>
        <v>328</v>
      </c>
      <c r="I62" s="116"/>
    </row>
    <row r="63" spans="2:10" x14ac:dyDescent="0.2">
      <c r="B63" s="12" t="s">
        <v>7</v>
      </c>
      <c r="C63" s="90" t="s">
        <v>211</v>
      </c>
      <c r="D63" s="165"/>
      <c r="E63" s="166"/>
      <c r="F63" s="166"/>
      <c r="G63" s="167"/>
      <c r="H63" s="36">
        <v>0</v>
      </c>
      <c r="I63" s="116"/>
      <c r="J63" s="175"/>
    </row>
    <row r="64" spans="2:10" x14ac:dyDescent="0.2">
      <c r="B64" s="12" t="s">
        <v>140</v>
      </c>
      <c r="C64" s="192" t="s">
        <v>61</v>
      </c>
      <c r="D64" s="209"/>
      <c r="E64" s="209"/>
      <c r="F64" s="209"/>
      <c r="G64" s="79"/>
      <c r="H64" s="15">
        <f>SUM(H60:H63)</f>
        <v>1183.8</v>
      </c>
      <c r="I64" s="16"/>
    </row>
    <row r="65" spans="2:9" x14ac:dyDescent="0.2">
      <c r="B65" s="231"/>
      <c r="C65" s="232"/>
      <c r="D65" s="232"/>
      <c r="E65" s="232"/>
      <c r="F65" s="232"/>
      <c r="G65" s="232"/>
      <c r="H65" s="233"/>
      <c r="I65" s="96"/>
    </row>
    <row r="66" spans="2:9" x14ac:dyDescent="0.2">
      <c r="B66" s="246" t="s">
        <v>71</v>
      </c>
      <c r="C66" s="247"/>
      <c r="D66" s="247"/>
      <c r="E66" s="247"/>
      <c r="F66" s="247"/>
      <c r="G66" s="146"/>
      <c r="H66" s="146"/>
      <c r="I66" s="96"/>
    </row>
    <row r="67" spans="2:9" x14ac:dyDescent="0.2">
      <c r="B67" s="92">
        <v>2</v>
      </c>
      <c r="C67" s="192" t="s">
        <v>70</v>
      </c>
      <c r="D67" s="209"/>
      <c r="E67" s="209"/>
      <c r="F67" s="209"/>
      <c r="G67" s="79"/>
      <c r="H67" s="92" t="s">
        <v>49</v>
      </c>
      <c r="I67" s="97"/>
    </row>
    <row r="68" spans="2:9" x14ac:dyDescent="0.2">
      <c r="B68" s="12" t="s">
        <v>38</v>
      </c>
      <c r="C68" s="80" t="s">
        <v>27</v>
      </c>
      <c r="D68" s="165" t="s">
        <v>129</v>
      </c>
      <c r="E68" s="166"/>
      <c r="F68" s="166"/>
      <c r="G68" s="167"/>
      <c r="H68" s="18">
        <f>H43</f>
        <v>442.94000000000005</v>
      </c>
      <c r="I68" s="103"/>
    </row>
    <row r="69" spans="2:9" x14ac:dyDescent="0.2">
      <c r="B69" s="12" t="s">
        <v>39</v>
      </c>
      <c r="C69" s="80" t="s">
        <v>28</v>
      </c>
      <c r="D69" s="165" t="s">
        <v>139</v>
      </c>
      <c r="E69" s="166"/>
      <c r="F69" s="166"/>
      <c r="G69" s="167"/>
      <c r="H69" s="18">
        <f>H56</f>
        <v>1001.26</v>
      </c>
      <c r="I69" s="103"/>
    </row>
    <row r="70" spans="2:9" x14ac:dyDescent="0.2">
      <c r="B70" s="12" t="s">
        <v>40</v>
      </c>
      <c r="C70" s="80" t="s">
        <v>41</v>
      </c>
      <c r="D70" s="165" t="s">
        <v>140</v>
      </c>
      <c r="E70" s="166"/>
      <c r="F70" s="166"/>
      <c r="G70" s="167"/>
      <c r="H70" s="18">
        <f>H64</f>
        <v>1183.8</v>
      </c>
      <c r="I70" s="103"/>
    </row>
    <row r="71" spans="2:9" x14ac:dyDescent="0.2">
      <c r="B71" s="12" t="s">
        <v>141</v>
      </c>
      <c r="C71" s="192" t="s">
        <v>61</v>
      </c>
      <c r="D71" s="209"/>
      <c r="E71" s="209"/>
      <c r="F71" s="209"/>
      <c r="G71" s="79"/>
      <c r="H71" s="15">
        <f>SUM(H68:H70)</f>
        <v>2628</v>
      </c>
      <c r="I71" s="16"/>
    </row>
    <row r="72" spans="2:9" x14ac:dyDescent="0.2">
      <c r="B72" s="232"/>
      <c r="C72" s="232"/>
      <c r="D72" s="232"/>
      <c r="E72" s="232"/>
      <c r="F72" s="232"/>
      <c r="G72" s="232"/>
      <c r="H72" s="232"/>
      <c r="I72" s="97"/>
    </row>
    <row r="73" spans="2:9" x14ac:dyDescent="0.2">
      <c r="B73" s="96"/>
      <c r="C73" s="96"/>
      <c r="D73" s="96"/>
      <c r="E73" s="96"/>
      <c r="F73" s="96"/>
      <c r="G73" s="96"/>
      <c r="H73" s="96"/>
      <c r="I73" s="97"/>
    </row>
    <row r="74" spans="2:9" x14ac:dyDescent="0.2">
      <c r="B74" s="207" t="s">
        <v>72</v>
      </c>
      <c r="C74" s="208"/>
      <c r="D74" s="208"/>
      <c r="E74" s="208"/>
      <c r="F74" s="243"/>
      <c r="G74" s="139"/>
      <c r="H74" s="140"/>
      <c r="I74" s="97"/>
    </row>
    <row r="75" spans="2:9" x14ac:dyDescent="0.2">
      <c r="B75" s="92">
        <v>3</v>
      </c>
      <c r="C75" s="192" t="s">
        <v>62</v>
      </c>
      <c r="D75" s="209"/>
      <c r="E75" s="209"/>
      <c r="F75" s="193"/>
      <c r="G75" s="92" t="s">
        <v>1</v>
      </c>
      <c r="H75" s="92" t="s">
        <v>49</v>
      </c>
      <c r="I75" s="97"/>
    </row>
    <row r="76" spans="2:9" x14ac:dyDescent="0.2">
      <c r="B76" s="12" t="s">
        <v>4</v>
      </c>
      <c r="C76" s="81" t="s">
        <v>97</v>
      </c>
      <c r="D76" s="165" t="s">
        <v>158</v>
      </c>
      <c r="E76" s="166"/>
      <c r="F76" s="167"/>
      <c r="G76" s="37">
        <v>1</v>
      </c>
      <c r="H76" s="21">
        <f>TRUNC((H$77+H$78)*$G76,2)</f>
        <v>408.77</v>
      </c>
      <c r="I76" s="16"/>
    </row>
    <row r="77" spans="2:9" x14ac:dyDescent="0.2">
      <c r="B77" s="12" t="s">
        <v>5</v>
      </c>
      <c r="C77" s="90" t="s">
        <v>98</v>
      </c>
      <c r="D77" s="165" t="s">
        <v>177</v>
      </c>
      <c r="E77" s="166"/>
      <c r="F77" s="167"/>
      <c r="G77" s="22"/>
      <c r="H77" s="18">
        <f>TRUNC((H$32+H$43+H$55+H$64-H60)/12,2)</f>
        <v>321.70999999999998</v>
      </c>
      <c r="I77" s="103"/>
    </row>
    <row r="78" spans="2:9" x14ac:dyDescent="0.2">
      <c r="B78" s="12" t="s">
        <v>6</v>
      </c>
      <c r="C78" s="90" t="s">
        <v>99</v>
      </c>
      <c r="D78" s="210" t="s">
        <v>170</v>
      </c>
      <c r="E78" s="212"/>
      <c r="F78" s="39">
        <v>0.4</v>
      </c>
      <c r="G78" s="22"/>
      <c r="H78" s="18">
        <f>TRUNC(H$55*$F78,2)</f>
        <v>87.06</v>
      </c>
      <c r="I78" s="103"/>
    </row>
    <row r="79" spans="2:9" x14ac:dyDescent="0.2">
      <c r="B79" s="12" t="s">
        <v>7</v>
      </c>
      <c r="C79" s="81" t="s">
        <v>100</v>
      </c>
      <c r="D79" s="165" t="s">
        <v>159</v>
      </c>
      <c r="E79" s="166"/>
      <c r="F79" s="167"/>
      <c r="G79" s="37">
        <v>1</v>
      </c>
      <c r="H79" s="84">
        <f>IF($G79&gt;=1,(TRUNC(H$80*$G79,2)),"ERRO")</f>
        <v>87.06</v>
      </c>
      <c r="I79" s="105"/>
    </row>
    <row r="80" spans="2:9" x14ac:dyDescent="0.2">
      <c r="B80" s="12" t="s">
        <v>8</v>
      </c>
      <c r="C80" s="90" t="s">
        <v>101</v>
      </c>
      <c r="D80" s="210" t="s">
        <v>170</v>
      </c>
      <c r="E80" s="212"/>
      <c r="F80" s="39">
        <v>0.4</v>
      </c>
      <c r="G80" s="22"/>
      <c r="H80" s="18">
        <f>TRUNC(H$55*$F80,2)</f>
        <v>87.06</v>
      </c>
      <c r="I80" s="103"/>
    </row>
    <row r="81" spans="2:9" x14ac:dyDescent="0.2">
      <c r="B81" s="12" t="s">
        <v>9</v>
      </c>
      <c r="C81" s="81" t="s">
        <v>175</v>
      </c>
      <c r="D81" s="241" t="s">
        <v>214</v>
      </c>
      <c r="E81" s="242"/>
      <c r="F81" s="38">
        <v>12</v>
      </c>
      <c r="G81" s="38">
        <v>3</v>
      </c>
      <c r="H81" s="18">
        <f>TRUNC(((H$32+H$43+H$56)/30)*$G81/$F81,2)</f>
        <v>31.01</v>
      </c>
      <c r="I81" s="103"/>
    </row>
    <row r="82" spans="2:9" x14ac:dyDescent="0.2">
      <c r="B82" s="12" t="s">
        <v>145</v>
      </c>
      <c r="C82" s="192" t="s">
        <v>61</v>
      </c>
      <c r="D82" s="209"/>
      <c r="E82" s="209"/>
      <c r="F82" s="209"/>
      <c r="G82" s="79"/>
      <c r="H82" s="15">
        <f>H$76+H$79+H$81</f>
        <v>526.84</v>
      </c>
      <c r="I82" s="16"/>
    </row>
    <row r="83" spans="2:9" x14ac:dyDescent="0.2">
      <c r="B83" s="93"/>
      <c r="C83" s="93"/>
      <c r="D83" s="93"/>
      <c r="E83" s="93"/>
      <c r="F83" s="93"/>
      <c r="G83" s="93"/>
      <c r="H83" s="93"/>
      <c r="I83" s="93"/>
    </row>
    <row r="84" spans="2:9" x14ac:dyDescent="0.2">
      <c r="B84" s="96"/>
      <c r="C84" s="96"/>
      <c r="D84" s="96"/>
      <c r="E84" s="96"/>
      <c r="F84" s="96"/>
      <c r="G84" s="96"/>
      <c r="H84" s="96"/>
      <c r="I84" s="97"/>
    </row>
    <row r="85" spans="2:9" x14ac:dyDescent="0.2">
      <c r="B85" s="207" t="s">
        <v>73</v>
      </c>
      <c r="C85" s="208"/>
      <c r="D85" s="208"/>
      <c r="E85" s="208"/>
      <c r="F85" s="243"/>
      <c r="G85" s="139"/>
      <c r="H85" s="140"/>
      <c r="I85" s="97"/>
    </row>
    <row r="86" spans="2:9" x14ac:dyDescent="0.2">
      <c r="B86" s="244" t="s">
        <v>91</v>
      </c>
      <c r="C86" s="245"/>
      <c r="D86" s="245"/>
      <c r="E86" s="245"/>
      <c r="F86" s="245"/>
      <c r="G86" s="147"/>
      <c r="H86" s="148"/>
      <c r="I86" s="97"/>
    </row>
    <row r="87" spans="2:9" x14ac:dyDescent="0.2">
      <c r="B87" s="92" t="s">
        <v>14</v>
      </c>
      <c r="C87" s="192" t="s">
        <v>92</v>
      </c>
      <c r="D87" s="209"/>
      <c r="E87" s="209"/>
      <c r="F87" s="193"/>
      <c r="G87" s="92" t="s">
        <v>105</v>
      </c>
      <c r="H87" s="92" t="s">
        <v>49</v>
      </c>
      <c r="I87" s="97"/>
    </row>
    <row r="88" spans="2:9" x14ac:dyDescent="0.2">
      <c r="B88" s="12" t="s">
        <v>4</v>
      </c>
      <c r="C88" s="90" t="s">
        <v>111</v>
      </c>
      <c r="D88" s="165" t="s">
        <v>151</v>
      </c>
      <c r="E88" s="166"/>
      <c r="F88" s="167"/>
      <c r="G88" s="38">
        <v>30</v>
      </c>
      <c r="H88" s="18">
        <f>TRUNC((H$90*$G88)/12,2)</f>
        <v>452.72</v>
      </c>
      <c r="I88" s="103"/>
    </row>
    <row r="89" spans="2:9" ht="22.5" x14ac:dyDescent="0.2">
      <c r="B89" s="12" t="s">
        <v>5</v>
      </c>
      <c r="C89" s="82" t="s">
        <v>157</v>
      </c>
      <c r="D89" s="168" t="s">
        <v>160</v>
      </c>
      <c r="E89" s="169"/>
      <c r="F89" s="170"/>
      <c r="G89" s="57">
        <v>8</v>
      </c>
      <c r="H89" s="18">
        <f>TRUNC((H$90*$G89)/12,2)</f>
        <v>120.72</v>
      </c>
      <c r="I89" s="103"/>
    </row>
    <row r="90" spans="2:9" x14ac:dyDescent="0.2">
      <c r="B90" s="12" t="s">
        <v>6</v>
      </c>
      <c r="C90" s="90" t="s">
        <v>113</v>
      </c>
      <c r="D90" s="165" t="s">
        <v>144</v>
      </c>
      <c r="E90" s="166"/>
      <c r="F90" s="166"/>
      <c r="G90" s="167"/>
      <c r="H90" s="18">
        <f>TRUNC((H$32+H$71+H$82)/30,2)</f>
        <v>181.09</v>
      </c>
      <c r="I90" s="103"/>
    </row>
    <row r="91" spans="2:9" x14ac:dyDescent="0.2">
      <c r="B91" s="12" t="s">
        <v>146</v>
      </c>
      <c r="C91" s="192" t="s">
        <v>61</v>
      </c>
      <c r="D91" s="209"/>
      <c r="E91" s="209"/>
      <c r="F91" s="209"/>
      <c r="G91" s="79"/>
      <c r="H91" s="15">
        <f>TRUNC(H$88+H$89,2)</f>
        <v>573.44000000000005</v>
      </c>
      <c r="I91" s="16"/>
    </row>
    <row r="92" spans="2:9" x14ac:dyDescent="0.2">
      <c r="B92" s="71"/>
      <c r="C92" s="72"/>
      <c r="D92" s="72"/>
      <c r="E92" s="72"/>
      <c r="F92" s="72"/>
      <c r="G92" s="72"/>
      <c r="H92" s="73"/>
      <c r="I92" s="23"/>
    </row>
    <row r="93" spans="2:9" x14ac:dyDescent="0.2">
      <c r="B93" s="246" t="s">
        <v>93</v>
      </c>
      <c r="C93" s="247"/>
      <c r="D93" s="247"/>
      <c r="E93" s="247"/>
      <c r="F93" s="247"/>
      <c r="G93" s="149"/>
      <c r="H93" s="150"/>
      <c r="I93" s="97"/>
    </row>
    <row r="94" spans="2:9" x14ac:dyDescent="0.2">
      <c r="B94" s="92" t="s">
        <v>15</v>
      </c>
      <c r="C94" s="192" t="s">
        <v>94</v>
      </c>
      <c r="D94" s="209"/>
      <c r="E94" s="209"/>
      <c r="F94" s="193"/>
      <c r="G94" s="92" t="s">
        <v>105</v>
      </c>
      <c r="H94" s="92" t="s">
        <v>49</v>
      </c>
      <c r="I94" s="97"/>
    </row>
    <row r="95" spans="2:9" ht="22.5" x14ac:dyDescent="0.2">
      <c r="B95" s="12" t="s">
        <v>4</v>
      </c>
      <c r="C95" s="82" t="s">
        <v>95</v>
      </c>
      <c r="D95" s="165" t="s">
        <v>179</v>
      </c>
      <c r="E95" s="166"/>
      <c r="F95" s="166"/>
      <c r="G95" s="38"/>
      <c r="H95" s="18">
        <f>TRUNC(((H$32+H71+H82)/220)*(1+50%)*G95,2)</f>
        <v>0</v>
      </c>
      <c r="I95" s="103"/>
    </row>
    <row r="96" spans="2:9" x14ac:dyDescent="0.2">
      <c r="B96" s="12" t="s">
        <v>147</v>
      </c>
      <c r="C96" s="192" t="s">
        <v>61</v>
      </c>
      <c r="D96" s="209"/>
      <c r="E96" s="209"/>
      <c r="F96" s="209"/>
      <c r="G96" s="129"/>
      <c r="H96" s="15">
        <f>H95</f>
        <v>0</v>
      </c>
      <c r="I96" s="103"/>
    </row>
    <row r="97" spans="2:9" x14ac:dyDescent="0.2">
      <c r="B97" s="95"/>
      <c r="C97" s="94"/>
      <c r="D97" s="94"/>
      <c r="E97" s="94"/>
      <c r="F97" s="94"/>
      <c r="G97" s="96"/>
      <c r="H97" s="164"/>
      <c r="I97" s="119"/>
    </row>
    <row r="98" spans="2:9" x14ac:dyDescent="0.2">
      <c r="B98" s="246" t="s">
        <v>74</v>
      </c>
      <c r="C98" s="247"/>
      <c r="D98" s="247"/>
      <c r="E98" s="247"/>
      <c r="F98" s="247"/>
      <c r="G98" s="149"/>
      <c r="H98" s="150"/>
      <c r="I98" s="97"/>
    </row>
    <row r="99" spans="2:9" x14ac:dyDescent="0.2">
      <c r="B99" s="92">
        <v>4</v>
      </c>
      <c r="C99" s="192" t="s">
        <v>75</v>
      </c>
      <c r="D99" s="209"/>
      <c r="E99" s="209"/>
      <c r="F99" s="209"/>
      <c r="G99" s="193"/>
      <c r="H99" s="92" t="s">
        <v>49</v>
      </c>
      <c r="I99" s="97"/>
    </row>
    <row r="100" spans="2:9" x14ac:dyDescent="0.2">
      <c r="B100" s="12" t="s">
        <v>14</v>
      </c>
      <c r="C100" s="90" t="s">
        <v>42</v>
      </c>
      <c r="D100" s="165" t="s">
        <v>146</v>
      </c>
      <c r="E100" s="166"/>
      <c r="F100" s="166"/>
      <c r="G100" s="167"/>
      <c r="H100" s="18">
        <f>H91</f>
        <v>573.44000000000005</v>
      </c>
      <c r="I100" s="103"/>
    </row>
    <row r="101" spans="2:9" x14ac:dyDescent="0.2">
      <c r="B101" s="12" t="s">
        <v>15</v>
      </c>
      <c r="C101" s="90" t="s">
        <v>44</v>
      </c>
      <c r="D101" s="165" t="s">
        <v>147</v>
      </c>
      <c r="E101" s="166"/>
      <c r="F101" s="166"/>
      <c r="G101" s="167"/>
      <c r="H101" s="18">
        <f>H96</f>
        <v>0</v>
      </c>
      <c r="I101" s="103"/>
    </row>
    <row r="102" spans="2:9" x14ac:dyDescent="0.2">
      <c r="B102" s="12" t="s">
        <v>148</v>
      </c>
      <c r="C102" s="192" t="s">
        <v>61</v>
      </c>
      <c r="D102" s="209"/>
      <c r="E102" s="209"/>
      <c r="F102" s="209"/>
      <c r="G102" s="79"/>
      <c r="H102" s="15">
        <f>SUM(H100:H101)</f>
        <v>573.44000000000005</v>
      </c>
      <c r="I102" s="16"/>
    </row>
    <row r="103" spans="2:9" x14ac:dyDescent="0.2">
      <c r="B103" s="96"/>
      <c r="C103" s="96"/>
      <c r="D103" s="96"/>
      <c r="E103" s="96"/>
      <c r="F103" s="96"/>
      <c r="G103" s="96"/>
      <c r="H103" s="96"/>
      <c r="I103" s="97"/>
    </row>
    <row r="104" spans="2:9" x14ac:dyDescent="0.2">
      <c r="B104" s="96"/>
      <c r="C104" s="96"/>
      <c r="D104" s="96"/>
      <c r="E104" s="96"/>
      <c r="F104" s="96"/>
      <c r="G104" s="96"/>
      <c r="H104" s="96"/>
      <c r="I104" s="97"/>
    </row>
    <row r="105" spans="2:9" x14ac:dyDescent="0.2">
      <c r="B105" s="207" t="s">
        <v>76</v>
      </c>
      <c r="C105" s="208"/>
      <c r="D105" s="208"/>
      <c r="E105" s="208"/>
      <c r="F105" s="243"/>
      <c r="G105" s="139"/>
      <c r="H105" s="140"/>
      <c r="I105" s="97"/>
    </row>
    <row r="106" spans="2:9" x14ac:dyDescent="0.2">
      <c r="B106" s="92">
        <v>5</v>
      </c>
      <c r="C106" s="248" t="s">
        <v>63</v>
      </c>
      <c r="D106" s="249"/>
      <c r="E106" s="249"/>
      <c r="F106" s="249"/>
      <c r="G106" s="250"/>
      <c r="H106" s="92" t="s">
        <v>49</v>
      </c>
      <c r="I106" s="97"/>
    </row>
    <row r="107" spans="2:9" x14ac:dyDescent="0.2">
      <c r="B107" s="12" t="s">
        <v>4</v>
      </c>
      <c r="C107" s="65" t="s">
        <v>45</v>
      </c>
      <c r="D107" s="66"/>
      <c r="E107" s="66"/>
      <c r="F107" s="66"/>
      <c r="G107" s="67"/>
      <c r="H107" s="68">
        <f>Insumos!G19</f>
        <v>253.01333333333329</v>
      </c>
      <c r="I107" s="103"/>
    </row>
    <row r="108" spans="2:9" x14ac:dyDescent="0.2">
      <c r="B108" s="12" t="s">
        <v>5</v>
      </c>
      <c r="C108" s="65" t="s">
        <v>12</v>
      </c>
      <c r="D108" s="66"/>
      <c r="E108" s="66"/>
      <c r="F108" s="66"/>
      <c r="G108" s="67"/>
      <c r="H108" s="68"/>
      <c r="I108" s="103"/>
    </row>
    <row r="109" spans="2:9" x14ac:dyDescent="0.2">
      <c r="B109" s="12" t="s">
        <v>6</v>
      </c>
      <c r="C109" s="65" t="s">
        <v>13</v>
      </c>
      <c r="D109" s="66"/>
      <c r="E109" s="66"/>
      <c r="F109" s="66"/>
      <c r="G109" s="67"/>
      <c r="H109" s="68"/>
      <c r="I109" s="103"/>
    </row>
    <row r="110" spans="2:9" x14ac:dyDescent="0.2">
      <c r="B110" s="12" t="s">
        <v>7</v>
      </c>
      <c r="C110" s="65" t="s">
        <v>2</v>
      </c>
      <c r="D110" s="66"/>
      <c r="E110" s="66"/>
      <c r="F110" s="66"/>
      <c r="G110" s="67"/>
      <c r="H110" s="68"/>
      <c r="I110" s="103"/>
    </row>
    <row r="111" spans="2:9" x14ac:dyDescent="0.2">
      <c r="B111" s="12" t="s">
        <v>149</v>
      </c>
      <c r="C111" s="192" t="s">
        <v>61</v>
      </c>
      <c r="D111" s="209"/>
      <c r="E111" s="209"/>
      <c r="F111" s="209"/>
      <c r="G111" s="79"/>
      <c r="H111" s="15">
        <f>SUM(H107:H110)</f>
        <v>253.01333333333329</v>
      </c>
      <c r="I111" s="16"/>
    </row>
    <row r="112" spans="2:9" x14ac:dyDescent="0.2">
      <c r="B112" s="96"/>
      <c r="C112" s="96"/>
      <c r="D112" s="96"/>
      <c r="E112" s="96"/>
      <c r="F112" s="96"/>
      <c r="G112" s="74"/>
      <c r="H112" s="69"/>
      <c r="I112" s="16"/>
    </row>
    <row r="113" spans="2:9" x14ac:dyDescent="0.2">
      <c r="B113" s="96"/>
      <c r="C113" s="96"/>
      <c r="D113" s="96"/>
      <c r="E113" s="96"/>
      <c r="F113" s="96"/>
      <c r="G113" s="96"/>
      <c r="H113" s="96"/>
      <c r="I113" s="97"/>
    </row>
    <row r="114" spans="2:9" x14ac:dyDescent="0.2">
      <c r="B114" s="207" t="s">
        <v>77</v>
      </c>
      <c r="C114" s="208"/>
      <c r="D114" s="208"/>
      <c r="E114" s="208"/>
      <c r="F114" s="243"/>
      <c r="G114" s="139"/>
      <c r="H114" s="140"/>
      <c r="I114" s="97"/>
    </row>
    <row r="115" spans="2:9" x14ac:dyDescent="0.2">
      <c r="B115" s="92">
        <v>6</v>
      </c>
      <c r="C115" s="192" t="s">
        <v>64</v>
      </c>
      <c r="D115" s="209"/>
      <c r="E115" s="209"/>
      <c r="F115" s="193"/>
      <c r="G115" s="92" t="s">
        <v>1</v>
      </c>
      <c r="H115" s="92" t="s">
        <v>49</v>
      </c>
      <c r="I115" s="97"/>
    </row>
    <row r="116" spans="2:9" x14ac:dyDescent="0.2">
      <c r="B116" s="12" t="s">
        <v>4</v>
      </c>
      <c r="C116" s="90" t="s">
        <v>16</v>
      </c>
      <c r="D116" s="210" t="s">
        <v>161</v>
      </c>
      <c r="E116" s="211"/>
      <c r="F116" s="212"/>
      <c r="G116" s="46">
        <v>0.05</v>
      </c>
      <c r="H116" s="18">
        <f>TRUNC(H$133*$G116,2)</f>
        <v>312.95999999999998</v>
      </c>
      <c r="I116" s="103"/>
    </row>
    <row r="117" spans="2:9" x14ac:dyDescent="0.2">
      <c r="B117" s="12" t="s">
        <v>5</v>
      </c>
      <c r="C117" s="90" t="s">
        <v>3</v>
      </c>
      <c r="D117" s="210" t="s">
        <v>162</v>
      </c>
      <c r="E117" s="211"/>
      <c r="F117" s="212"/>
      <c r="G117" s="46">
        <v>0.1</v>
      </c>
      <c r="H117" s="18">
        <f>TRUNC((H$133+H$116)*$G117,2)</f>
        <v>657.22</v>
      </c>
      <c r="I117" s="103"/>
    </row>
    <row r="118" spans="2:9" x14ac:dyDescent="0.2">
      <c r="B118" s="12" t="s">
        <v>6</v>
      </c>
      <c r="C118" s="90" t="s">
        <v>116</v>
      </c>
      <c r="D118" s="210" t="s">
        <v>163</v>
      </c>
      <c r="E118" s="211"/>
      <c r="F118" s="212"/>
      <c r="G118" s="48">
        <f>1-(G119+G120+G121)</f>
        <v>0.85749999999999993</v>
      </c>
      <c r="H118" s="24">
        <f>TRUNC(((H$133+H$116+H$117)/$G118),2)</f>
        <v>8430.8700000000008</v>
      </c>
      <c r="I118" s="106"/>
    </row>
    <row r="119" spans="2:9" x14ac:dyDescent="0.2">
      <c r="B119" s="12" t="s">
        <v>21</v>
      </c>
      <c r="C119" s="90" t="s">
        <v>18</v>
      </c>
      <c r="D119" s="210" t="s">
        <v>164</v>
      </c>
      <c r="E119" s="211"/>
      <c r="F119" s="212"/>
      <c r="G119" s="47">
        <v>1.6500000000000001E-2</v>
      </c>
      <c r="H119" s="18">
        <f>TRUNC(H$118*$G119,2)</f>
        <v>139.1</v>
      </c>
      <c r="I119" s="103"/>
    </row>
    <row r="120" spans="2:9" x14ac:dyDescent="0.2">
      <c r="B120" s="12" t="s">
        <v>22</v>
      </c>
      <c r="C120" s="90" t="s">
        <v>19</v>
      </c>
      <c r="D120" s="210" t="s">
        <v>164</v>
      </c>
      <c r="E120" s="211"/>
      <c r="F120" s="212"/>
      <c r="G120" s="47">
        <v>7.5999999999999998E-2</v>
      </c>
      <c r="H120" s="18">
        <f>TRUNC(H$118*$G120,2)</f>
        <v>640.74</v>
      </c>
      <c r="I120" s="103"/>
    </row>
    <row r="121" spans="2:9" x14ac:dyDescent="0.2">
      <c r="B121" s="12" t="s">
        <v>23</v>
      </c>
      <c r="C121" s="90" t="s">
        <v>20</v>
      </c>
      <c r="D121" s="210" t="s">
        <v>164</v>
      </c>
      <c r="E121" s="211"/>
      <c r="F121" s="212"/>
      <c r="G121" s="47">
        <v>0.05</v>
      </c>
      <c r="H121" s="18">
        <f>TRUNC(H$118*$G121,2)</f>
        <v>421.54</v>
      </c>
      <c r="I121" s="103"/>
    </row>
    <row r="122" spans="2:9" x14ac:dyDescent="0.2">
      <c r="B122" s="12" t="s">
        <v>150</v>
      </c>
      <c r="C122" s="86" t="s">
        <v>61</v>
      </c>
      <c r="D122" s="251" t="s">
        <v>152</v>
      </c>
      <c r="E122" s="251"/>
      <c r="F122" s="251"/>
      <c r="G122" s="163"/>
      <c r="H122" s="15">
        <f>SUM(H116:H121)-H118</f>
        <v>2171.5600000000013</v>
      </c>
      <c r="I122" s="16"/>
    </row>
    <row r="123" spans="2:9" x14ac:dyDescent="0.2">
      <c r="B123" s="63"/>
      <c r="C123" s="63"/>
      <c r="D123" s="63"/>
      <c r="E123" s="63"/>
      <c r="F123" s="63"/>
      <c r="G123" s="63"/>
      <c r="H123" s="75"/>
      <c r="I123" s="25"/>
    </row>
    <row r="124" spans="2:9" x14ac:dyDescent="0.2">
      <c r="B124" s="252" t="s">
        <v>188</v>
      </c>
      <c r="C124" s="252"/>
      <c r="D124" s="252"/>
      <c r="E124" s="252"/>
      <c r="F124" s="252"/>
      <c r="G124" s="252"/>
      <c r="H124" s="252"/>
      <c r="I124" s="113"/>
    </row>
    <row r="125" spans="2:9" x14ac:dyDescent="0.2">
      <c r="B125" s="89"/>
      <c r="C125" s="89"/>
      <c r="D125" s="89"/>
      <c r="E125" s="89"/>
      <c r="F125" s="89"/>
      <c r="G125" s="89"/>
      <c r="H125" s="89"/>
      <c r="I125" s="113"/>
    </row>
    <row r="126" spans="2:9" x14ac:dyDescent="0.2">
      <c r="B126" s="207" t="s">
        <v>189</v>
      </c>
      <c r="C126" s="208"/>
      <c r="D126" s="208"/>
      <c r="E126" s="208"/>
      <c r="F126" s="208"/>
      <c r="G126" s="157"/>
      <c r="H126" s="140"/>
      <c r="I126" s="97"/>
    </row>
    <row r="127" spans="2:9" ht="12.75" customHeight="1" x14ac:dyDescent="0.2">
      <c r="B127" s="155"/>
      <c r="C127" s="253" t="s">
        <v>117</v>
      </c>
      <c r="D127" s="254"/>
      <c r="E127" s="254"/>
      <c r="F127" s="254"/>
      <c r="G127" s="156"/>
      <c r="H127" s="138" t="s">
        <v>49</v>
      </c>
      <c r="I127" s="97"/>
    </row>
    <row r="128" spans="2:9" x14ac:dyDescent="0.2">
      <c r="B128" s="12" t="s">
        <v>4</v>
      </c>
      <c r="C128" s="82" t="s">
        <v>79</v>
      </c>
      <c r="D128" s="165" t="s">
        <v>127</v>
      </c>
      <c r="E128" s="166"/>
      <c r="F128" s="166"/>
      <c r="G128" s="167"/>
      <c r="H128" s="18">
        <f>H32</f>
        <v>2278</v>
      </c>
      <c r="I128" s="103"/>
    </row>
    <row r="129" spans="2:9" ht="22.5" x14ac:dyDescent="0.2">
      <c r="B129" s="12" t="s">
        <v>5</v>
      </c>
      <c r="C129" s="82" t="s">
        <v>80</v>
      </c>
      <c r="D129" s="165" t="s">
        <v>141</v>
      </c>
      <c r="E129" s="166"/>
      <c r="F129" s="166"/>
      <c r="G129" s="167"/>
      <c r="H129" s="18">
        <f>H71</f>
        <v>2628</v>
      </c>
      <c r="I129" s="103"/>
    </row>
    <row r="130" spans="2:9" x14ac:dyDescent="0.2">
      <c r="B130" s="12" t="s">
        <v>6</v>
      </c>
      <c r="C130" s="82" t="s">
        <v>81</v>
      </c>
      <c r="D130" s="165" t="s">
        <v>145</v>
      </c>
      <c r="E130" s="166"/>
      <c r="F130" s="166"/>
      <c r="G130" s="167"/>
      <c r="H130" s="18">
        <f>H82</f>
        <v>526.84</v>
      </c>
      <c r="I130" s="103"/>
    </row>
    <row r="131" spans="2:9" ht="22.5" x14ac:dyDescent="0.2">
      <c r="B131" s="12" t="s">
        <v>7</v>
      </c>
      <c r="C131" s="82" t="s">
        <v>43</v>
      </c>
      <c r="D131" s="165" t="s">
        <v>148</v>
      </c>
      <c r="E131" s="166"/>
      <c r="F131" s="166"/>
      <c r="G131" s="167"/>
      <c r="H131" s="18">
        <f>H102</f>
        <v>573.44000000000005</v>
      </c>
      <c r="I131" s="103"/>
    </row>
    <row r="132" spans="2:9" x14ac:dyDescent="0.2">
      <c r="B132" s="12" t="s">
        <v>8</v>
      </c>
      <c r="C132" s="82" t="s">
        <v>82</v>
      </c>
      <c r="D132" s="165" t="s">
        <v>149</v>
      </c>
      <c r="E132" s="166"/>
      <c r="F132" s="166"/>
      <c r="G132" s="167"/>
      <c r="H132" s="18">
        <f>H111</f>
        <v>253.01333333333329</v>
      </c>
      <c r="I132" s="103"/>
    </row>
    <row r="133" spans="2:9" x14ac:dyDescent="0.2">
      <c r="B133" s="88" t="s">
        <v>9</v>
      </c>
      <c r="C133" s="81" t="s">
        <v>46</v>
      </c>
      <c r="D133" s="171" t="s">
        <v>168</v>
      </c>
      <c r="E133" s="172"/>
      <c r="F133" s="172"/>
      <c r="G133" s="173"/>
      <c r="H133" s="21">
        <f>SUM(H128:H132)</f>
        <v>6259.293333333334</v>
      </c>
      <c r="I133" s="16"/>
    </row>
    <row r="134" spans="2:9" x14ac:dyDescent="0.2">
      <c r="B134" s="12" t="s">
        <v>10</v>
      </c>
      <c r="C134" s="90" t="s">
        <v>83</v>
      </c>
      <c r="D134" s="165" t="s">
        <v>150</v>
      </c>
      <c r="E134" s="166"/>
      <c r="F134" s="166"/>
      <c r="G134" s="167"/>
      <c r="H134" s="18">
        <f>H122</f>
        <v>2171.5600000000013</v>
      </c>
      <c r="I134" s="103"/>
    </row>
    <row r="135" spans="2:9" x14ac:dyDescent="0.2">
      <c r="B135" s="12" t="s">
        <v>153</v>
      </c>
      <c r="C135" s="85" t="s">
        <v>78</v>
      </c>
      <c r="D135" s="174" t="s">
        <v>167</v>
      </c>
      <c r="E135" s="162"/>
      <c r="F135" s="162"/>
      <c r="G135" s="163"/>
      <c r="H135" s="27">
        <f>SUM(H133:H134)</f>
        <v>8430.8533333333362</v>
      </c>
      <c r="I135" s="117"/>
    </row>
    <row r="136" spans="2:9" ht="12.75" customHeight="1" x14ac:dyDescent="0.2">
      <c r="B136" s="10"/>
      <c r="C136" s="10"/>
      <c r="D136" s="10"/>
      <c r="E136" s="10"/>
      <c r="F136" s="10"/>
      <c r="G136" s="10"/>
      <c r="H136" s="28"/>
      <c r="I136" s="28"/>
    </row>
    <row r="137" spans="2:9" x14ac:dyDescent="0.2">
      <c r="B137" s="252" t="s">
        <v>190</v>
      </c>
      <c r="C137" s="252"/>
      <c r="D137" s="252"/>
      <c r="E137" s="252"/>
      <c r="F137" s="252"/>
      <c r="I137" s="10"/>
    </row>
    <row r="138" spans="2:9" x14ac:dyDescent="0.2">
      <c r="B138" s="76"/>
      <c r="C138" s="76"/>
      <c r="D138" s="76"/>
      <c r="E138" s="70"/>
      <c r="F138" s="70"/>
      <c r="I138" s="10"/>
    </row>
    <row r="139" spans="2:9" x14ac:dyDescent="0.2">
      <c r="B139" s="263" t="s">
        <v>191</v>
      </c>
      <c r="C139" s="264"/>
      <c r="D139" s="264"/>
      <c r="E139" s="264"/>
      <c r="F139" s="264"/>
      <c r="G139" s="157"/>
      <c r="H139" s="140"/>
      <c r="I139" s="114"/>
    </row>
    <row r="140" spans="2:9" x14ac:dyDescent="0.2">
      <c r="B140" s="130" t="s">
        <v>4</v>
      </c>
      <c r="C140" s="158" t="s">
        <v>106</v>
      </c>
      <c r="D140" s="265" t="s">
        <v>153</v>
      </c>
      <c r="E140" s="266"/>
      <c r="F140" s="266"/>
      <c r="G140" s="159"/>
      <c r="H140" s="160">
        <f>H135</f>
        <v>8430.8533333333362</v>
      </c>
      <c r="I140" s="112"/>
    </row>
    <row r="141" spans="2:9" ht="22.5" x14ac:dyDescent="0.2">
      <c r="B141" s="12" t="s">
        <v>5</v>
      </c>
      <c r="C141" s="83" t="s">
        <v>155</v>
      </c>
      <c r="D141" s="267" t="s">
        <v>156</v>
      </c>
      <c r="E141" s="268"/>
      <c r="F141" s="268"/>
      <c r="G141" s="153"/>
      <c r="H141" s="7">
        <f>H43+H82+H100</f>
        <v>1543.2200000000003</v>
      </c>
      <c r="I141" s="107"/>
    </row>
    <row r="142" spans="2:9" ht="22.5" x14ac:dyDescent="0.2">
      <c r="B142" s="12" t="s">
        <v>6</v>
      </c>
      <c r="C142" s="83" t="s">
        <v>171</v>
      </c>
      <c r="D142" s="267" t="s">
        <v>178</v>
      </c>
      <c r="E142" s="268"/>
      <c r="F142" s="268"/>
      <c r="G142" s="154"/>
      <c r="H142" s="111">
        <f>TRUNC((H$43*$G56),2)</f>
        <v>163</v>
      </c>
      <c r="I142" s="112"/>
    </row>
    <row r="143" spans="2:9" ht="12.75" customHeight="1" x14ac:dyDescent="0.2">
      <c r="B143" s="12" t="s">
        <v>7</v>
      </c>
      <c r="C143" s="83" t="s">
        <v>16</v>
      </c>
      <c r="D143" s="255" t="s">
        <v>165</v>
      </c>
      <c r="E143" s="256"/>
      <c r="F143" s="257"/>
      <c r="G143" s="8">
        <f>G116</f>
        <v>0.05</v>
      </c>
      <c r="H143" s="7">
        <f>TRUNC((H$141+H$142)*$G143,2)</f>
        <v>85.31</v>
      </c>
      <c r="I143" s="107"/>
    </row>
    <row r="144" spans="2:9" ht="12.75" customHeight="1" x14ac:dyDescent="0.2">
      <c r="B144" s="12" t="s">
        <v>8</v>
      </c>
      <c r="C144" s="83" t="s">
        <v>3</v>
      </c>
      <c r="D144" s="255" t="s">
        <v>166</v>
      </c>
      <c r="E144" s="256"/>
      <c r="F144" s="257"/>
      <c r="G144" s="8">
        <f>G117</f>
        <v>0.1</v>
      </c>
      <c r="H144" s="7">
        <f>TRUNC((H$141+H$142+H$143)*$G144,2)</f>
        <v>179.15</v>
      </c>
      <c r="I144" s="107"/>
    </row>
    <row r="145" spans="2:9" ht="12.75" customHeight="1" x14ac:dyDescent="0.2">
      <c r="B145" s="12" t="s">
        <v>9</v>
      </c>
      <c r="C145" s="83" t="s">
        <v>107</v>
      </c>
      <c r="D145" s="255" t="s">
        <v>173</v>
      </c>
      <c r="E145" s="256"/>
      <c r="F145" s="257"/>
      <c r="G145" s="8">
        <f>G119+G120+G121</f>
        <v>0.14250000000000002</v>
      </c>
      <c r="H145" s="7">
        <f>TRUNC((H$141+H$142+H$143+H$144)/(1-$G145)-(H$141+H$142+H$143+H$144),2)</f>
        <v>327.48</v>
      </c>
      <c r="I145" s="107"/>
    </row>
    <row r="146" spans="2:9" ht="22.5" x14ac:dyDescent="0.2">
      <c r="B146" s="12" t="s">
        <v>10</v>
      </c>
      <c r="C146" s="131" t="s">
        <v>108</v>
      </c>
      <c r="D146" s="151" t="s">
        <v>174</v>
      </c>
      <c r="E146" s="152"/>
      <c r="F146" s="152"/>
      <c r="G146" s="153"/>
      <c r="H146" s="132">
        <f>SUM(H141:H145)</f>
        <v>2298.1600000000003</v>
      </c>
      <c r="I146" s="108"/>
    </row>
    <row r="147" spans="2:9" x14ac:dyDescent="0.2">
      <c r="B147" s="12" t="s">
        <v>154</v>
      </c>
      <c r="C147" s="87" t="s">
        <v>125</v>
      </c>
      <c r="D147" s="258" t="s">
        <v>172</v>
      </c>
      <c r="E147" s="259"/>
      <c r="F147" s="259"/>
      <c r="G147" s="161"/>
      <c r="H147" s="29">
        <f>H140-H146</f>
        <v>6132.6933333333363</v>
      </c>
      <c r="I147" s="118"/>
    </row>
    <row r="148" spans="2:9" ht="45" customHeight="1" x14ac:dyDescent="0.2">
      <c r="B148" s="260" t="s">
        <v>124</v>
      </c>
      <c r="C148" s="261"/>
      <c r="D148" s="261"/>
      <c r="E148" s="261"/>
      <c r="F148" s="261"/>
      <c r="G148" s="262"/>
      <c r="H148" s="137"/>
      <c r="I148" s="109"/>
    </row>
    <row r="154" spans="2:9" x14ac:dyDescent="0.2">
      <c r="D154" s="177"/>
    </row>
  </sheetData>
  <mergeCells count="106">
    <mergeCell ref="D145:F145"/>
    <mergeCell ref="D147:F147"/>
    <mergeCell ref="B148:G148"/>
    <mergeCell ref="B139:F139"/>
    <mergeCell ref="D140:F140"/>
    <mergeCell ref="D141:F141"/>
    <mergeCell ref="D142:F142"/>
    <mergeCell ref="D143:F143"/>
    <mergeCell ref="D144:F144"/>
    <mergeCell ref="D121:F121"/>
    <mergeCell ref="D122:F122"/>
    <mergeCell ref="B124:H124"/>
    <mergeCell ref="B126:F126"/>
    <mergeCell ref="C127:F127"/>
    <mergeCell ref="B137:F137"/>
    <mergeCell ref="C115:F115"/>
    <mergeCell ref="D116:F116"/>
    <mergeCell ref="D117:F117"/>
    <mergeCell ref="D118:F118"/>
    <mergeCell ref="D119:F119"/>
    <mergeCell ref="D120:F120"/>
    <mergeCell ref="C99:G99"/>
    <mergeCell ref="C102:F102"/>
    <mergeCell ref="B105:F105"/>
    <mergeCell ref="C106:G106"/>
    <mergeCell ref="C111:F111"/>
    <mergeCell ref="B114:F114"/>
    <mergeCell ref="C87:F87"/>
    <mergeCell ref="C91:F91"/>
    <mergeCell ref="B93:F93"/>
    <mergeCell ref="C94:F94"/>
    <mergeCell ref="C96:F96"/>
    <mergeCell ref="B98:F98"/>
    <mergeCell ref="D78:E78"/>
    <mergeCell ref="D80:E80"/>
    <mergeCell ref="D81:E81"/>
    <mergeCell ref="C82:F82"/>
    <mergeCell ref="B85:F85"/>
    <mergeCell ref="B86:F86"/>
    <mergeCell ref="B66:F66"/>
    <mergeCell ref="C67:F67"/>
    <mergeCell ref="C71:F71"/>
    <mergeCell ref="B72:H72"/>
    <mergeCell ref="B74:F74"/>
    <mergeCell ref="C75:F75"/>
    <mergeCell ref="C56:F56"/>
    <mergeCell ref="B57:H57"/>
    <mergeCell ref="B58:F58"/>
    <mergeCell ref="C59:F59"/>
    <mergeCell ref="C64:F64"/>
    <mergeCell ref="B65:H65"/>
    <mergeCell ref="H49:H50"/>
    <mergeCell ref="D51:F51"/>
    <mergeCell ref="D52:F52"/>
    <mergeCell ref="D53:F53"/>
    <mergeCell ref="D54:F54"/>
    <mergeCell ref="D55:F55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F45"/>
    <mergeCell ref="C46:F46"/>
    <mergeCell ref="C32:F32"/>
    <mergeCell ref="C33:F34"/>
    <mergeCell ref="B37:F37"/>
    <mergeCell ref="B38:F38"/>
    <mergeCell ref="B39:F39"/>
    <mergeCell ref="C40:F40"/>
    <mergeCell ref="D26:F26"/>
    <mergeCell ref="D27:F27"/>
    <mergeCell ref="D28:F28"/>
    <mergeCell ref="D29:F29"/>
    <mergeCell ref="D30:F30"/>
    <mergeCell ref="D31:F31"/>
    <mergeCell ref="B19:B20"/>
    <mergeCell ref="C19:F19"/>
    <mergeCell ref="C20:F20"/>
    <mergeCell ref="B23:F23"/>
    <mergeCell ref="C24:F24"/>
    <mergeCell ref="D25:F25"/>
    <mergeCell ref="B15:B16"/>
    <mergeCell ref="C15:F15"/>
    <mergeCell ref="C16:F16"/>
    <mergeCell ref="B17:B18"/>
    <mergeCell ref="C17:F17"/>
    <mergeCell ref="C18:F18"/>
    <mergeCell ref="B11:B12"/>
    <mergeCell ref="C11:F11"/>
    <mergeCell ref="C12:F12"/>
    <mergeCell ref="B13:B14"/>
    <mergeCell ref="C13:F13"/>
    <mergeCell ref="C14:F14"/>
    <mergeCell ref="B2:H2"/>
    <mergeCell ref="B3:H3"/>
    <mergeCell ref="D6:F6"/>
    <mergeCell ref="B8:F8"/>
    <mergeCell ref="B9:B10"/>
    <mergeCell ref="C9:F9"/>
    <mergeCell ref="C10:F10"/>
  </mergeCells>
  <dataValidations count="9">
    <dataValidation type="list" allowBlank="1" showInputMessage="1" showErrorMessage="1" sqref="G26" xr:uid="{95E34121-D8CA-4033-9BAA-D410D073A79A}">
      <formula1>"0%, 30%"</formula1>
    </dataValidation>
    <dataValidation type="list" allowBlank="1" showInputMessage="1" showErrorMessage="1" sqref="G27" xr:uid="{1B913457-9638-4244-A4E7-DAEFE4115E74}">
      <formula1>"0%, 10%, 20%, 40%"</formula1>
    </dataValidation>
    <dataValidation type="list" allowBlank="1" showInputMessage="1" showErrorMessage="1" sqref="E50" xr:uid="{88BC5E72-2FEE-4DB3-A854-DD70C75489E1}">
      <formula1>"1%, 2%, 3%"</formula1>
    </dataValidation>
    <dataValidation type="list" allowBlank="1" showInputMessage="1" showErrorMessage="1" sqref="G28:G29" xr:uid="{4F4B9C16-3240-47D3-BAA9-A15348883F89}">
      <formula1>"0, 20%"</formula1>
    </dataValidation>
    <dataValidation type="list" allowBlank="1" showInputMessage="1" showErrorMessage="1" sqref="G30" xr:uid="{7DC02F00-094A-4A70-9E38-D7C79B5D9AF0}">
      <formula1>"0, 50%, 100%"</formula1>
    </dataValidation>
    <dataValidation type="whole" allowBlank="1" showInputMessage="1" showErrorMessage="1" errorTitle="Valor errado" error="Quantidade fixa de dias. Prencher com 30" sqref="G88" xr:uid="{2DA3475C-92E7-4524-87E6-211800B2A198}">
      <formula1>30</formula1>
      <formula2>30</formula2>
    </dataValidation>
    <dataValidation type="list" operator="equal" allowBlank="1" showInputMessage="1" showErrorMessage="1" errorTitle="Valor errado" error="Percentual fixo. Preencher com 40%." sqref="F78 F80" xr:uid="{FF38E40A-22EF-4CB1-928E-4E8746753A45}">
      <formula1>"40%"</formula1>
    </dataValidation>
    <dataValidation type="custom" allowBlank="1" showInputMessage="1" showErrorMessage="1" sqref="G118" xr:uid="{0553C38E-7458-4FE7-9980-3B01F3383339}">
      <formula1>1-(G119+G120+G121)</formula1>
    </dataValidation>
    <dataValidation type="list" allowBlank="1" showInputMessage="1" showErrorMessage="1" sqref="G81" xr:uid="{67166198-AD6A-4E0B-B9B4-CD6D46AB769C}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56" orientation="portrait" verticalDpi="300" r:id="rId1"/>
  <rowBreaks count="1" manualBreakCount="1">
    <brk id="72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7:G20"/>
  <sheetViews>
    <sheetView showGridLines="0" view="pageBreakPreview" topLeftCell="C1" zoomScale="60" zoomScaleNormal="100" workbookViewId="0">
      <selection activeCell="D3" sqref="D3"/>
    </sheetView>
  </sheetViews>
  <sheetFormatPr defaultColWidth="9.140625" defaultRowHeight="11.25" x14ac:dyDescent="0.2"/>
  <cols>
    <col min="1" max="1" width="3.7109375" style="42" customWidth="1"/>
    <col min="2" max="2" width="16.7109375" style="42" customWidth="1"/>
    <col min="3" max="3" width="11.7109375" style="42" customWidth="1"/>
    <col min="4" max="4" width="15.42578125" style="42" customWidth="1"/>
    <col min="5" max="5" width="14" style="42" customWidth="1"/>
    <col min="6" max="6" width="11.42578125" style="42" customWidth="1"/>
    <col min="7" max="7" width="13.140625" style="42" customWidth="1"/>
    <col min="8" max="16384" width="9.140625" style="42"/>
  </cols>
  <sheetData>
    <row r="7" spans="1:7" ht="12" thickBot="1" x14ac:dyDescent="0.25"/>
    <row r="8" spans="1:7" ht="18.75" customHeight="1" thickBot="1" x14ac:dyDescent="0.25">
      <c r="A8" s="272" t="s">
        <v>199</v>
      </c>
      <c r="B8" s="273"/>
      <c r="C8" s="273"/>
      <c r="D8" s="273"/>
      <c r="E8" s="273"/>
      <c r="F8" s="273"/>
      <c r="G8" s="274"/>
    </row>
    <row r="10" spans="1:7" ht="22.5" customHeight="1" x14ac:dyDescent="0.2">
      <c r="A10" s="269" t="s">
        <v>84</v>
      </c>
      <c r="B10" s="269"/>
      <c r="C10" s="40" t="s">
        <v>85</v>
      </c>
      <c r="D10" s="183" t="s">
        <v>207</v>
      </c>
      <c r="E10" s="182" t="s">
        <v>209</v>
      </c>
      <c r="F10" s="40" t="s">
        <v>114</v>
      </c>
      <c r="G10" s="40" t="s">
        <v>115</v>
      </c>
    </row>
    <row r="11" spans="1:7" ht="22.5" customHeight="1" x14ac:dyDescent="0.2">
      <c r="A11" s="5">
        <v>1</v>
      </c>
      <c r="B11" s="133" t="s">
        <v>200</v>
      </c>
      <c r="C11" s="45">
        <v>146.66</v>
      </c>
      <c r="D11" s="134">
        <v>10</v>
      </c>
      <c r="E11" s="184">
        <f>C11*D11</f>
        <v>1466.6</v>
      </c>
      <c r="F11" s="186">
        <f>E11/2.5</f>
        <v>586.64</v>
      </c>
      <c r="G11" s="176">
        <f>SUM(F11/12)</f>
        <v>48.886666666666663</v>
      </c>
    </row>
    <row r="12" spans="1:7" ht="22.5" customHeight="1" x14ac:dyDescent="0.2">
      <c r="A12" s="5">
        <v>2</v>
      </c>
      <c r="B12" s="133" t="s">
        <v>201</v>
      </c>
      <c r="C12" s="45">
        <v>79.95</v>
      </c>
      <c r="D12" s="134">
        <v>10</v>
      </c>
      <c r="E12" s="184">
        <f t="shared" ref="E12:E18" si="0">C12*D12</f>
        <v>799.5</v>
      </c>
      <c r="F12" s="186">
        <f t="shared" ref="F12:F18" si="1">E12/2.5</f>
        <v>319.8</v>
      </c>
      <c r="G12" s="176">
        <f>SUM(F12/12)</f>
        <v>26.650000000000002</v>
      </c>
    </row>
    <row r="13" spans="1:7" ht="22.5" customHeight="1" x14ac:dyDescent="0.2">
      <c r="A13" s="5">
        <v>3</v>
      </c>
      <c r="B13" s="133" t="s">
        <v>208</v>
      </c>
      <c r="C13" s="45">
        <v>33.479999999999997</v>
      </c>
      <c r="D13" s="134">
        <v>20</v>
      </c>
      <c r="E13" s="184">
        <f t="shared" si="0"/>
        <v>669.59999999999991</v>
      </c>
      <c r="F13" s="186">
        <f t="shared" si="1"/>
        <v>267.83999999999997</v>
      </c>
      <c r="G13" s="176">
        <f t="shared" ref="G13:G18" si="2">SUM(F13/12)</f>
        <v>22.319999999999997</v>
      </c>
    </row>
    <row r="14" spans="1:7" ht="22.5" customHeight="1" x14ac:dyDescent="0.2">
      <c r="A14" s="5">
        <v>4</v>
      </c>
      <c r="B14" s="133" t="s">
        <v>202</v>
      </c>
      <c r="C14" s="45">
        <v>98.79</v>
      </c>
      <c r="D14" s="134">
        <v>5</v>
      </c>
      <c r="E14" s="184">
        <f t="shared" si="0"/>
        <v>493.95000000000005</v>
      </c>
      <c r="F14" s="186">
        <f t="shared" si="1"/>
        <v>197.58</v>
      </c>
      <c r="G14" s="176">
        <f t="shared" si="2"/>
        <v>16.465</v>
      </c>
    </row>
    <row r="15" spans="1:7" ht="22.5" customHeight="1" x14ac:dyDescent="0.2">
      <c r="A15" s="5">
        <v>5</v>
      </c>
      <c r="B15" s="133" t="s">
        <v>203</v>
      </c>
      <c r="C15" s="45">
        <v>230.33</v>
      </c>
      <c r="D15" s="134">
        <v>5</v>
      </c>
      <c r="E15" s="184">
        <f t="shared" si="0"/>
        <v>1151.6500000000001</v>
      </c>
      <c r="F15" s="186">
        <f t="shared" si="1"/>
        <v>460.66</v>
      </c>
      <c r="G15" s="176">
        <f t="shared" si="2"/>
        <v>38.388333333333335</v>
      </c>
    </row>
    <row r="16" spans="1:7" ht="22.5" customHeight="1" x14ac:dyDescent="0.2">
      <c r="A16" s="5">
        <v>6</v>
      </c>
      <c r="B16" s="133" t="s">
        <v>204</v>
      </c>
      <c r="C16" s="45">
        <v>139.91</v>
      </c>
      <c r="D16" s="134">
        <v>10</v>
      </c>
      <c r="E16" s="184">
        <f t="shared" si="0"/>
        <v>1399.1</v>
      </c>
      <c r="F16" s="186">
        <f t="shared" si="1"/>
        <v>559.64</v>
      </c>
      <c r="G16" s="176">
        <f t="shared" si="2"/>
        <v>46.636666666666663</v>
      </c>
    </row>
    <row r="17" spans="1:7" ht="22.5" customHeight="1" x14ac:dyDescent="0.2">
      <c r="A17" s="5">
        <v>7</v>
      </c>
      <c r="B17" s="133" t="s">
        <v>205</v>
      </c>
      <c r="C17" s="45">
        <v>96.04</v>
      </c>
      <c r="D17" s="134">
        <v>10</v>
      </c>
      <c r="E17" s="184">
        <f t="shared" si="0"/>
        <v>960.40000000000009</v>
      </c>
      <c r="F17" s="186">
        <f t="shared" si="1"/>
        <v>384.16</v>
      </c>
      <c r="G17" s="176">
        <f t="shared" si="2"/>
        <v>32.013333333333335</v>
      </c>
    </row>
    <row r="18" spans="1:7" ht="22.5" customHeight="1" x14ac:dyDescent="0.2">
      <c r="A18" s="5">
        <v>8</v>
      </c>
      <c r="B18" s="133" t="s">
        <v>206</v>
      </c>
      <c r="C18" s="45">
        <v>64.959999999999994</v>
      </c>
      <c r="D18" s="134">
        <v>10</v>
      </c>
      <c r="E18" s="184">
        <f t="shared" si="0"/>
        <v>649.59999999999991</v>
      </c>
      <c r="F18" s="186">
        <f t="shared" si="1"/>
        <v>259.83999999999997</v>
      </c>
      <c r="G18" s="176">
        <f t="shared" si="2"/>
        <v>21.653333333333332</v>
      </c>
    </row>
    <row r="19" spans="1:7" ht="22.5" customHeight="1" x14ac:dyDescent="0.2">
      <c r="B19" s="43"/>
      <c r="C19" s="44"/>
      <c r="D19" s="44"/>
      <c r="E19" s="270" t="s">
        <v>115</v>
      </c>
      <c r="F19" s="271"/>
      <c r="G19" s="41">
        <f>SUM(G11:G18)</f>
        <v>253.01333333333329</v>
      </c>
    </row>
    <row r="20" spans="1:7" x14ac:dyDescent="0.2">
      <c r="E20" s="185"/>
    </row>
  </sheetData>
  <mergeCells count="3">
    <mergeCell ref="A10:B10"/>
    <mergeCell ref="E19:F19"/>
    <mergeCell ref="A8:G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Quadro resumo</vt:lpstr>
      <vt:lpstr>Assistente de Eventos RJ</vt:lpstr>
      <vt:lpstr>Insumos</vt:lpstr>
      <vt:lpstr>'Assistente de Eventos RJ'!Area_de_impressao</vt:lpstr>
      <vt:lpstr>Insumos!Area_de_impressao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2024-01-18T19:22:36Z</cp:lastPrinted>
  <dcterms:created xsi:type="dcterms:W3CDTF">2010-12-08T17:56:29Z</dcterms:created>
  <dcterms:modified xsi:type="dcterms:W3CDTF">2024-02-23T15:25:54Z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