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3\Pregão\2 - Numerado\15 Mão de Obra RJ, SP e DF - 5387 5437 5699\fase externa\edital, relação de itens, aviso dou\"/>
    </mc:Choice>
  </mc:AlternateContent>
  <xr:revisionPtr revIDLastSave="0" documentId="13_ncr:1_{A193BCB3-3B53-463F-AC09-32E8E72B3D11}" xr6:coauthVersionLast="47" xr6:coauthVersionMax="47" xr10:uidLastSave="{00000000-0000-0000-0000-000000000000}"/>
  <bookViews>
    <workbookView xWindow="-120" yWindow="-120" windowWidth="20730" windowHeight="11040" tabRatio="877" activeTab="1" xr2:uid="{00000000-000D-0000-FFFF-FFFF00000000}"/>
  </bookViews>
  <sheets>
    <sheet name="Quadro resumo" sheetId="7" r:id="rId1"/>
    <sheet name="Telefonista" sheetId="29" r:id="rId2"/>
    <sheet name="Recepcionista" sheetId="28" r:id="rId3"/>
    <sheet name="Mensageiro" sheetId="27" r:id="rId4"/>
    <sheet name="Insumos" sheetId="23" r:id="rId5"/>
  </sheets>
  <definedNames>
    <definedName name="_xlnm.Print_Area" localSheetId="4">Insumos!$A$1:$I$50</definedName>
    <definedName name="_xlnm.Print_Area" localSheetId="3">Mensageiro!$A$1:$I$149</definedName>
    <definedName name="_xlnm.Print_Area" localSheetId="2">Recepcionista!$A$1:$I$149</definedName>
    <definedName name="_xlnm.Print_Area" localSheetId="1">Telefonista!$A$1:$I$149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27" l="1"/>
  <c r="H107" i="27"/>
  <c r="H107" i="28"/>
  <c r="H107" i="29"/>
  <c r="F49" i="23"/>
  <c r="G49" i="23" s="1"/>
  <c r="G48" i="23"/>
  <c r="F48" i="23"/>
  <c r="F47" i="23"/>
  <c r="G47" i="23" s="1"/>
  <c r="F41" i="23"/>
  <c r="G41" i="23" s="1"/>
  <c r="F40" i="23"/>
  <c r="G40" i="23" s="1"/>
  <c r="F39" i="23"/>
  <c r="G39" i="23" s="1"/>
  <c r="F38" i="23"/>
  <c r="G38" i="23" s="1"/>
  <c r="F37" i="23"/>
  <c r="G37" i="23" s="1"/>
  <c r="F36" i="23"/>
  <c r="G36" i="23" s="1"/>
  <c r="F35" i="23"/>
  <c r="G35" i="23" s="1"/>
  <c r="F34" i="23"/>
  <c r="G34" i="23" s="1"/>
  <c r="C27" i="23"/>
  <c r="F27" i="23" s="1"/>
  <c r="G27" i="23" s="1"/>
  <c r="F26" i="23"/>
  <c r="G26" i="23" s="1"/>
  <c r="F25" i="23"/>
  <c r="G25" i="23" s="1"/>
  <c r="F24" i="23"/>
  <c r="G24" i="23" s="1"/>
  <c r="F23" i="23"/>
  <c r="G23" i="23" s="1"/>
  <c r="C22" i="23"/>
  <c r="F22" i="23" s="1"/>
  <c r="G22" i="23" s="1"/>
  <c r="C21" i="23"/>
  <c r="F21" i="23" s="1"/>
  <c r="G21" i="23" s="1"/>
  <c r="C10" i="23"/>
  <c r="F10" i="23" s="1"/>
  <c r="G10" i="23" s="1"/>
  <c r="F9" i="23"/>
  <c r="G9" i="23" s="1"/>
  <c r="F8" i="23"/>
  <c r="G8" i="23" s="1"/>
  <c r="A8" i="23"/>
  <c r="A9" i="23" s="1"/>
  <c r="F7" i="23"/>
  <c r="G7" i="23" s="1"/>
  <c r="C6" i="23"/>
  <c r="F6" i="23" s="1"/>
  <c r="G6" i="23" s="1"/>
  <c r="C5" i="23"/>
  <c r="F5" i="23" s="1"/>
  <c r="G5" i="23" s="1"/>
  <c r="H61" i="29"/>
  <c r="H61" i="27"/>
  <c r="H60" i="27"/>
  <c r="H61" i="28"/>
  <c r="H60" i="28"/>
  <c r="G145" i="29"/>
  <c r="G144" i="29"/>
  <c r="G143" i="29"/>
  <c r="G118" i="29"/>
  <c r="H111" i="29"/>
  <c r="H132" i="29" s="1"/>
  <c r="G49" i="29"/>
  <c r="G56" i="29" s="1"/>
  <c r="G43" i="29"/>
  <c r="G42" i="29"/>
  <c r="G41" i="29"/>
  <c r="H34" i="29"/>
  <c r="H30" i="29" s="1"/>
  <c r="G145" i="28"/>
  <c r="G144" i="28"/>
  <c r="G143" i="28"/>
  <c r="G118" i="28"/>
  <c r="H111" i="28"/>
  <c r="H132" i="28" s="1"/>
  <c r="G56" i="28"/>
  <c r="G49" i="28"/>
  <c r="G43" i="28"/>
  <c r="G42" i="28"/>
  <c r="G41" i="28"/>
  <c r="H34" i="28"/>
  <c r="H30" i="28" s="1"/>
  <c r="H27" i="28"/>
  <c r="H26" i="28"/>
  <c r="H29" i="28" s="1"/>
  <c r="H34" i="27"/>
  <c r="G28" i="23" l="1"/>
  <c r="G42" i="23"/>
  <c r="G50" i="23" s="1"/>
  <c r="G11" i="23"/>
  <c r="H60" i="29"/>
  <c r="H64" i="29" s="1"/>
  <c r="H70" i="29" s="1"/>
  <c r="H27" i="29"/>
  <c r="H26" i="29"/>
  <c r="H29" i="29" s="1"/>
  <c r="H64" i="28"/>
  <c r="H70" i="28" s="1"/>
  <c r="H28" i="28"/>
  <c r="H32" i="28" s="1"/>
  <c r="H30" i="27"/>
  <c r="H28" i="29" l="1"/>
  <c r="H32" i="29" s="1"/>
  <c r="H42" i="29" s="1"/>
  <c r="H128" i="28"/>
  <c r="H42" i="28"/>
  <c r="H41" i="28"/>
  <c r="G145" i="27"/>
  <c r="G144" i="27"/>
  <c r="G143" i="27"/>
  <c r="G118" i="27"/>
  <c r="G49" i="27"/>
  <c r="G56" i="27" s="1"/>
  <c r="G42" i="27"/>
  <c r="G41" i="27"/>
  <c r="H27" i="27"/>
  <c r="H26" i="27"/>
  <c r="H29" i="27" s="1"/>
  <c r="H128" i="29" l="1"/>
  <c r="H41" i="29"/>
  <c r="H43" i="29" s="1"/>
  <c r="H142" i="29" s="1"/>
  <c r="H43" i="28"/>
  <c r="H64" i="27"/>
  <c r="H70" i="27" s="1"/>
  <c r="H28" i="27"/>
  <c r="G43" i="27"/>
  <c r="H54" i="29" l="1"/>
  <c r="H53" i="29"/>
  <c r="H48" i="29"/>
  <c r="H49" i="29"/>
  <c r="H52" i="29"/>
  <c r="H55" i="29"/>
  <c r="H77" i="29" s="1"/>
  <c r="H47" i="29"/>
  <c r="H68" i="29"/>
  <c r="H51" i="29"/>
  <c r="H142" i="28"/>
  <c r="H68" i="28"/>
  <c r="H51" i="28"/>
  <c r="H55" i="28"/>
  <c r="H53" i="28"/>
  <c r="H52" i="28"/>
  <c r="H47" i="28"/>
  <c r="H48" i="28"/>
  <c r="H54" i="28"/>
  <c r="H49" i="28"/>
  <c r="H77" i="28"/>
  <c r="H32" i="27"/>
  <c r="H42" i="27" s="1"/>
  <c r="H56" i="29" l="1"/>
  <c r="H69" i="29" s="1"/>
  <c r="H71" i="29" s="1"/>
  <c r="H78" i="29"/>
  <c r="H76" i="29" s="1"/>
  <c r="H80" i="29"/>
  <c r="H79" i="29" s="1"/>
  <c r="H56" i="28"/>
  <c r="H80" i="28"/>
  <c r="H79" i="28" s="1"/>
  <c r="H78" i="28"/>
  <c r="H76" i="28"/>
  <c r="H128" i="27"/>
  <c r="H41" i="27"/>
  <c r="H43" i="27" s="1"/>
  <c r="H142" i="27" s="1"/>
  <c r="H81" i="29" l="1"/>
  <c r="H82" i="29" s="1"/>
  <c r="H129" i="29"/>
  <c r="H82" i="28"/>
  <c r="H69" i="28"/>
  <c r="H71" i="28" s="1"/>
  <c r="H81" i="28"/>
  <c r="H53" i="27"/>
  <c r="H52" i="27"/>
  <c r="H51" i="27"/>
  <c r="H55" i="27"/>
  <c r="H77" i="27" s="1"/>
  <c r="H48" i="27"/>
  <c r="H54" i="27"/>
  <c r="H49" i="27"/>
  <c r="H68" i="27"/>
  <c r="H47" i="27"/>
  <c r="H130" i="29" l="1"/>
  <c r="H90" i="29"/>
  <c r="H88" i="29" s="1"/>
  <c r="H95" i="29"/>
  <c r="H96" i="29" s="1"/>
  <c r="H101" i="29" s="1"/>
  <c r="H129" i="28"/>
  <c r="H90" i="28"/>
  <c r="H95" i="28"/>
  <c r="H96" i="28" s="1"/>
  <c r="H101" i="28" s="1"/>
  <c r="H130" i="28"/>
  <c r="H80" i="27"/>
  <c r="H79" i="27" s="1"/>
  <c r="H78" i="27"/>
  <c r="H76" i="27" s="1"/>
  <c r="H56" i="27"/>
  <c r="H81" i="27" s="1"/>
  <c r="H89" i="29" l="1"/>
  <c r="H91" i="29" s="1"/>
  <c r="H100" i="29" s="1"/>
  <c r="H141" i="29" s="1"/>
  <c r="H89" i="28"/>
  <c r="H88" i="28"/>
  <c r="H69" i="27"/>
  <c r="H71" i="27" s="1"/>
  <c r="H82" i="27"/>
  <c r="H102" i="29" l="1"/>
  <c r="H131" i="29" s="1"/>
  <c r="H133" i="29" s="1"/>
  <c r="H116" i="29" s="1"/>
  <c r="H143" i="29"/>
  <c r="H91" i="28"/>
  <c r="H100" i="28" s="1"/>
  <c r="H95" i="27"/>
  <c r="H96" i="27" s="1"/>
  <c r="H101" i="27" s="1"/>
  <c r="H129" i="27"/>
  <c r="H90" i="27"/>
  <c r="H89" i="27" s="1"/>
  <c r="H130" i="27"/>
  <c r="H117" i="29" l="1"/>
  <c r="H118" i="29" s="1"/>
  <c r="H144" i="29"/>
  <c r="H145" i="29" s="1"/>
  <c r="H102" i="28"/>
  <c r="H131" i="28" s="1"/>
  <c r="H133" i="28" s="1"/>
  <c r="H141" i="28"/>
  <c r="H88" i="27"/>
  <c r="H91" i="27" s="1"/>
  <c r="H100" i="27" s="1"/>
  <c r="H121" i="29" l="1"/>
  <c r="H120" i="29"/>
  <c r="H119" i="29"/>
  <c r="H146" i="29"/>
  <c r="H143" i="28"/>
  <c r="H144" i="28" s="1"/>
  <c r="H116" i="28"/>
  <c r="H117" i="28" s="1"/>
  <c r="H141" i="27"/>
  <c r="H143" i="27" s="1"/>
  <c r="H102" i="27"/>
  <c r="H131" i="27" s="1"/>
  <c r="H122" i="29" l="1"/>
  <c r="H134" i="29" s="1"/>
  <c r="H135" i="29" s="1"/>
  <c r="H140" i="29" s="1"/>
  <c r="H147" i="29" s="1"/>
  <c r="H118" i="28"/>
  <c r="H121" i="28" s="1"/>
  <c r="H145" i="28"/>
  <c r="H146" i="28" s="1"/>
  <c r="H144" i="27"/>
  <c r="H145" i="27" s="1"/>
  <c r="E9" i="7" l="1"/>
  <c r="F9" i="7" s="1"/>
  <c r="G9" i="7" s="1"/>
  <c r="H119" i="28"/>
  <c r="H120" i="28"/>
  <c r="H122" i="28"/>
  <c r="H134" i="28" s="1"/>
  <c r="H135" i="28" s="1"/>
  <c r="H146" i="27"/>
  <c r="H140" i="28" l="1"/>
  <c r="H147" i="28" s="1"/>
  <c r="E10" i="7"/>
  <c r="F10" i="7" s="1"/>
  <c r="G10" i="7" s="1"/>
  <c r="H111" i="27" l="1"/>
  <c r="H132" i="27" s="1"/>
  <c r="H133" i="27" s="1"/>
  <c r="H116" i="27" l="1"/>
  <c r="H117" i="27" s="1"/>
  <c r="H118" i="27" l="1"/>
  <c r="H121" i="27" l="1"/>
  <c r="H119" i="27"/>
  <c r="H120" i="27"/>
  <c r="H122" i="27" l="1"/>
  <c r="H134" i="27" l="1"/>
  <c r="H135" i="27" l="1"/>
  <c r="E11" i="7" s="1"/>
  <c r="F11" i="7" s="1"/>
  <c r="G11" i="7" l="1"/>
  <c r="G12" i="7" s="1"/>
  <c r="F12" i="7"/>
  <c r="H140" i="27"/>
  <c r="H147" i="27" l="1"/>
  <c r="G1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3AA5C9C4-FF6C-44D4-BCCB-546BE8E18FE4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76277F12-14FB-4A05-B47A-BCD1FAA69F6C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ED6AF4A0-A6A1-4C3A-91D8-2152A39C1CE6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D4555E37-3C66-47F1-AA79-B62BFF8C7559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DE32F8E3-9C03-438F-A768-B9ECE5540DF4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253A33C9-9338-4C11-A9DC-6C5745DBD1BE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59E6DDE9-10E7-47B7-A90B-E0B33327F2F3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1AB956BC-30EF-4DD8-B2DA-BD75435661EC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4B6D4F85-5542-465A-B957-59E4EB397E4D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F046592A-B46F-40E8-B36E-7E9254ED5F28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5EAE360A-46EF-4C3B-B500-B8E924358A8B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DEF240C1-98F4-49EC-95B9-9A02B389E16F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686848E6-E8DA-4A1F-90FE-1F91D32EF442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C0DAE591-661A-423D-9B34-B44393577E64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3E0D03D4-2E97-484F-86B9-92428F66951C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33345A0A-197E-4370-9174-D993B65494A5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12ABDDCD-21F1-445F-BCA5-F62AF138F658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960F192A-61FF-4ADB-95AB-5E82404F52CD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E04D9E74-C882-453D-BD26-3402FFE71E1A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1EEF065A-63AF-4DED-A02E-DA01DD19CFFF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FA36F2C0-6CFB-4B11-B45D-A913084D4F0F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1351CE60-0EC5-4FE0-888F-D7B108856D74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4EFA9401-2CF0-447C-8320-CB912523731D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4E5762F8-42DE-4546-9767-D04D2AC8EB87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1" authorId="1" shapeId="0" xr:uid="{CE5B947D-A55A-4EED-8618-7BE7F8DD99A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D600F54C-46EE-4CF8-A06F-BBE94984054F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985C2443-C334-4CAF-AFF7-3E5F33671872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64AF428D-385E-40CC-897F-0A8561BF0EE8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EB8A7235-457E-4CCF-9F3D-7A4CAF78D8AF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FF42A204-AD8E-43E6-A82A-65C5EFFF2CD3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9438ED32-C44C-4A7E-809B-88C70C34D76A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2417C0FA-8AF2-4B7C-ADF1-E82C7FF659A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99D1E3E2-DA78-4355-906A-6C6F85398BC5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401F9775-C0BF-4BDB-89F2-533491678BAF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998A1624-85A0-4B50-958C-2F698DCA0A8D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C6B93C90-DE7E-48EC-8D7E-07CF9B332B35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05359FE8-70BE-4849-B66B-8F2173F73DEE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1345D003-1519-43C1-B401-C40DDCED21D5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456CF1E9-D667-4BEC-887C-32E13BFD61F6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4D26E358-8823-43A9-810E-1CEB14B6989B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0664333A-38E9-4C3F-AA3D-01E22885CAD3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1FFDCB65-A99C-45A2-A205-B4D946C05856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3E0CF853-DF25-475C-A884-97E6D2A51861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F7CD499F-9668-4C3D-92ED-9EC5EB4B08D5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AFDF0CD2-1285-41A8-851D-F05969DB4793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9EE0325A-DF34-4FC7-88E1-3D345ADDE905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EF7D1684-9287-4462-8DC7-774B10021093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AEA118A3-F43C-48C6-AA1F-7FBD6EAF48A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98E1AE54-C4F4-4593-8BE4-7AB48EE0D115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D37197BD-79A8-4C72-A39C-771957C20469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57F3A340-426D-4041-B3D2-430B0FA87739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1551F76A-A284-41CF-B37B-9417663B38B5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C54727DA-6A22-419C-80D5-92FAB39D2680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69E08BAE-0C44-4BF2-BEEE-B429E4099FDF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D0D05F5A-D8E4-48FA-828B-168006A8D6D0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24C03477-47F1-4125-8EBD-C9F8E5119E0A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1" authorId="1" shapeId="0" xr:uid="{4933373C-68E8-4A8B-A750-34E46C1A2D5D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B14A1180-589D-4468-9384-64B66FDF4EE4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5EE1BC9B-49A4-400A-B669-4700338C8EE2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1074A705-71EB-40AB-959A-0715047BCE5E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43C52428-5F72-45C1-9AF5-87287415EFA6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6D0A7510-DE34-4ED3-8E6E-A7D24758241C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ED6AB7CB-6DCF-4BFC-A55E-0A9F1F3C1EA8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ACF2BEC7-8423-472F-81C7-AB0EEF35DBD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00000000-0006-0000-0100-00000200000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0000000-0006-0000-0100-000003000000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00000000-0006-0000-0100-000004000000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00000000-0006-0000-0100-00000500000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00000000-0006-0000-0100-00000600000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00000000-0006-0000-0100-00000800000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00000000-0006-0000-0100-00000900000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00000000-0006-0000-0100-00000A00000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00000000-0006-0000-0100-00000B00000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00000000-0006-0000-0100-00000C00000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00000000-0006-0000-0100-00000D000000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00000000-0006-0000-0100-00000E00000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00000000-0006-0000-0100-00000F00000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00000000-0006-0000-0100-00001000000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00000000-0006-0000-0100-00001100000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00000000-0006-0000-0100-000012000000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00000000-0006-0000-0100-000013000000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00000000-0006-0000-0100-000014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00000000-0006-0000-0100-000015000000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00000000-0006-0000-0100-000016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00000000-0006-0000-0100-000017000000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00000000-0006-0000-0100-000018000000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1" authorId="1" shapeId="0" xr:uid="{00000000-0006-0000-0100-00001900000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00000000-0006-0000-0100-00001A000000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00000000-0006-0000-0100-00001B00000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00000000-0006-0000-0100-00001C00000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00000000-0006-0000-0100-00001D000000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00000000-0006-0000-0100-00001E000000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00000000-0006-0000-0100-00001F00000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00000000-0006-0000-0100-00002000000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<sst xmlns="http://schemas.openxmlformats.org/spreadsheetml/2006/main" count="901" uniqueCount="233">
  <si>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</si>
  <si>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</si>
  <si>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</si>
  <si>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</si>
  <si>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</si>
  <si>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</si>
  <si>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</si>
  <si>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</si>
  <si>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</si>
  <si>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</si>
  <si>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</si>
  <si>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</si>
  <si>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</si>
  <si>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</si>
  <si>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</si>
  <si>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</si>
  <si>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</si>
  <si>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</si>
  <si>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</si>
  <si>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</si>
  <si>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</si>
  <si>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</si>
  <si>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</si>
  <si>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</si>
  <si>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</si>
  <si>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</si>
  <si>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</si>
  <si>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</si>
  <si>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</si>
  <si>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</si>
  <si>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</si>
  <si>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</si>
  <si>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</si>
  <si>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</si>
  <si>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</si>
  <si>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</si>
  <si>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</si>
  <si>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</si>
  <si>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</si>
  <si>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</si>
  <si>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</si>
  <si>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</si>
  <si>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</si>
  <si>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</si>
  <si>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</si>
  <si>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</si>
  <si>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</si>
  <si>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</si>
  <si>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</si>
  <si>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</si>
  <si>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</si>
  <si>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</si>
  <si>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</si>
  <si>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</si>
  <si>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</si>
  <si>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</si>
  <si>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</si>
  <si>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</si>
  <si>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</si>
  <si>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</si>
  <si>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</si>
  <si>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</si>
  <si>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</si>
  <si>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</si>
  <si>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</si>
  <si>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</si>
  <si>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</si>
  <si>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</si>
  <si>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</si>
  <si>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</si>
  <si>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</si>
  <si>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</si>
  <si>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</si>
  <si>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</si>
  <si>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</si>
  <si>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</si>
  <si>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</si>
  <si>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</si>
  <si>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</si>
  <si>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</si>
  <si>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</si>
  <si>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</si>
  <si>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</si>
  <si>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</si>
  <si>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</si>
  <si>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</si>
  <si>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</si>
  <si>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</si>
  <si>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</si>
  <si>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</si>
  <si>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</si>
  <si>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</si>
  <si>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</si>
  <si>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</si>
  <si>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</si>
  <si>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</si>
  <si>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</si>
  <si>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</si>
  <si>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</si>
  <si>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</si>
  <si>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</si>
  <si>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</si>
  <si>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</si>
  <si>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</si>
  <si>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</si>
  <si>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Assistência médica e familiar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</si>
  <si>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</si>
  <si>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</si>
  <si>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</si>
  <si>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</si>
  <si>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</si>
  <si>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</si>
  <si>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</si>
  <si>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</si>
  <si>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</si>
  <si>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Vida Útil (meses)</t>
  </si>
  <si>
    <t>CUSTO TOTAL MENSAL</t>
  </si>
  <si>
    <t>Nº de Mudas por posto</t>
  </si>
  <si>
    <t>Custo anual por posto</t>
  </si>
  <si>
    <t>Custo mensal por posto</t>
  </si>
  <si>
    <t>BASE DE CÁLCULO DOS TRIBUTOS</t>
  </si>
  <si>
    <t>Mão de Obra vinculada à execução contratual (valor por posto)</t>
  </si>
  <si>
    <t>Memória de cálculo da hora extra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</si>
  <si>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</si>
  <si>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</si>
  <si>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</si>
  <si>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</si>
  <si>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</si>
  <si>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</si>
  <si>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</si>
  <si>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</si>
  <si>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</si>
  <si>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</si>
  <si>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</si>
  <si>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</si>
  <si>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</si>
  <si>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</si>
  <si>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</si>
  <si>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</si>
  <si>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</si>
  <si>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</si>
  <si>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</si>
  <si>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</si>
  <si>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</si>
  <si>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</si>
  <si>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</si>
  <si>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</si>
  <si>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</si>
  <si>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</si>
  <si>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</si>
  <si>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</si>
  <si>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</si>
  <si>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</si>
  <si>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</si>
  <si>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</si>
  <si>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</si>
  <si>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</si>
  <si>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</si>
  <si>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</si>
  <si>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</si>
  <si>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</si>
  <si>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</si>
  <si>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</si>
  <si>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</si>
  <si>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</si>
  <si>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</si>
  <si>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</si>
  <si>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</si>
  <si>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</si>
  <si>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</si>
  <si>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</si>
  <si>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</si>
  <si>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</si>
  <si>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</si>
  <si>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</si>
  <si>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</si>
  <si>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</si>
  <si>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</si>
  <si>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</si>
  <si>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</si>
  <si>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</si>
  <si>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</si>
  <si>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</si>
  <si>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</si>
  <si>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</si>
  <si>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</si>
  <si>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</si>
  <si>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</si>
  <si>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</si>
  <si>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</si>
  <si>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</si>
  <si>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</si>
  <si>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</si>
  <si>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</si>
  <si>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</si>
  <si>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</si>
  <si>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</si>
  <si>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</si>
  <si>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</si>
  <si>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</si>
  <si>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Contrato inicial</t>
  </si>
  <si>
    <t xml:space="preserve">Recepcionista </t>
  </si>
  <si>
    <t xml:space="preserve">Telefonista </t>
  </si>
  <si>
    <t>Mensageiro</t>
  </si>
  <si>
    <t>Benefício Social Familiar</t>
  </si>
  <si>
    <t xml:space="preserve">Benefício Social Familiar </t>
  </si>
  <si>
    <t>Telefonista</t>
  </si>
  <si>
    <t>Recepcionista</t>
  </si>
  <si>
    <t>UNIFORMES TELEFONISTAS</t>
  </si>
  <si>
    <t>Calça Social Masculina/feminina</t>
  </si>
  <si>
    <t>Camisa Social Masculina/feminino</t>
  </si>
  <si>
    <t>Pares de Meia (Unissex)</t>
  </si>
  <si>
    <t>Cinto Masculino</t>
  </si>
  <si>
    <t>Agasalhos (Unissex)</t>
  </si>
  <si>
    <t>Sapato Social Masculino/feminino</t>
  </si>
  <si>
    <t>UNIFORMES RECEPCIONISTAS</t>
  </si>
  <si>
    <t>Terno Masculino/feminino</t>
  </si>
  <si>
    <t>Lenço Feminino</t>
  </si>
  <si>
    <t>Gravata</t>
  </si>
  <si>
    <t>Pares de meia (Unissex)</t>
  </si>
  <si>
    <t>UNIFORMES MENSAGEIROS</t>
  </si>
  <si>
    <t>Calça Jeans Masculina</t>
  </si>
  <si>
    <t>Calça Jeans Feminina</t>
  </si>
  <si>
    <t>Camisa Polo Masculina</t>
  </si>
  <si>
    <t>Camisa Polo Feminina</t>
  </si>
  <si>
    <t>Meia branca</t>
  </si>
  <si>
    <t>Tênis</t>
  </si>
  <si>
    <t>EQUIPAMENTOS ( MENSAGEIRO)</t>
  </si>
  <si>
    <t>Plano de celular</t>
  </si>
  <si>
    <t>Aparelho celular</t>
  </si>
  <si>
    <t>Carrinho de mão</t>
  </si>
  <si>
    <r>
      <t>OBJETO:</t>
    </r>
    <r>
      <rPr>
        <sz val="9"/>
        <rFont val="Tahoma"/>
        <family val="2"/>
      </rPr>
      <t xml:space="preserve"> 1.1.	Contratação de empresa especializada na prestação de serviço continuado de telefonistas, recepcionistas,
  mensageiro interno e externo, técnico de secretariado e copeira.</t>
    </r>
  </si>
  <si>
    <t xml:space="preserve"> RJ001300/2023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</si>
</sst>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3">
    <xf numFmtId="0" fontId="0" fillId="0" borderId="0" xfId="0"/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vertical="center"/>
    </xf>
    <xf numFmtId="10" fontId="14" fillId="0" borderId="1" xfId="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0" borderId="1" xfId="3" applyFont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3" fontId="7" fillId="7" borderId="1" xfId="3" applyFont="1" applyFill="1" applyBorder="1" applyAlignment="1">
      <alignment vertical="center"/>
    </xf>
    <xf numFmtId="9" fontId="7" fillId="7" borderId="1" xfId="2" applyFont="1" applyFill="1" applyBorder="1" applyAlignment="1">
      <alignment horizontal="center" vertical="center"/>
    </xf>
    <xf numFmtId="10" fontId="7" fillId="7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3" fontId="7" fillId="7" borderId="1" xfId="3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" fontId="15" fillId="5" borderId="0" xfId="0" applyNumberFormat="1" applyFont="1" applyFill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right" vertical="center"/>
    </xf>
    <xf numFmtId="10" fontId="7" fillId="7" borderId="1" xfId="2" applyNumberFormat="1" applyFont="1" applyFill="1" applyBorder="1" applyAlignment="1">
      <alignment horizontal="right" vertical="center"/>
    </xf>
    <xf numFmtId="0" fontId="7" fillId="3" borderId="1" xfId="2" applyNumberFormat="1" applyFont="1" applyFill="1" applyBorder="1" applyAlignment="1">
      <alignment horizontal="right" vertical="center"/>
    </xf>
    <xf numFmtId="43" fontId="7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6" fontId="14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43" fontId="7" fillId="5" borderId="1" xfId="3" applyFont="1" applyFill="1" applyBorder="1" applyAlignment="1">
      <alignment vertical="center"/>
    </xf>
    <xf numFmtId="43" fontId="6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6" fillId="5" borderId="14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 wrapText="1"/>
    </xf>
    <xf numFmtId="10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4" fillId="7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3" fontId="7" fillId="0" borderId="0" xfId="3" applyFont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3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6" fillId="0" borderId="0" xfId="3" applyFont="1" applyFill="1" applyBorder="1" applyAlignment="1">
      <alignment horizontal="center" vertical="center"/>
    </xf>
    <xf numFmtId="43" fontId="7" fillId="0" borderId="0" xfId="3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4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3" applyFont="1" applyFill="1" applyBorder="1" applyAlignment="1">
      <alignment horizontal="right" vertical="center"/>
    </xf>
    <xf numFmtId="164" fontId="6" fillId="0" borderId="0" xfId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10" fontId="7" fillId="8" borderId="1" xfId="2" applyNumberFormat="1" applyFont="1" applyFill="1" applyBorder="1" applyAlignment="1">
      <alignment horizontal="center" vertical="center"/>
    </xf>
    <xf numFmtId="43" fontId="7" fillId="8" borderId="1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10" fontId="7" fillId="8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65" fontId="28" fillId="0" borderId="1" xfId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6" fillId="5" borderId="0" xfId="0" applyFont="1" applyFill="1" applyAlignment="1">
      <alignment vertical="center"/>
    </xf>
    <xf numFmtId="0" fontId="28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 wrapText="1"/>
    </xf>
    <xf numFmtId="0" fontId="13" fillId="5" borderId="16" xfId="0" applyFont="1" applyFill="1" applyBorder="1" applyAlignment="1">
      <alignment vertical="center"/>
    </xf>
    <xf numFmtId="165" fontId="14" fillId="5" borderId="2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13" fontId="7" fillId="0" borderId="0" xfId="3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5" borderId="1" xfId="1" applyFill="1" applyBorder="1" applyAlignment="1">
      <alignment horizontal="center" vertical="center" wrapText="1"/>
    </xf>
    <xf numFmtId="164" fontId="3" fillId="0" borderId="1" xfId="1" applyBorder="1" applyAlignment="1">
      <alignment vertical="center" wrapText="1"/>
    </xf>
    <xf numFmtId="43" fontId="14" fillId="5" borderId="1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Border="1" applyAlignment="1">
      <alignment vertical="center"/>
    </xf>
    <xf numFmtId="43" fontId="1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167" fontId="14" fillId="7" borderId="1" xfId="0" applyNumberFormat="1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10" fontId="7" fillId="0" borderId="15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43" fontId="7" fillId="0" borderId="1" xfId="3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 xr:uid="{00000000-0005-0000-0000-000001000000}"/>
    <cellStyle name="Moeda 3" xfId="11" xr:uid="{00000000-0005-0000-0000-000002000000}"/>
    <cellStyle name="Normal" xfId="0" builtinId="0"/>
    <cellStyle name="Normal 2" xfId="5" xr:uid="{00000000-0005-0000-0000-000004000000}"/>
    <cellStyle name="Normal 3" xfId="4" xr:uid="{00000000-0005-0000-0000-000005000000}"/>
    <cellStyle name="Normal 4" xfId="12" xr:uid="{00000000-0005-0000-0000-000006000000}"/>
    <cellStyle name="Porcentagem" xfId="2" builtinId="5"/>
    <cellStyle name="Porcentagem 2" xfId="7" xr:uid="{00000000-0005-0000-0000-000008000000}"/>
    <cellStyle name="Porcentagem 3" xfId="10" xr:uid="{00000000-0005-0000-0000-000009000000}"/>
    <cellStyle name="Vírgula" xfId="3" builtinId="3"/>
    <cellStyle name="Vírgula 2" xfId="8" xr:uid="{00000000-0005-0000-0000-00000B000000}"/>
    <cellStyle name="Vírgula 3" xfId="9" xr:uid="{00000000-0005-0000-0000-00000C000000}"/>
    <cellStyle name="Vírgula 4" xfId="13" xr:uid="{00000000-0005-0000-0000-00000D000000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H26"/>
  <sheetViews>
    <sheetView showGridLines="0" view="pageBreakPreview" zoomScale="60" zoomScaleNormal="100" workbookViewId="0">
      <selection activeCell="G5" sqref="G5"/>
    </sheetView>
  </sheetViews>
  <sheetFormatPr defaultColWidth="9.140625" defaultRowHeight="22.5" customHeight="1" x14ac:dyDescent="0.2"/>
  <cols>
    <col min="1" max="1" width="3.28515625" style="54" customWidth="1"/>
    <col min="2" max="2" width="20.85546875" style="54" customWidth="1"/>
    <col min="3" max="4" width="13.28515625" style="54" customWidth="1"/>
    <col min="5" max="5" width="14.28515625" style="54" customWidth="1"/>
    <col min="6" max="6" width="13.7109375" style="54" customWidth="1"/>
    <col min="7" max="7" width="26.5703125" style="54" customWidth="1"/>
    <col min="8" max="8" width="14.7109375" style="54" bestFit="1" customWidth="1"/>
    <col min="9" max="16384" width="9.140625" style="54"/>
  </cols>
  <sheetData>
    <row r="1" spans="2:8" ht="22.5" customHeight="1" x14ac:dyDescent="0.2">
      <c r="B1" s="193" t="s">
        <v>126</v>
      </c>
      <c r="C1" s="193"/>
      <c r="D1" s="193"/>
      <c r="E1" s="193"/>
      <c r="F1" s="193"/>
      <c r="G1" s="193"/>
    </row>
    <row r="3" spans="2:8" ht="22.5" customHeight="1" x14ac:dyDescent="0.2">
      <c r="B3" s="58" t="s">
        <v>127</v>
      </c>
    </row>
    <row r="4" spans="2:8" ht="22.5" customHeight="1" x14ac:dyDescent="0.2">
      <c r="B4" s="194" t="s">
        <v>231</v>
      </c>
      <c r="C4" s="195"/>
      <c r="D4" s="195"/>
      <c r="E4" s="195"/>
      <c r="F4" s="195"/>
      <c r="G4" s="195"/>
      <c r="H4" s="55"/>
    </row>
    <row r="5" spans="2:8" ht="22.5" customHeight="1" thickBot="1" x14ac:dyDescent="0.25"/>
    <row r="6" spans="2:8" ht="22.5" customHeight="1" thickBot="1" x14ac:dyDescent="0.25">
      <c r="B6" s="187" t="s">
        <v>90</v>
      </c>
      <c r="C6" s="188"/>
      <c r="D6" s="188"/>
      <c r="E6" s="188"/>
      <c r="F6" s="188"/>
      <c r="G6" s="189"/>
    </row>
    <row r="7" spans="2:8" ht="22.5" customHeight="1" x14ac:dyDescent="0.2">
      <c r="B7" s="9"/>
      <c r="C7" s="9"/>
      <c r="D7" s="9"/>
      <c r="E7" s="9"/>
      <c r="F7" s="9"/>
      <c r="G7" s="9"/>
    </row>
    <row r="8" spans="2:8" ht="22.5" customHeight="1" x14ac:dyDescent="0.2">
      <c r="B8" s="40" t="s">
        <v>86</v>
      </c>
      <c r="C8" s="40" t="s">
        <v>125</v>
      </c>
      <c r="D8" s="40" t="s">
        <v>87</v>
      </c>
      <c r="E8" s="40" t="s">
        <v>96</v>
      </c>
      <c r="F8" s="40" t="s">
        <v>88</v>
      </c>
      <c r="G8" s="40" t="s">
        <v>89</v>
      </c>
    </row>
    <row r="9" spans="2:8" ht="22.5" customHeight="1" x14ac:dyDescent="0.2">
      <c r="B9" s="179" t="s">
        <v>206</v>
      </c>
      <c r="C9" s="5">
        <v>2</v>
      </c>
      <c r="D9" s="5">
        <v>12</v>
      </c>
      <c r="E9" s="181">
        <f>Telefonista!H135</f>
        <v>6573.8816666666671</v>
      </c>
      <c r="F9" s="183">
        <f>E9*C9</f>
        <v>13147.763333333334</v>
      </c>
      <c r="G9" s="183">
        <f>F9*D9</f>
        <v>157773.16</v>
      </c>
    </row>
    <row r="10" spans="2:8" ht="22.5" customHeight="1" x14ac:dyDescent="0.2">
      <c r="B10" s="179" t="s">
        <v>207</v>
      </c>
      <c r="C10" s="5">
        <v>3</v>
      </c>
      <c r="D10" s="5">
        <v>30</v>
      </c>
      <c r="E10" s="181">
        <f>Recepcionista!H135</f>
        <v>6070.5399999999991</v>
      </c>
      <c r="F10" s="183">
        <f t="shared" ref="F10:F11" si="0">E10*C10</f>
        <v>18211.619999999995</v>
      </c>
      <c r="G10" s="183">
        <f t="shared" ref="G10:G11" si="1">F10*D10</f>
        <v>546348.59999999986</v>
      </c>
    </row>
    <row r="11" spans="2:8" ht="22.5" customHeight="1" x14ac:dyDescent="0.2">
      <c r="B11" s="180" t="s">
        <v>203</v>
      </c>
      <c r="C11" s="53">
        <v>1</v>
      </c>
      <c r="D11" s="5">
        <v>30</v>
      </c>
      <c r="E11" s="182">
        <f>Mensageiro!H135</f>
        <v>6432.8775000000014</v>
      </c>
      <c r="F11" s="183">
        <f t="shared" si="0"/>
        <v>6432.8775000000014</v>
      </c>
      <c r="G11" s="183">
        <f t="shared" si="1"/>
        <v>192986.32500000004</v>
      </c>
    </row>
    <row r="12" spans="2:8" ht="22.5" customHeight="1" x14ac:dyDescent="0.2">
      <c r="B12" s="12" t="s">
        <v>61</v>
      </c>
      <c r="C12" s="53">
        <v>6</v>
      </c>
      <c r="D12" s="191"/>
      <c r="E12" s="192"/>
      <c r="F12" s="184">
        <f>SUM(F9:F11)</f>
        <v>37792.260833333334</v>
      </c>
      <c r="G12" s="185">
        <f>SUM(G9:G11)</f>
        <v>897108.08499999996</v>
      </c>
    </row>
    <row r="13" spans="2:8" ht="22.5" customHeight="1" x14ac:dyDescent="0.2">
      <c r="B13" s="190" t="s">
        <v>123</v>
      </c>
      <c r="C13" s="190"/>
      <c r="D13" s="190"/>
      <c r="E13" s="190"/>
      <c r="F13" s="190"/>
      <c r="G13" s="56">
        <f>G12</f>
        <v>897108.08499999996</v>
      </c>
    </row>
    <row r="14" spans="2:8" ht="22.5" customHeight="1" x14ac:dyDescent="0.2">
      <c r="F14" s="1"/>
    </row>
    <row r="15" spans="2:8" ht="22.5" customHeight="1" x14ac:dyDescent="0.2">
      <c r="F15" s="1"/>
    </row>
    <row r="16" spans="2:8" ht="22.5" customHeight="1" x14ac:dyDescent="0.2">
      <c r="B16" s="2" t="s">
        <v>53</v>
      </c>
      <c r="C16" s="3"/>
      <c r="D16" s="77"/>
      <c r="E16" s="1" t="s">
        <v>54</v>
      </c>
      <c r="F16" s="1"/>
    </row>
    <row r="17" spans="2:6" ht="22.5" customHeight="1" x14ac:dyDescent="0.2">
      <c r="B17" s="54" t="s">
        <v>195</v>
      </c>
      <c r="F17" s="1"/>
    </row>
    <row r="18" spans="2:6" ht="22.5" customHeight="1" x14ac:dyDescent="0.2">
      <c r="F18" s="1"/>
    </row>
    <row r="19" spans="2:6" ht="22.5" customHeight="1" x14ac:dyDescent="0.2">
      <c r="E19" s="127" t="s">
        <v>188</v>
      </c>
      <c r="F19" s="1"/>
    </row>
    <row r="20" spans="2:6" ht="22.5" customHeight="1" x14ac:dyDescent="0.2">
      <c r="E20" s="128"/>
    </row>
    <row r="21" spans="2:6" ht="22.5" customHeight="1" x14ac:dyDescent="0.2">
      <c r="E21" s="128" t="s">
        <v>189</v>
      </c>
    </row>
    <row r="22" spans="2:6" ht="22.5" customHeight="1" x14ac:dyDescent="0.2">
      <c r="E22" s="128" t="s">
        <v>190</v>
      </c>
    </row>
    <row r="23" spans="2:6" ht="22.5" customHeight="1" x14ac:dyDescent="0.2">
      <c r="E23" s="128" t="s">
        <v>191</v>
      </c>
    </row>
    <row r="24" spans="2:6" ht="22.5" customHeight="1" x14ac:dyDescent="0.2">
      <c r="E24" s="128" t="s">
        <v>192</v>
      </c>
    </row>
    <row r="25" spans="2:6" ht="22.5" customHeight="1" x14ac:dyDescent="0.2">
      <c r="E25" s="128" t="s">
        <v>193</v>
      </c>
    </row>
    <row r="26" spans="2:6" ht="22.5" customHeight="1" x14ac:dyDescent="0.2">
      <c r="E26" s="128" t="s">
        <v>194</v>
      </c>
    </row>
  </sheetData>
  <mergeCells count="5">
    <mergeCell ref="B6:G6"/>
    <mergeCell ref="B13:F13"/>
    <mergeCell ref="D12:E12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8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464E-A9FD-4D70-8DD6-C91DEDC4B228}">
  <sheetPr>
    <tabColor theme="9"/>
  </sheetPr>
  <dimension ref="B1:I148"/>
  <sheetViews>
    <sheetView showGridLines="0" tabSelected="1" topLeftCell="B111" zoomScaleNormal="100" workbookViewId="0">
      <selection activeCell="G119" sqref="G119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 customWidth="1"/>
    <col min="8" max="8" width="15.28515625" style="59" customWidth="1"/>
    <col min="9" max="9" width="18.7109375" style="59" customWidth="1"/>
    <col min="10" max="16384" width="9.140625" style="59"/>
  </cols>
  <sheetData>
    <row r="1" spans="2:9" x14ac:dyDescent="0.2">
      <c r="C1" s="110"/>
      <c r="D1" s="10"/>
      <c r="E1" s="10"/>
      <c r="F1" s="10"/>
      <c r="G1" s="10"/>
      <c r="H1" s="10"/>
      <c r="I1" s="10"/>
    </row>
    <row r="2" spans="2:9" x14ac:dyDescent="0.2">
      <c r="B2" s="200" t="s">
        <v>50</v>
      </c>
      <c r="C2" s="200"/>
      <c r="D2" s="200"/>
      <c r="E2" s="200"/>
      <c r="F2" s="200"/>
      <c r="G2" s="200"/>
      <c r="H2" s="200"/>
      <c r="I2" s="96"/>
    </row>
    <row r="3" spans="2:9" x14ac:dyDescent="0.2">
      <c r="B3" s="201"/>
      <c r="C3" s="201"/>
      <c r="D3" s="201"/>
      <c r="E3" s="201"/>
      <c r="F3" s="201"/>
      <c r="G3" s="201"/>
      <c r="H3" s="201"/>
      <c r="I3" s="98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8" t="s">
        <v>130</v>
      </c>
      <c r="C6" s="138"/>
      <c r="D6" s="202" t="s">
        <v>202</v>
      </c>
      <c r="E6" s="203"/>
      <c r="F6" s="204"/>
      <c r="I6" s="11"/>
    </row>
    <row r="7" spans="2:9" x14ac:dyDescent="0.2">
      <c r="B7" s="61"/>
      <c r="C7" s="61"/>
      <c r="D7" s="61"/>
      <c r="E7" s="61"/>
      <c r="F7" s="61"/>
      <c r="G7" s="61"/>
      <c r="H7" s="61"/>
      <c r="I7" s="10"/>
    </row>
    <row r="8" spans="2:9" x14ac:dyDescent="0.2">
      <c r="B8" s="205" t="s">
        <v>51</v>
      </c>
      <c r="C8" s="205"/>
      <c r="D8" s="205"/>
      <c r="E8" s="205"/>
      <c r="F8" s="205"/>
      <c r="G8" s="139"/>
      <c r="H8" s="139"/>
      <c r="I8" s="60"/>
    </row>
    <row r="9" spans="2:9" x14ac:dyDescent="0.2">
      <c r="B9" s="196">
        <v>1</v>
      </c>
      <c r="C9" s="197" t="s">
        <v>52</v>
      </c>
      <c r="D9" s="197"/>
      <c r="E9" s="197"/>
      <c r="F9" s="197"/>
      <c r="G9" s="139"/>
      <c r="H9" s="139"/>
      <c r="I9" s="60"/>
    </row>
    <row r="10" spans="2:9" x14ac:dyDescent="0.2">
      <c r="B10" s="196"/>
      <c r="C10" s="198"/>
      <c r="D10" s="198"/>
      <c r="E10" s="198"/>
      <c r="F10" s="198"/>
      <c r="G10" s="139"/>
      <c r="H10" s="139"/>
      <c r="I10" s="60"/>
    </row>
    <row r="11" spans="2:9" x14ac:dyDescent="0.2">
      <c r="B11" s="196">
        <v>2</v>
      </c>
      <c r="C11" s="197" t="s">
        <v>55</v>
      </c>
      <c r="D11" s="197"/>
      <c r="E11" s="197"/>
      <c r="F11" s="197"/>
      <c r="G11" s="139"/>
      <c r="H11" s="139"/>
      <c r="I11" s="60"/>
    </row>
    <row r="12" spans="2:9" x14ac:dyDescent="0.2">
      <c r="B12" s="196"/>
      <c r="C12" s="198"/>
      <c r="D12" s="198"/>
      <c r="E12" s="198"/>
      <c r="F12" s="198"/>
      <c r="G12" s="139"/>
      <c r="H12" s="139"/>
      <c r="I12" s="60"/>
    </row>
    <row r="13" spans="2:9" x14ac:dyDescent="0.2">
      <c r="B13" s="196">
        <v>3</v>
      </c>
      <c r="C13" s="197" t="s">
        <v>56</v>
      </c>
      <c r="D13" s="197"/>
      <c r="E13" s="197"/>
      <c r="F13" s="197"/>
      <c r="G13" s="139"/>
      <c r="H13" s="139"/>
      <c r="I13" s="60"/>
    </row>
    <row r="14" spans="2:9" x14ac:dyDescent="0.2">
      <c r="B14" s="196"/>
      <c r="C14" s="199"/>
      <c r="D14" s="199"/>
      <c r="E14" s="199"/>
      <c r="F14" s="199"/>
      <c r="G14" s="139"/>
      <c r="H14" s="139"/>
      <c r="I14" s="60"/>
    </row>
    <row r="15" spans="2:9" x14ac:dyDescent="0.2">
      <c r="B15" s="196">
        <v>4</v>
      </c>
      <c r="C15" s="197" t="s">
        <v>57</v>
      </c>
      <c r="D15" s="197"/>
      <c r="E15" s="197"/>
      <c r="F15" s="197"/>
      <c r="G15" s="139"/>
      <c r="H15" s="139"/>
      <c r="I15" s="60"/>
    </row>
    <row r="16" spans="2:9" x14ac:dyDescent="0.2">
      <c r="B16" s="196"/>
      <c r="C16" s="198"/>
      <c r="D16" s="198"/>
      <c r="E16" s="198"/>
      <c r="F16" s="198"/>
      <c r="G16" s="139"/>
      <c r="H16" s="139"/>
      <c r="I16" s="60"/>
    </row>
    <row r="17" spans="2:9" x14ac:dyDescent="0.2">
      <c r="B17" s="196">
        <v>5</v>
      </c>
      <c r="C17" s="197" t="s">
        <v>58</v>
      </c>
      <c r="D17" s="197"/>
      <c r="E17" s="197"/>
      <c r="F17" s="197"/>
      <c r="G17" s="139"/>
      <c r="H17" s="139"/>
      <c r="I17" s="60"/>
    </row>
    <row r="18" spans="2:9" x14ac:dyDescent="0.2">
      <c r="B18" s="196"/>
      <c r="C18" s="198"/>
      <c r="D18" s="198"/>
      <c r="E18" s="198"/>
      <c r="F18" s="198"/>
      <c r="G18" s="139"/>
      <c r="H18" s="139"/>
      <c r="I18" s="60"/>
    </row>
    <row r="19" spans="2:9" x14ac:dyDescent="0.2">
      <c r="B19" s="196">
        <v>6</v>
      </c>
      <c r="C19" s="197" t="s">
        <v>59</v>
      </c>
      <c r="D19" s="197"/>
      <c r="E19" s="197"/>
      <c r="F19" s="197"/>
      <c r="G19" s="139"/>
      <c r="H19" s="139"/>
      <c r="I19" s="60"/>
    </row>
    <row r="20" spans="2:9" x14ac:dyDescent="0.2">
      <c r="B20" s="196"/>
      <c r="C20" s="198"/>
      <c r="D20" s="198"/>
      <c r="E20" s="198"/>
      <c r="F20" s="198"/>
      <c r="G20" s="139"/>
      <c r="H20" s="139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  <c r="H22" s="144" t="s">
        <v>200</v>
      </c>
    </row>
    <row r="23" spans="2:9" x14ac:dyDescent="0.2">
      <c r="B23" s="206" t="s">
        <v>66</v>
      </c>
      <c r="C23" s="207"/>
      <c r="D23" s="207"/>
      <c r="E23" s="207"/>
      <c r="F23" s="207"/>
      <c r="G23" s="142"/>
      <c r="H23" s="143" t="s">
        <v>232</v>
      </c>
      <c r="I23" s="97"/>
    </row>
    <row r="24" spans="2:9" x14ac:dyDescent="0.2">
      <c r="B24" s="92">
        <v>1</v>
      </c>
      <c r="C24" s="191" t="s">
        <v>60</v>
      </c>
      <c r="D24" s="208"/>
      <c r="E24" s="208"/>
      <c r="F24" s="192"/>
      <c r="G24" s="141" t="s">
        <v>1</v>
      </c>
      <c r="H24" s="141" t="s">
        <v>49</v>
      </c>
      <c r="I24" s="97"/>
    </row>
    <row r="25" spans="2:9" ht="12.75" customHeight="1" x14ac:dyDescent="0.2">
      <c r="B25" s="12" t="s">
        <v>4</v>
      </c>
      <c r="C25" s="90" t="s">
        <v>17</v>
      </c>
      <c r="D25" s="209"/>
      <c r="E25" s="210"/>
      <c r="F25" s="211"/>
      <c r="G25" s="13"/>
      <c r="H25" s="30">
        <v>1833.91</v>
      </c>
      <c r="I25" s="103"/>
    </row>
    <row r="26" spans="2:9" x14ac:dyDescent="0.2">
      <c r="B26" s="12" t="s">
        <v>5</v>
      </c>
      <c r="C26" s="90" t="s">
        <v>24</v>
      </c>
      <c r="D26" s="209" t="s">
        <v>131</v>
      </c>
      <c r="E26" s="210"/>
      <c r="F26" s="211"/>
      <c r="G26" s="31"/>
      <c r="H26" s="14">
        <f>TRUNC(H$25*$G26,2)</f>
        <v>0</v>
      </c>
      <c r="I26" s="99"/>
    </row>
    <row r="27" spans="2:9" x14ac:dyDescent="0.2">
      <c r="B27" s="12" t="s">
        <v>6</v>
      </c>
      <c r="C27" s="91" t="s">
        <v>25</v>
      </c>
      <c r="D27" s="209" t="s">
        <v>174</v>
      </c>
      <c r="E27" s="210"/>
      <c r="F27" s="211"/>
      <c r="G27" s="31"/>
      <c r="H27" s="14">
        <f>TRUNC(H$25*$G27,2)</f>
        <v>0</v>
      </c>
      <c r="I27" s="99"/>
    </row>
    <row r="28" spans="2:9" x14ac:dyDescent="0.2">
      <c r="B28" s="12" t="s">
        <v>7</v>
      </c>
      <c r="C28" s="91" t="s">
        <v>0</v>
      </c>
      <c r="D28" s="209" t="s">
        <v>182</v>
      </c>
      <c r="E28" s="210"/>
      <c r="F28" s="211"/>
      <c r="G28" s="32"/>
      <c r="H28" s="68">
        <f>TRUNC(((H$25+H26)*$G28)/220*8*15,2)</f>
        <v>0</v>
      </c>
      <c r="I28" s="100"/>
    </row>
    <row r="29" spans="2:9" x14ac:dyDescent="0.2">
      <c r="B29" s="120" t="s">
        <v>8</v>
      </c>
      <c r="C29" s="121" t="s">
        <v>26</v>
      </c>
      <c r="D29" s="219" t="s">
        <v>182</v>
      </c>
      <c r="E29" s="220"/>
      <c r="F29" s="221"/>
      <c r="G29" s="122"/>
      <c r="H29" s="123">
        <f>TRUNC(((H25+H26)*$G29)/220*1*15,2)</f>
        <v>0</v>
      </c>
      <c r="I29" s="124" t="s">
        <v>187</v>
      </c>
    </row>
    <row r="30" spans="2:9" x14ac:dyDescent="0.2">
      <c r="B30" s="125" t="s">
        <v>9</v>
      </c>
      <c r="C30" s="121" t="s">
        <v>110</v>
      </c>
      <c r="D30" s="219" t="s">
        <v>183</v>
      </c>
      <c r="E30" s="220"/>
      <c r="F30" s="221"/>
      <c r="G30" s="126"/>
      <c r="H30" s="123">
        <f>TRUNC($G$34*H34*(1+$G$30),2)</f>
        <v>0</v>
      </c>
      <c r="I30" s="124" t="s">
        <v>187</v>
      </c>
    </row>
    <row r="31" spans="2:9" x14ac:dyDescent="0.2">
      <c r="B31" s="12" t="s">
        <v>10</v>
      </c>
      <c r="C31" s="91" t="s">
        <v>2</v>
      </c>
      <c r="D31" s="209"/>
      <c r="E31" s="210"/>
      <c r="F31" s="211"/>
      <c r="G31" s="32"/>
      <c r="H31" s="49"/>
      <c r="I31" s="101"/>
    </row>
    <row r="32" spans="2:9" x14ac:dyDescent="0.2">
      <c r="B32" s="12" t="s">
        <v>132</v>
      </c>
      <c r="C32" s="191" t="s">
        <v>61</v>
      </c>
      <c r="D32" s="208"/>
      <c r="E32" s="208"/>
      <c r="F32" s="192"/>
      <c r="G32" s="26"/>
      <c r="H32" s="15">
        <f>SUM(H25:H31)</f>
        <v>1833.91</v>
      </c>
      <c r="I32" s="16"/>
    </row>
    <row r="33" spans="2:9" ht="22.5" x14ac:dyDescent="0.2">
      <c r="B33" s="96"/>
      <c r="C33" s="212" t="s">
        <v>122</v>
      </c>
      <c r="D33" s="212"/>
      <c r="E33" s="212"/>
      <c r="F33" s="212"/>
      <c r="G33" s="52" t="s">
        <v>111</v>
      </c>
      <c r="H33" s="51" t="s">
        <v>124</v>
      </c>
      <c r="I33" s="4"/>
    </row>
    <row r="34" spans="2:9" x14ac:dyDescent="0.2">
      <c r="B34" s="96"/>
      <c r="C34" s="212"/>
      <c r="D34" s="212"/>
      <c r="E34" s="212"/>
      <c r="F34" s="212"/>
      <c r="G34" s="50"/>
      <c r="H34" s="33">
        <f>IF($G$34="",0,TRUNC((H25+H26+H27)/220,2))</f>
        <v>0</v>
      </c>
      <c r="I34" s="102"/>
    </row>
    <row r="35" spans="2:9" x14ac:dyDescent="0.2">
      <c r="B35" s="96"/>
      <c r="C35" s="96"/>
      <c r="D35" s="96"/>
      <c r="E35" s="96"/>
      <c r="F35" s="96"/>
      <c r="G35" s="96"/>
      <c r="H35" s="69"/>
      <c r="I35" s="16"/>
    </row>
    <row r="36" spans="2:9" x14ac:dyDescent="0.2">
      <c r="B36" s="96"/>
      <c r="C36" s="96"/>
      <c r="D36" s="96"/>
      <c r="E36" s="96"/>
      <c r="F36" s="96"/>
      <c r="G36" s="96"/>
      <c r="H36" s="69"/>
      <c r="I36" s="16"/>
    </row>
    <row r="37" spans="2:9" ht="12.75" customHeight="1" x14ac:dyDescent="0.2">
      <c r="B37" s="206" t="s">
        <v>67</v>
      </c>
      <c r="C37" s="207"/>
      <c r="D37" s="207"/>
      <c r="E37" s="207"/>
      <c r="F37" s="207"/>
      <c r="G37" s="142"/>
      <c r="H37" s="143"/>
      <c r="I37" s="97"/>
    </row>
    <row r="38" spans="2:9" x14ac:dyDescent="0.2">
      <c r="B38" s="213"/>
      <c r="C38" s="214"/>
      <c r="D38" s="214"/>
      <c r="E38" s="214"/>
      <c r="F38" s="214"/>
      <c r="G38" s="58"/>
      <c r="H38" s="58"/>
      <c r="I38" s="97"/>
    </row>
    <row r="39" spans="2:9" x14ac:dyDescent="0.2">
      <c r="B39" s="215" t="s">
        <v>36</v>
      </c>
      <c r="C39" s="215"/>
      <c r="D39" s="215"/>
      <c r="E39" s="215"/>
      <c r="F39" s="215"/>
      <c r="G39" s="58"/>
      <c r="H39" s="58"/>
      <c r="I39" s="97"/>
    </row>
    <row r="40" spans="2:9" x14ac:dyDescent="0.2">
      <c r="B40" s="141" t="s">
        <v>38</v>
      </c>
      <c r="C40" s="216" t="s">
        <v>27</v>
      </c>
      <c r="D40" s="217"/>
      <c r="E40" s="217"/>
      <c r="F40" s="218"/>
      <c r="G40" s="92" t="s">
        <v>1</v>
      </c>
      <c r="H40" s="92" t="s">
        <v>49</v>
      </c>
      <c r="I40" s="97"/>
    </row>
    <row r="41" spans="2:9" x14ac:dyDescent="0.2">
      <c r="B41" s="12" t="s">
        <v>4</v>
      </c>
      <c r="C41" s="90" t="s">
        <v>113</v>
      </c>
      <c r="D41" s="209" t="s">
        <v>133</v>
      </c>
      <c r="E41" s="210"/>
      <c r="F41" s="211"/>
      <c r="G41" s="147">
        <f>1/12</f>
        <v>8.3333333333333329E-2</v>
      </c>
      <c r="H41" s="148">
        <f>TRUNC((H$32*$G41),2)</f>
        <v>152.82</v>
      </c>
      <c r="I41" s="103"/>
    </row>
    <row r="42" spans="2:9" x14ac:dyDescent="0.2">
      <c r="B42" s="12" t="s">
        <v>5</v>
      </c>
      <c r="C42" s="90" t="s">
        <v>65</v>
      </c>
      <c r="D42" s="209" t="s">
        <v>135</v>
      </c>
      <c r="E42" s="210"/>
      <c r="F42" s="211"/>
      <c r="G42" s="17">
        <f>(1/12)+(1/3/12)</f>
        <v>0.1111111111111111</v>
      </c>
      <c r="H42" s="18">
        <f>TRUNC((H$32*$G42),2)</f>
        <v>203.76</v>
      </c>
      <c r="I42" s="103"/>
    </row>
    <row r="43" spans="2:9" x14ac:dyDescent="0.2">
      <c r="B43" s="12" t="s">
        <v>134</v>
      </c>
      <c r="C43" s="191" t="s">
        <v>61</v>
      </c>
      <c r="D43" s="208"/>
      <c r="E43" s="208"/>
      <c r="F43" s="192"/>
      <c r="G43" s="19">
        <f>TRUNC(SUM(G41:G42),4)</f>
        <v>0.19439999999999999</v>
      </c>
      <c r="H43" s="15">
        <f>SUM(H41:H42)</f>
        <v>356.58</v>
      </c>
      <c r="I43" s="16"/>
    </row>
    <row r="44" spans="2:9" x14ac:dyDescent="0.2">
      <c r="B44" s="229"/>
      <c r="C44" s="230"/>
      <c r="D44" s="230"/>
      <c r="E44" s="230"/>
      <c r="F44" s="230"/>
      <c r="G44" s="230"/>
      <c r="H44" s="231"/>
      <c r="I44" s="96"/>
    </row>
    <row r="45" spans="2:9" ht="30" customHeight="1" x14ac:dyDescent="0.2">
      <c r="B45" s="232" t="s">
        <v>68</v>
      </c>
      <c r="C45" s="233"/>
      <c r="D45" s="233"/>
      <c r="E45" s="233"/>
      <c r="F45" s="234"/>
      <c r="G45" s="145"/>
      <c r="H45" s="146"/>
      <c r="I45" s="104"/>
    </row>
    <row r="46" spans="2:9" x14ac:dyDescent="0.2">
      <c r="B46" s="92" t="s">
        <v>39</v>
      </c>
      <c r="C46" s="191" t="s">
        <v>69</v>
      </c>
      <c r="D46" s="208"/>
      <c r="E46" s="208"/>
      <c r="F46" s="192"/>
      <c r="G46" s="92" t="s">
        <v>1</v>
      </c>
      <c r="H46" s="92" t="s">
        <v>49</v>
      </c>
      <c r="I46" s="97"/>
    </row>
    <row r="47" spans="2:9" x14ac:dyDescent="0.2">
      <c r="B47" s="12" t="s">
        <v>4</v>
      </c>
      <c r="C47" s="90" t="s">
        <v>30</v>
      </c>
      <c r="D47" s="209" t="s">
        <v>136</v>
      </c>
      <c r="E47" s="210"/>
      <c r="F47" s="211"/>
      <c r="G47" s="17">
        <v>0.2</v>
      </c>
      <c r="H47" s="18">
        <f>TRUNC((H$32+H$43)*$G47,2)</f>
        <v>438.09</v>
      </c>
      <c r="I47" s="103"/>
    </row>
    <row r="48" spans="2:9" x14ac:dyDescent="0.2">
      <c r="B48" s="12" t="s">
        <v>5</v>
      </c>
      <c r="C48" s="78" t="s">
        <v>31</v>
      </c>
      <c r="D48" s="209" t="s">
        <v>137</v>
      </c>
      <c r="E48" s="210"/>
      <c r="F48" s="211"/>
      <c r="G48" s="17">
        <v>2.5000000000000001E-2</v>
      </c>
      <c r="H48" s="18">
        <f>TRUNC((H$32+H$43)*$G48,2)</f>
        <v>54.76</v>
      </c>
      <c r="I48" s="103"/>
    </row>
    <row r="49" spans="2:9" x14ac:dyDescent="0.2">
      <c r="B49" s="222" t="s">
        <v>6</v>
      </c>
      <c r="C49" s="224" t="s">
        <v>103</v>
      </c>
      <c r="D49" s="226" t="s">
        <v>143</v>
      </c>
      <c r="E49" s="6" t="s">
        <v>104</v>
      </c>
      <c r="F49" s="6" t="s">
        <v>102</v>
      </c>
      <c r="G49" s="227">
        <f>E50*F50</f>
        <v>0.03</v>
      </c>
      <c r="H49" s="238">
        <f>TRUNC((H$32+H$43)*$G49,2)</f>
        <v>65.709999999999994</v>
      </c>
      <c r="I49" s="106"/>
    </row>
    <row r="50" spans="2:9" x14ac:dyDescent="0.2">
      <c r="B50" s="223"/>
      <c r="C50" s="225"/>
      <c r="D50" s="226"/>
      <c r="E50" s="34">
        <v>0.03</v>
      </c>
      <c r="F50" s="35">
        <v>1</v>
      </c>
      <c r="G50" s="228"/>
      <c r="H50" s="238"/>
      <c r="I50" s="106"/>
    </row>
    <row r="51" spans="2:9" x14ac:dyDescent="0.2">
      <c r="B51" s="12" t="s">
        <v>7</v>
      </c>
      <c r="C51" s="90" t="s">
        <v>29</v>
      </c>
      <c r="D51" s="209" t="s">
        <v>138</v>
      </c>
      <c r="E51" s="210"/>
      <c r="F51" s="211"/>
      <c r="G51" s="17">
        <v>1.4999999999999999E-2</v>
      </c>
      <c r="H51" s="18">
        <f>TRUNC((H$32+H$43)*$G51,2)</f>
        <v>32.85</v>
      </c>
      <c r="I51" s="103"/>
    </row>
    <row r="52" spans="2:9" x14ac:dyDescent="0.2">
      <c r="B52" s="12" t="s">
        <v>8</v>
      </c>
      <c r="C52" s="90" t="s">
        <v>32</v>
      </c>
      <c r="D52" s="209" t="s">
        <v>139</v>
      </c>
      <c r="E52" s="210"/>
      <c r="F52" s="211"/>
      <c r="G52" s="17">
        <v>0.01</v>
      </c>
      <c r="H52" s="18">
        <f>TRUNC((H$32+H$43)*$G52,2)</f>
        <v>21.9</v>
      </c>
      <c r="I52" s="103"/>
    </row>
    <row r="53" spans="2:9" x14ac:dyDescent="0.2">
      <c r="B53" s="12" t="s">
        <v>9</v>
      </c>
      <c r="C53" s="90" t="s">
        <v>33</v>
      </c>
      <c r="D53" s="209" t="s">
        <v>140</v>
      </c>
      <c r="E53" s="210"/>
      <c r="F53" s="211"/>
      <c r="G53" s="17">
        <v>6.0000000000000001E-3</v>
      </c>
      <c r="H53" s="18">
        <f>TRUNC((H$32+H$43)*$G53,2)</f>
        <v>13.14</v>
      </c>
      <c r="I53" s="103"/>
    </row>
    <row r="54" spans="2:9" x14ac:dyDescent="0.2">
      <c r="B54" s="12" t="s">
        <v>10</v>
      </c>
      <c r="C54" s="90" t="s">
        <v>34</v>
      </c>
      <c r="D54" s="209" t="s">
        <v>141</v>
      </c>
      <c r="E54" s="210"/>
      <c r="F54" s="211"/>
      <c r="G54" s="17">
        <v>2E-3</v>
      </c>
      <c r="H54" s="18">
        <f>TRUNC((H$32+H$43)*$G54,2)</f>
        <v>4.38</v>
      </c>
      <c r="I54" s="103"/>
    </row>
    <row r="55" spans="2:9" x14ac:dyDescent="0.2">
      <c r="B55" s="12" t="s">
        <v>11</v>
      </c>
      <c r="C55" s="90" t="s">
        <v>35</v>
      </c>
      <c r="D55" s="209" t="s">
        <v>142</v>
      </c>
      <c r="E55" s="210"/>
      <c r="F55" s="211"/>
      <c r="G55" s="17">
        <v>0.08</v>
      </c>
      <c r="H55" s="18">
        <f>TRUNC((H$32+H$43)*$G55,2)</f>
        <v>175.23</v>
      </c>
      <c r="I55" s="103"/>
    </row>
    <row r="56" spans="2:9" x14ac:dyDescent="0.2">
      <c r="B56" s="12" t="s">
        <v>144</v>
      </c>
      <c r="C56" s="191" t="s">
        <v>61</v>
      </c>
      <c r="D56" s="208"/>
      <c r="E56" s="208"/>
      <c r="F56" s="192"/>
      <c r="G56" s="20">
        <f>SUM(G47:G55)</f>
        <v>0.36800000000000005</v>
      </c>
      <c r="H56" s="15">
        <f>SUM(H47:H55)</f>
        <v>806.06</v>
      </c>
      <c r="I56" s="16"/>
    </row>
    <row r="57" spans="2:9" x14ac:dyDescent="0.2">
      <c r="B57" s="235"/>
      <c r="C57" s="236"/>
      <c r="D57" s="236"/>
      <c r="E57" s="236"/>
      <c r="F57" s="236"/>
      <c r="G57" s="236"/>
      <c r="H57" s="237"/>
      <c r="I57" s="115"/>
    </row>
    <row r="58" spans="2:9" ht="12.75" customHeight="1" x14ac:dyDescent="0.2">
      <c r="B58" s="232" t="s">
        <v>37</v>
      </c>
      <c r="C58" s="233"/>
      <c r="D58" s="233"/>
      <c r="E58" s="233"/>
      <c r="F58" s="234"/>
      <c r="G58" s="145"/>
      <c r="H58" s="146"/>
      <c r="I58" s="115"/>
    </row>
    <row r="59" spans="2:9" x14ac:dyDescent="0.2">
      <c r="B59" s="92" t="s">
        <v>40</v>
      </c>
      <c r="C59" s="191" t="s">
        <v>41</v>
      </c>
      <c r="D59" s="208"/>
      <c r="E59" s="208"/>
      <c r="F59" s="208"/>
      <c r="G59" s="79"/>
      <c r="H59" s="92" t="s">
        <v>49</v>
      </c>
      <c r="I59" s="97"/>
    </row>
    <row r="60" spans="2:9" ht="12.75" customHeight="1" x14ac:dyDescent="0.2">
      <c r="B60" s="12" t="s">
        <v>4</v>
      </c>
      <c r="C60" s="90" t="s">
        <v>47</v>
      </c>
      <c r="D60" s="168" t="s">
        <v>147</v>
      </c>
      <c r="E60" s="169"/>
      <c r="F60" s="169"/>
      <c r="G60" s="170"/>
      <c r="H60" s="36">
        <f>TRUNC((8.55*2*22)-(H$25*6%),2)</f>
        <v>266.16000000000003</v>
      </c>
      <c r="I60" s="116"/>
    </row>
    <row r="61" spans="2:9" ht="12.75" customHeight="1" x14ac:dyDescent="0.2">
      <c r="B61" s="12" t="s">
        <v>5</v>
      </c>
      <c r="C61" s="90" t="s">
        <v>48</v>
      </c>
      <c r="D61" s="168" t="s">
        <v>148</v>
      </c>
      <c r="E61" s="169"/>
      <c r="F61" s="169"/>
      <c r="G61" s="170"/>
      <c r="H61" s="36">
        <f>22.5*23</f>
        <v>517.5</v>
      </c>
      <c r="I61" s="116"/>
    </row>
    <row r="62" spans="2:9" x14ac:dyDescent="0.2">
      <c r="B62" s="12" t="s">
        <v>6</v>
      </c>
      <c r="C62" s="90" t="s">
        <v>105</v>
      </c>
      <c r="D62" s="168"/>
      <c r="E62" s="169"/>
      <c r="F62" s="169"/>
      <c r="G62" s="170"/>
      <c r="H62" s="36">
        <v>0</v>
      </c>
      <c r="I62" s="116"/>
    </row>
    <row r="63" spans="2:9" s="70" customFormat="1" x14ac:dyDescent="0.2">
      <c r="B63" s="12" t="s">
        <v>7</v>
      </c>
      <c r="C63" s="90" t="s">
        <v>204</v>
      </c>
      <c r="D63" s="168"/>
      <c r="E63" s="169"/>
      <c r="F63" s="169"/>
      <c r="G63" s="170"/>
      <c r="H63" s="36">
        <v>19</v>
      </c>
      <c r="I63" s="116"/>
    </row>
    <row r="64" spans="2:9" x14ac:dyDescent="0.2">
      <c r="B64" s="12" t="s">
        <v>145</v>
      </c>
      <c r="C64" s="191" t="s">
        <v>61</v>
      </c>
      <c r="D64" s="208"/>
      <c r="E64" s="208"/>
      <c r="F64" s="208"/>
      <c r="G64" s="79"/>
      <c r="H64" s="15">
        <f>SUM(H60:H63)</f>
        <v>802.66000000000008</v>
      </c>
      <c r="I64" s="16"/>
    </row>
    <row r="65" spans="2:9" x14ac:dyDescent="0.2">
      <c r="B65" s="229"/>
      <c r="C65" s="230"/>
      <c r="D65" s="230"/>
      <c r="E65" s="230"/>
      <c r="F65" s="230"/>
      <c r="G65" s="230"/>
      <c r="H65" s="231"/>
      <c r="I65" s="96"/>
    </row>
    <row r="66" spans="2:9" x14ac:dyDescent="0.2">
      <c r="B66" s="244" t="s">
        <v>71</v>
      </c>
      <c r="C66" s="245"/>
      <c r="D66" s="245"/>
      <c r="E66" s="245"/>
      <c r="F66" s="245"/>
      <c r="G66" s="149"/>
      <c r="H66" s="149"/>
      <c r="I66" s="96"/>
    </row>
    <row r="67" spans="2:9" x14ac:dyDescent="0.2">
      <c r="B67" s="92">
        <v>2</v>
      </c>
      <c r="C67" s="191" t="s">
        <v>70</v>
      </c>
      <c r="D67" s="208"/>
      <c r="E67" s="208"/>
      <c r="F67" s="208"/>
      <c r="G67" s="79"/>
      <c r="H67" s="92" t="s">
        <v>49</v>
      </c>
      <c r="I67" s="97"/>
    </row>
    <row r="68" spans="2:9" x14ac:dyDescent="0.2">
      <c r="B68" s="12" t="s">
        <v>38</v>
      </c>
      <c r="C68" s="80" t="s">
        <v>27</v>
      </c>
      <c r="D68" s="168" t="s">
        <v>134</v>
      </c>
      <c r="E68" s="169"/>
      <c r="F68" s="169"/>
      <c r="G68" s="170"/>
      <c r="H68" s="18">
        <f>H43</f>
        <v>356.58</v>
      </c>
      <c r="I68" s="103"/>
    </row>
    <row r="69" spans="2:9" x14ac:dyDescent="0.2">
      <c r="B69" s="12" t="s">
        <v>39</v>
      </c>
      <c r="C69" s="80" t="s">
        <v>28</v>
      </c>
      <c r="D69" s="168" t="s">
        <v>144</v>
      </c>
      <c r="E69" s="169"/>
      <c r="F69" s="169"/>
      <c r="G69" s="170"/>
      <c r="H69" s="18">
        <f>H56</f>
        <v>806.06</v>
      </c>
      <c r="I69" s="103"/>
    </row>
    <row r="70" spans="2:9" x14ac:dyDescent="0.2">
      <c r="B70" s="12" t="s">
        <v>40</v>
      </c>
      <c r="C70" s="80" t="s">
        <v>41</v>
      </c>
      <c r="D70" s="168" t="s">
        <v>145</v>
      </c>
      <c r="E70" s="169"/>
      <c r="F70" s="169"/>
      <c r="G70" s="170"/>
      <c r="H70" s="18">
        <f>H64</f>
        <v>802.66000000000008</v>
      </c>
      <c r="I70" s="103"/>
    </row>
    <row r="71" spans="2:9" x14ac:dyDescent="0.2">
      <c r="B71" s="12" t="s">
        <v>146</v>
      </c>
      <c r="C71" s="191" t="s">
        <v>61</v>
      </c>
      <c r="D71" s="208"/>
      <c r="E71" s="208"/>
      <c r="F71" s="208"/>
      <c r="G71" s="79"/>
      <c r="H71" s="15">
        <f>SUM(H68:H70)</f>
        <v>1965.3</v>
      </c>
      <c r="I71" s="16"/>
    </row>
    <row r="72" spans="2:9" x14ac:dyDescent="0.2">
      <c r="B72" s="230"/>
      <c r="C72" s="230"/>
      <c r="D72" s="230"/>
      <c r="E72" s="230"/>
      <c r="F72" s="230"/>
      <c r="G72" s="230"/>
      <c r="H72" s="230"/>
      <c r="I72" s="97"/>
    </row>
    <row r="73" spans="2:9" x14ac:dyDescent="0.2">
      <c r="B73" s="96"/>
      <c r="C73" s="96"/>
      <c r="D73" s="96"/>
      <c r="E73" s="96"/>
      <c r="F73" s="96"/>
      <c r="G73" s="96"/>
      <c r="H73" s="96"/>
      <c r="I73" s="97"/>
    </row>
    <row r="74" spans="2:9" x14ac:dyDescent="0.2">
      <c r="B74" s="206" t="s">
        <v>72</v>
      </c>
      <c r="C74" s="207"/>
      <c r="D74" s="207"/>
      <c r="E74" s="207"/>
      <c r="F74" s="241"/>
      <c r="G74" s="142"/>
      <c r="H74" s="143"/>
      <c r="I74" s="97"/>
    </row>
    <row r="75" spans="2:9" x14ac:dyDescent="0.2">
      <c r="B75" s="92">
        <v>3</v>
      </c>
      <c r="C75" s="191" t="s">
        <v>62</v>
      </c>
      <c r="D75" s="208"/>
      <c r="E75" s="208"/>
      <c r="F75" s="192"/>
      <c r="G75" s="92" t="s">
        <v>1</v>
      </c>
      <c r="H75" s="92" t="s">
        <v>49</v>
      </c>
      <c r="I75" s="97"/>
    </row>
    <row r="76" spans="2:9" x14ac:dyDescent="0.2">
      <c r="B76" s="12" t="s">
        <v>4</v>
      </c>
      <c r="C76" s="81" t="s">
        <v>97</v>
      </c>
      <c r="D76" s="168" t="s">
        <v>163</v>
      </c>
      <c r="E76" s="169"/>
      <c r="F76" s="170"/>
      <c r="G76" s="37">
        <v>1</v>
      </c>
      <c r="H76" s="21">
        <f>TRUNC((H$77+H$78)*$G76,2)</f>
        <v>311.94</v>
      </c>
      <c r="I76" s="16"/>
    </row>
    <row r="77" spans="2:9" x14ac:dyDescent="0.2">
      <c r="B77" s="12" t="s">
        <v>5</v>
      </c>
      <c r="C77" s="90" t="s">
        <v>98</v>
      </c>
      <c r="D77" s="168" t="s">
        <v>184</v>
      </c>
      <c r="E77" s="169"/>
      <c r="F77" s="170"/>
      <c r="G77" s="22"/>
      <c r="H77" s="18">
        <f>TRUNC((H$32+H$43+H$55+H$64-H60)/12,2)</f>
        <v>241.85</v>
      </c>
      <c r="I77" s="103"/>
    </row>
    <row r="78" spans="2:9" x14ac:dyDescent="0.2">
      <c r="B78" s="12" t="s">
        <v>6</v>
      </c>
      <c r="C78" s="90" t="s">
        <v>99</v>
      </c>
      <c r="D78" s="209" t="s">
        <v>175</v>
      </c>
      <c r="E78" s="211"/>
      <c r="F78" s="39">
        <v>0.4</v>
      </c>
      <c r="G78" s="22"/>
      <c r="H78" s="18">
        <f>TRUNC(H$55*$F78,2)</f>
        <v>70.09</v>
      </c>
      <c r="I78" s="103"/>
    </row>
    <row r="79" spans="2:9" x14ac:dyDescent="0.2">
      <c r="B79" s="12" t="s">
        <v>7</v>
      </c>
      <c r="C79" s="81" t="s">
        <v>100</v>
      </c>
      <c r="D79" s="168" t="s">
        <v>164</v>
      </c>
      <c r="E79" s="169"/>
      <c r="F79" s="170"/>
      <c r="G79" s="37">
        <v>1</v>
      </c>
      <c r="H79" s="84">
        <f>IF($G79&gt;=1,(TRUNC(H$80*$G79,2)),"ERRO")</f>
        <v>70.09</v>
      </c>
      <c r="I79" s="105"/>
    </row>
    <row r="80" spans="2:9" x14ac:dyDescent="0.2">
      <c r="B80" s="12" t="s">
        <v>8</v>
      </c>
      <c r="C80" s="90" t="s">
        <v>101</v>
      </c>
      <c r="D80" s="209" t="s">
        <v>175</v>
      </c>
      <c r="E80" s="211"/>
      <c r="F80" s="39">
        <v>0.4</v>
      </c>
      <c r="G80" s="22"/>
      <c r="H80" s="18">
        <f>TRUNC(H$55*$F80,2)</f>
        <v>70.09</v>
      </c>
      <c r="I80" s="103"/>
    </row>
    <row r="81" spans="2:9" x14ac:dyDescent="0.2">
      <c r="B81" s="12" t="s">
        <v>9</v>
      </c>
      <c r="C81" s="81" t="s">
        <v>181</v>
      </c>
      <c r="D81" s="239" t="s">
        <v>176</v>
      </c>
      <c r="E81" s="240"/>
      <c r="F81" s="38">
        <v>12</v>
      </c>
      <c r="G81" s="38">
        <v>3</v>
      </c>
      <c r="H81" s="18">
        <f>TRUNC(((H$32+H$43+H$56)/30)*$G81/$F81,2)</f>
        <v>24.97</v>
      </c>
      <c r="I81" s="103"/>
    </row>
    <row r="82" spans="2:9" x14ac:dyDescent="0.2">
      <c r="B82" s="12" t="s">
        <v>150</v>
      </c>
      <c r="C82" s="191" t="s">
        <v>61</v>
      </c>
      <c r="D82" s="208"/>
      <c r="E82" s="208"/>
      <c r="F82" s="208"/>
      <c r="G82" s="79"/>
      <c r="H82" s="15">
        <f>H$76+H$79+H$81</f>
        <v>407</v>
      </c>
      <c r="I82" s="16"/>
    </row>
    <row r="83" spans="2:9" x14ac:dyDescent="0.2">
      <c r="B83" s="93"/>
      <c r="C83" s="93"/>
      <c r="D83" s="93"/>
      <c r="E83" s="93"/>
      <c r="F83" s="93"/>
      <c r="G83" s="93"/>
      <c r="H83" s="93"/>
      <c r="I83" s="93"/>
    </row>
    <row r="84" spans="2:9" x14ac:dyDescent="0.2">
      <c r="B84" s="96"/>
      <c r="C84" s="96"/>
      <c r="D84" s="96"/>
      <c r="E84" s="96"/>
      <c r="F84" s="96"/>
      <c r="G84" s="96"/>
      <c r="H84" s="96"/>
      <c r="I84" s="97"/>
    </row>
    <row r="85" spans="2:9" x14ac:dyDescent="0.2">
      <c r="B85" s="206" t="s">
        <v>73</v>
      </c>
      <c r="C85" s="207"/>
      <c r="D85" s="207"/>
      <c r="E85" s="207"/>
      <c r="F85" s="241"/>
      <c r="G85" s="142"/>
      <c r="H85" s="143"/>
      <c r="I85" s="97"/>
    </row>
    <row r="86" spans="2:9" x14ac:dyDescent="0.2">
      <c r="B86" s="242" t="s">
        <v>91</v>
      </c>
      <c r="C86" s="243"/>
      <c r="D86" s="243"/>
      <c r="E86" s="243"/>
      <c r="F86" s="243"/>
      <c r="G86" s="150"/>
      <c r="H86" s="151"/>
      <c r="I86" s="97"/>
    </row>
    <row r="87" spans="2:9" x14ac:dyDescent="0.2">
      <c r="B87" s="92" t="s">
        <v>14</v>
      </c>
      <c r="C87" s="191" t="s">
        <v>92</v>
      </c>
      <c r="D87" s="208"/>
      <c r="E87" s="208"/>
      <c r="F87" s="192"/>
      <c r="G87" s="92" t="s">
        <v>106</v>
      </c>
      <c r="H87" s="92" t="s">
        <v>49</v>
      </c>
      <c r="I87" s="97"/>
    </row>
    <row r="88" spans="2:9" x14ac:dyDescent="0.2">
      <c r="B88" s="12" t="s">
        <v>4</v>
      </c>
      <c r="C88" s="90" t="s">
        <v>112</v>
      </c>
      <c r="D88" s="168" t="s">
        <v>156</v>
      </c>
      <c r="E88" s="169"/>
      <c r="F88" s="170"/>
      <c r="G88" s="38">
        <v>30</v>
      </c>
      <c r="H88" s="18">
        <f>TRUNC((H$90*$G88)/12,2)</f>
        <v>350.5</v>
      </c>
      <c r="I88" s="103"/>
    </row>
    <row r="89" spans="2:9" ht="22.5" x14ac:dyDescent="0.2">
      <c r="B89" s="12" t="s">
        <v>5</v>
      </c>
      <c r="C89" s="82" t="s">
        <v>162</v>
      </c>
      <c r="D89" s="171" t="s">
        <v>165</v>
      </c>
      <c r="E89" s="172"/>
      <c r="F89" s="173"/>
      <c r="G89" s="57">
        <v>8</v>
      </c>
      <c r="H89" s="18">
        <f>TRUNC((H$90*$G89)/12,2)</f>
        <v>93.46</v>
      </c>
      <c r="I89" s="103"/>
    </row>
    <row r="90" spans="2:9" x14ac:dyDescent="0.2">
      <c r="B90" s="12" t="s">
        <v>6</v>
      </c>
      <c r="C90" s="90" t="s">
        <v>114</v>
      </c>
      <c r="D90" s="168" t="s">
        <v>149</v>
      </c>
      <c r="E90" s="169"/>
      <c r="F90" s="169"/>
      <c r="G90" s="170"/>
      <c r="H90" s="18">
        <f>TRUNC((H$32+H$71+H$82)/30,2)</f>
        <v>140.19999999999999</v>
      </c>
      <c r="I90" s="103"/>
    </row>
    <row r="91" spans="2:9" x14ac:dyDescent="0.2">
      <c r="B91" s="12" t="s">
        <v>151</v>
      </c>
      <c r="C91" s="191" t="s">
        <v>61</v>
      </c>
      <c r="D91" s="208"/>
      <c r="E91" s="208"/>
      <c r="F91" s="208"/>
      <c r="G91" s="79"/>
      <c r="H91" s="15">
        <f>TRUNC(H$88+H$89,2)</f>
        <v>443.96</v>
      </c>
      <c r="I91" s="16"/>
    </row>
    <row r="92" spans="2:9" x14ac:dyDescent="0.2">
      <c r="B92" s="71"/>
      <c r="C92" s="72"/>
      <c r="D92" s="72"/>
      <c r="E92" s="72"/>
      <c r="F92" s="72"/>
      <c r="G92" s="72"/>
      <c r="H92" s="73"/>
      <c r="I92" s="23"/>
    </row>
    <row r="93" spans="2:9" x14ac:dyDescent="0.2">
      <c r="B93" s="244" t="s">
        <v>93</v>
      </c>
      <c r="C93" s="245"/>
      <c r="D93" s="245"/>
      <c r="E93" s="245"/>
      <c r="F93" s="245"/>
      <c r="G93" s="152"/>
      <c r="H93" s="153"/>
      <c r="I93" s="97"/>
    </row>
    <row r="94" spans="2:9" x14ac:dyDescent="0.2">
      <c r="B94" s="92" t="s">
        <v>15</v>
      </c>
      <c r="C94" s="191" t="s">
        <v>94</v>
      </c>
      <c r="D94" s="208"/>
      <c r="E94" s="208"/>
      <c r="F94" s="192"/>
      <c r="G94" s="92" t="s">
        <v>106</v>
      </c>
      <c r="H94" s="92" t="s">
        <v>49</v>
      </c>
      <c r="I94" s="97"/>
    </row>
    <row r="95" spans="2:9" ht="22.5" x14ac:dyDescent="0.2">
      <c r="B95" s="12" t="s">
        <v>4</v>
      </c>
      <c r="C95" s="82" t="s">
        <v>95</v>
      </c>
      <c r="D95" s="168" t="s">
        <v>186</v>
      </c>
      <c r="E95" s="169"/>
      <c r="F95" s="169"/>
      <c r="G95" s="38"/>
      <c r="H95" s="18">
        <f>TRUNC(((H$32+H71+H82)/220)*(1+50%)*G95,2)</f>
        <v>0</v>
      </c>
      <c r="I95" s="103"/>
    </row>
    <row r="96" spans="2:9" x14ac:dyDescent="0.2">
      <c r="B96" s="12" t="s">
        <v>152</v>
      </c>
      <c r="C96" s="191" t="s">
        <v>61</v>
      </c>
      <c r="D96" s="208"/>
      <c r="E96" s="208"/>
      <c r="F96" s="208"/>
      <c r="G96" s="129"/>
      <c r="H96" s="15">
        <f>H95</f>
        <v>0</v>
      </c>
      <c r="I96" s="103"/>
    </row>
    <row r="97" spans="2:9" x14ac:dyDescent="0.2">
      <c r="B97" s="95"/>
      <c r="C97" s="94"/>
      <c r="D97" s="94"/>
      <c r="E97" s="94"/>
      <c r="F97" s="94"/>
      <c r="G97" s="96"/>
      <c r="H97" s="167"/>
      <c r="I97" s="119"/>
    </row>
    <row r="98" spans="2:9" x14ac:dyDescent="0.2">
      <c r="B98" s="244" t="s">
        <v>74</v>
      </c>
      <c r="C98" s="245"/>
      <c r="D98" s="245"/>
      <c r="E98" s="245"/>
      <c r="F98" s="245"/>
      <c r="G98" s="152"/>
      <c r="H98" s="153"/>
      <c r="I98" s="97"/>
    </row>
    <row r="99" spans="2:9" x14ac:dyDescent="0.2">
      <c r="B99" s="92">
        <v>4</v>
      </c>
      <c r="C99" s="191" t="s">
        <v>75</v>
      </c>
      <c r="D99" s="208"/>
      <c r="E99" s="208"/>
      <c r="F99" s="208"/>
      <c r="G99" s="192"/>
      <c r="H99" s="92" t="s">
        <v>49</v>
      </c>
      <c r="I99" s="97"/>
    </row>
    <row r="100" spans="2:9" x14ac:dyDescent="0.2">
      <c r="B100" s="12" t="s">
        <v>14</v>
      </c>
      <c r="C100" s="90" t="s">
        <v>42</v>
      </c>
      <c r="D100" s="168" t="s">
        <v>151</v>
      </c>
      <c r="E100" s="169"/>
      <c r="F100" s="169"/>
      <c r="G100" s="170"/>
      <c r="H100" s="18">
        <f>H91</f>
        <v>443.96</v>
      </c>
      <c r="I100" s="103"/>
    </row>
    <row r="101" spans="2:9" x14ac:dyDescent="0.2">
      <c r="B101" s="12" t="s">
        <v>15</v>
      </c>
      <c r="C101" s="90" t="s">
        <v>44</v>
      </c>
      <c r="D101" s="168" t="s">
        <v>152</v>
      </c>
      <c r="E101" s="169"/>
      <c r="F101" s="169"/>
      <c r="G101" s="170"/>
      <c r="H101" s="18">
        <f>H96</f>
        <v>0</v>
      </c>
      <c r="I101" s="103"/>
    </row>
    <row r="102" spans="2:9" x14ac:dyDescent="0.2">
      <c r="B102" s="12" t="s">
        <v>153</v>
      </c>
      <c r="C102" s="191" t="s">
        <v>61</v>
      </c>
      <c r="D102" s="208"/>
      <c r="E102" s="208"/>
      <c r="F102" s="208"/>
      <c r="G102" s="79"/>
      <c r="H102" s="15">
        <f>SUM(H100:H101)</f>
        <v>443.96</v>
      </c>
      <c r="I102" s="16"/>
    </row>
    <row r="103" spans="2:9" x14ac:dyDescent="0.2">
      <c r="B103" s="96"/>
      <c r="C103" s="96"/>
      <c r="D103" s="96"/>
      <c r="E103" s="96"/>
      <c r="F103" s="96"/>
      <c r="G103" s="96"/>
      <c r="H103" s="96"/>
      <c r="I103" s="97"/>
    </row>
    <row r="104" spans="2:9" x14ac:dyDescent="0.2">
      <c r="B104" s="96"/>
      <c r="C104" s="96"/>
      <c r="D104" s="96"/>
      <c r="E104" s="96"/>
      <c r="F104" s="96"/>
      <c r="G104" s="96"/>
      <c r="H104" s="96"/>
      <c r="I104" s="97"/>
    </row>
    <row r="105" spans="2:9" x14ac:dyDescent="0.2">
      <c r="B105" s="206" t="s">
        <v>76</v>
      </c>
      <c r="C105" s="207"/>
      <c r="D105" s="207"/>
      <c r="E105" s="207"/>
      <c r="F105" s="241"/>
      <c r="G105" s="142"/>
      <c r="H105" s="143"/>
      <c r="I105" s="97"/>
    </row>
    <row r="106" spans="2:9" x14ac:dyDescent="0.2">
      <c r="B106" s="92">
        <v>5</v>
      </c>
      <c r="C106" s="246" t="s">
        <v>63</v>
      </c>
      <c r="D106" s="247"/>
      <c r="E106" s="247"/>
      <c r="F106" s="247"/>
      <c r="G106" s="248"/>
      <c r="H106" s="92" t="s">
        <v>49</v>
      </c>
      <c r="I106" s="97"/>
    </row>
    <row r="107" spans="2:9" x14ac:dyDescent="0.2">
      <c r="B107" s="12" t="s">
        <v>4</v>
      </c>
      <c r="C107" s="65" t="s">
        <v>45</v>
      </c>
      <c r="D107" s="66"/>
      <c r="E107" s="66"/>
      <c r="F107" s="66"/>
      <c r="G107" s="67"/>
      <c r="H107" s="68">
        <f>Insumos!G11</f>
        <v>230.46166666666667</v>
      </c>
      <c r="I107" s="103"/>
    </row>
    <row r="108" spans="2:9" x14ac:dyDescent="0.2">
      <c r="B108" s="12" t="s">
        <v>5</v>
      </c>
      <c r="C108" s="65" t="s">
        <v>12</v>
      </c>
      <c r="D108" s="66"/>
      <c r="E108" s="66"/>
      <c r="F108" s="66"/>
      <c r="G108" s="67"/>
      <c r="H108" s="68"/>
      <c r="I108" s="103"/>
    </row>
    <row r="109" spans="2:9" x14ac:dyDescent="0.2">
      <c r="B109" s="12" t="s">
        <v>6</v>
      </c>
      <c r="C109" s="65" t="s">
        <v>13</v>
      </c>
      <c r="D109" s="66"/>
      <c r="E109" s="66"/>
      <c r="F109" s="66"/>
      <c r="G109" s="67"/>
      <c r="H109" s="68"/>
      <c r="I109" s="103"/>
    </row>
    <row r="110" spans="2:9" x14ac:dyDescent="0.2">
      <c r="B110" s="12" t="s">
        <v>7</v>
      </c>
      <c r="C110" s="65" t="s">
        <v>2</v>
      </c>
      <c r="D110" s="66"/>
      <c r="E110" s="66"/>
      <c r="F110" s="66"/>
      <c r="G110" s="67"/>
      <c r="H110" s="68"/>
      <c r="I110" s="103"/>
    </row>
    <row r="111" spans="2:9" x14ac:dyDescent="0.2">
      <c r="B111" s="12" t="s">
        <v>154</v>
      </c>
      <c r="C111" s="191" t="s">
        <v>61</v>
      </c>
      <c r="D111" s="208"/>
      <c r="E111" s="208"/>
      <c r="F111" s="208"/>
      <c r="G111" s="79"/>
      <c r="H111" s="15">
        <f>SUM(H107:H110)</f>
        <v>230.46166666666667</v>
      </c>
      <c r="I111" s="16"/>
    </row>
    <row r="112" spans="2:9" x14ac:dyDescent="0.2">
      <c r="B112" s="96"/>
      <c r="C112" s="96"/>
      <c r="D112" s="96"/>
      <c r="E112" s="96"/>
      <c r="F112" s="96"/>
      <c r="G112" s="74"/>
      <c r="H112" s="69"/>
      <c r="I112" s="16"/>
    </row>
    <row r="113" spans="2:9" x14ac:dyDescent="0.2">
      <c r="B113" s="96"/>
      <c r="C113" s="96"/>
      <c r="D113" s="96"/>
      <c r="E113" s="96"/>
      <c r="F113" s="96"/>
      <c r="G113" s="96"/>
      <c r="H113" s="96"/>
      <c r="I113" s="97"/>
    </row>
    <row r="114" spans="2:9" x14ac:dyDescent="0.2">
      <c r="B114" s="206" t="s">
        <v>77</v>
      </c>
      <c r="C114" s="207"/>
      <c r="D114" s="207"/>
      <c r="E114" s="207"/>
      <c r="F114" s="241"/>
      <c r="G114" s="142"/>
      <c r="H114" s="143"/>
      <c r="I114" s="97"/>
    </row>
    <row r="115" spans="2:9" x14ac:dyDescent="0.2">
      <c r="B115" s="92">
        <v>6</v>
      </c>
      <c r="C115" s="191" t="s">
        <v>64</v>
      </c>
      <c r="D115" s="208"/>
      <c r="E115" s="208"/>
      <c r="F115" s="192"/>
      <c r="G115" s="92" t="s">
        <v>1</v>
      </c>
      <c r="H115" s="92" t="s">
        <v>49</v>
      </c>
      <c r="I115" s="97"/>
    </row>
    <row r="116" spans="2:9" x14ac:dyDescent="0.2">
      <c r="B116" s="12" t="s">
        <v>4</v>
      </c>
      <c r="C116" s="90" t="s">
        <v>16</v>
      </c>
      <c r="D116" s="209" t="s">
        <v>166</v>
      </c>
      <c r="E116" s="210"/>
      <c r="F116" s="211"/>
      <c r="G116" s="46">
        <v>0.05</v>
      </c>
      <c r="H116" s="18">
        <f>TRUNC(H$133*$G116,2)</f>
        <v>244.03</v>
      </c>
      <c r="I116" s="103"/>
    </row>
    <row r="117" spans="2:9" x14ac:dyDescent="0.2">
      <c r="B117" s="12" t="s">
        <v>5</v>
      </c>
      <c r="C117" s="90" t="s">
        <v>3</v>
      </c>
      <c r="D117" s="209" t="s">
        <v>167</v>
      </c>
      <c r="E117" s="210"/>
      <c r="F117" s="211"/>
      <c r="G117" s="46">
        <v>0.1</v>
      </c>
      <c r="H117" s="18">
        <f>TRUNC((H$133+H$116)*$G117,2)</f>
        <v>512.46</v>
      </c>
      <c r="I117" s="103"/>
    </row>
    <row r="118" spans="2:9" x14ac:dyDescent="0.2">
      <c r="B118" s="12" t="s">
        <v>6</v>
      </c>
      <c r="C118" s="90" t="s">
        <v>120</v>
      </c>
      <c r="D118" s="209" t="s">
        <v>168</v>
      </c>
      <c r="E118" s="210"/>
      <c r="F118" s="211"/>
      <c r="G118" s="48">
        <f>1-(G119+G120+G121)</f>
        <v>0.85749999999999993</v>
      </c>
      <c r="H118" s="24">
        <f>TRUNC(((H$133+H$116+H$117)/$G118),2)</f>
        <v>6573.9</v>
      </c>
      <c r="I118" s="106"/>
    </row>
    <row r="119" spans="2:9" x14ac:dyDescent="0.2">
      <c r="B119" s="12" t="s">
        <v>21</v>
      </c>
      <c r="C119" s="90" t="s">
        <v>18</v>
      </c>
      <c r="D119" s="209" t="s">
        <v>169</v>
      </c>
      <c r="E119" s="210"/>
      <c r="F119" s="211"/>
      <c r="G119" s="47">
        <v>1.6500000000000001E-2</v>
      </c>
      <c r="H119" s="18">
        <f>TRUNC(H$118*$G119,2)</f>
        <v>108.46</v>
      </c>
      <c r="I119" s="103"/>
    </row>
    <row r="120" spans="2:9" x14ac:dyDescent="0.2">
      <c r="B120" s="12" t="s">
        <v>22</v>
      </c>
      <c r="C120" s="90" t="s">
        <v>19</v>
      </c>
      <c r="D120" s="209" t="s">
        <v>169</v>
      </c>
      <c r="E120" s="210"/>
      <c r="F120" s="211"/>
      <c r="G120" s="47">
        <v>7.5999999999999998E-2</v>
      </c>
      <c r="H120" s="18">
        <f>TRUNC(H$118*$G120,2)</f>
        <v>499.61</v>
      </c>
      <c r="I120" s="103"/>
    </row>
    <row r="121" spans="2:9" x14ac:dyDescent="0.2">
      <c r="B121" s="12" t="s">
        <v>23</v>
      </c>
      <c r="C121" s="90" t="s">
        <v>20</v>
      </c>
      <c r="D121" s="209" t="s">
        <v>169</v>
      </c>
      <c r="E121" s="210"/>
      <c r="F121" s="211"/>
      <c r="G121" s="47">
        <v>0.05</v>
      </c>
      <c r="H121" s="18">
        <f>TRUNC(H$118*$G121,2)</f>
        <v>328.69</v>
      </c>
      <c r="I121" s="103"/>
    </row>
    <row r="122" spans="2:9" x14ac:dyDescent="0.2">
      <c r="B122" s="12" t="s">
        <v>155</v>
      </c>
      <c r="C122" s="86" t="s">
        <v>61</v>
      </c>
      <c r="D122" s="249" t="s">
        <v>157</v>
      </c>
      <c r="E122" s="249"/>
      <c r="F122" s="249"/>
      <c r="G122" s="166"/>
      <c r="H122" s="15">
        <f>SUM(H116:H121)-H118</f>
        <v>1693.25</v>
      </c>
      <c r="I122" s="16"/>
    </row>
    <row r="123" spans="2:9" x14ac:dyDescent="0.2">
      <c r="B123" s="63"/>
      <c r="C123" s="63"/>
      <c r="D123" s="63"/>
      <c r="E123" s="63"/>
      <c r="F123" s="63"/>
      <c r="G123" s="63"/>
      <c r="H123" s="75"/>
      <c r="I123" s="25"/>
    </row>
    <row r="124" spans="2:9" x14ac:dyDescent="0.2">
      <c r="B124" s="250" t="s">
        <v>196</v>
      </c>
      <c r="C124" s="250"/>
      <c r="D124" s="250"/>
      <c r="E124" s="250"/>
      <c r="F124" s="250"/>
      <c r="G124" s="250"/>
      <c r="H124" s="250"/>
      <c r="I124" s="113"/>
    </row>
    <row r="125" spans="2:9" x14ac:dyDescent="0.2">
      <c r="B125" s="89"/>
      <c r="C125" s="89"/>
      <c r="D125" s="89"/>
      <c r="E125" s="89"/>
      <c r="F125" s="89"/>
      <c r="G125" s="89"/>
      <c r="H125" s="89"/>
      <c r="I125" s="113"/>
    </row>
    <row r="126" spans="2:9" x14ac:dyDescent="0.2">
      <c r="B126" s="206" t="s">
        <v>197</v>
      </c>
      <c r="C126" s="207"/>
      <c r="D126" s="207"/>
      <c r="E126" s="207"/>
      <c r="F126" s="207"/>
      <c r="G126" s="160"/>
      <c r="H126" s="143"/>
      <c r="I126" s="97"/>
    </row>
    <row r="127" spans="2:9" ht="12.75" customHeight="1" x14ac:dyDescent="0.2">
      <c r="B127" s="158"/>
      <c r="C127" s="251" t="s">
        <v>121</v>
      </c>
      <c r="D127" s="252"/>
      <c r="E127" s="252"/>
      <c r="F127" s="252"/>
      <c r="G127" s="159"/>
      <c r="H127" s="141" t="s">
        <v>49</v>
      </c>
      <c r="I127" s="97"/>
    </row>
    <row r="128" spans="2:9" x14ac:dyDescent="0.2">
      <c r="B128" s="12" t="s">
        <v>4</v>
      </c>
      <c r="C128" s="82" t="s">
        <v>79</v>
      </c>
      <c r="D128" s="168" t="s">
        <v>132</v>
      </c>
      <c r="E128" s="169"/>
      <c r="F128" s="169"/>
      <c r="G128" s="170"/>
      <c r="H128" s="18">
        <f>H32</f>
        <v>1833.91</v>
      </c>
      <c r="I128" s="103"/>
    </row>
    <row r="129" spans="2:9" ht="22.5" x14ac:dyDescent="0.2">
      <c r="B129" s="12" t="s">
        <v>5</v>
      </c>
      <c r="C129" s="82" t="s">
        <v>80</v>
      </c>
      <c r="D129" s="168" t="s">
        <v>146</v>
      </c>
      <c r="E129" s="169"/>
      <c r="F129" s="169"/>
      <c r="G129" s="170"/>
      <c r="H129" s="18">
        <f>H71</f>
        <v>1965.3</v>
      </c>
      <c r="I129" s="103"/>
    </row>
    <row r="130" spans="2:9" x14ac:dyDescent="0.2">
      <c r="B130" s="12" t="s">
        <v>6</v>
      </c>
      <c r="C130" s="82" t="s">
        <v>81</v>
      </c>
      <c r="D130" s="168" t="s">
        <v>150</v>
      </c>
      <c r="E130" s="169"/>
      <c r="F130" s="169"/>
      <c r="G130" s="170"/>
      <c r="H130" s="18">
        <f>H82</f>
        <v>407</v>
      </c>
      <c r="I130" s="103"/>
    </row>
    <row r="131" spans="2:9" ht="22.5" x14ac:dyDescent="0.2">
      <c r="B131" s="12" t="s">
        <v>7</v>
      </c>
      <c r="C131" s="82" t="s">
        <v>43</v>
      </c>
      <c r="D131" s="168" t="s">
        <v>153</v>
      </c>
      <c r="E131" s="169"/>
      <c r="F131" s="169"/>
      <c r="G131" s="170"/>
      <c r="H131" s="18">
        <f>H102</f>
        <v>443.96</v>
      </c>
      <c r="I131" s="103"/>
    </row>
    <row r="132" spans="2:9" x14ac:dyDescent="0.2">
      <c r="B132" s="12" t="s">
        <v>8</v>
      </c>
      <c r="C132" s="82" t="s">
        <v>82</v>
      </c>
      <c r="D132" s="168" t="s">
        <v>154</v>
      </c>
      <c r="E132" s="169"/>
      <c r="F132" s="169"/>
      <c r="G132" s="170"/>
      <c r="H132" s="18">
        <f>H111</f>
        <v>230.46166666666667</v>
      </c>
      <c r="I132" s="103"/>
    </row>
    <row r="133" spans="2:9" x14ac:dyDescent="0.2">
      <c r="B133" s="88" t="s">
        <v>9</v>
      </c>
      <c r="C133" s="81" t="s">
        <v>46</v>
      </c>
      <c r="D133" s="174" t="s">
        <v>173</v>
      </c>
      <c r="E133" s="175"/>
      <c r="F133" s="175"/>
      <c r="G133" s="176"/>
      <c r="H133" s="21">
        <f>SUM(H128:H132)</f>
        <v>4880.6316666666671</v>
      </c>
      <c r="I133" s="16"/>
    </row>
    <row r="134" spans="2:9" x14ac:dyDescent="0.2">
      <c r="B134" s="12" t="s">
        <v>10</v>
      </c>
      <c r="C134" s="90" t="s">
        <v>83</v>
      </c>
      <c r="D134" s="168" t="s">
        <v>155</v>
      </c>
      <c r="E134" s="169"/>
      <c r="F134" s="169"/>
      <c r="G134" s="170"/>
      <c r="H134" s="18">
        <f>H122</f>
        <v>1693.25</v>
      </c>
      <c r="I134" s="103"/>
    </row>
    <row r="135" spans="2:9" x14ac:dyDescent="0.2">
      <c r="B135" s="12" t="s">
        <v>158</v>
      </c>
      <c r="C135" s="85" t="s">
        <v>78</v>
      </c>
      <c r="D135" s="177" t="s">
        <v>172</v>
      </c>
      <c r="E135" s="165"/>
      <c r="F135" s="165"/>
      <c r="G135" s="166"/>
      <c r="H135" s="27">
        <f>SUM(H133:H134)</f>
        <v>6573.8816666666671</v>
      </c>
      <c r="I135" s="117"/>
    </row>
    <row r="136" spans="2:9" ht="12.75" customHeight="1" x14ac:dyDescent="0.2">
      <c r="B136" s="10"/>
      <c r="C136" s="10"/>
      <c r="D136" s="10"/>
      <c r="E136" s="10"/>
      <c r="F136" s="10"/>
      <c r="G136" s="10"/>
      <c r="H136" s="28"/>
      <c r="I136" s="28"/>
    </row>
    <row r="137" spans="2:9" x14ac:dyDescent="0.2">
      <c r="B137" s="250" t="s">
        <v>198</v>
      </c>
      <c r="C137" s="250"/>
      <c r="D137" s="250"/>
      <c r="E137" s="250"/>
      <c r="F137" s="250"/>
      <c r="I137" s="10"/>
    </row>
    <row r="138" spans="2:9" x14ac:dyDescent="0.2">
      <c r="B138" s="76"/>
      <c r="C138" s="76"/>
      <c r="D138" s="76"/>
      <c r="E138" s="70"/>
      <c r="F138" s="70"/>
      <c r="I138" s="10"/>
    </row>
    <row r="139" spans="2:9" x14ac:dyDescent="0.2">
      <c r="B139" s="261" t="s">
        <v>199</v>
      </c>
      <c r="C139" s="262"/>
      <c r="D139" s="262"/>
      <c r="E139" s="262"/>
      <c r="F139" s="262"/>
      <c r="G139" s="160"/>
      <c r="H139" s="143"/>
      <c r="I139" s="114"/>
    </row>
    <row r="140" spans="2:9" x14ac:dyDescent="0.2">
      <c r="B140" s="130" t="s">
        <v>4</v>
      </c>
      <c r="C140" s="161" t="s">
        <v>107</v>
      </c>
      <c r="D140" s="263" t="s">
        <v>158</v>
      </c>
      <c r="E140" s="264"/>
      <c r="F140" s="264"/>
      <c r="G140" s="162"/>
      <c r="H140" s="163">
        <f>H135</f>
        <v>6573.8816666666671</v>
      </c>
      <c r="I140" s="112"/>
    </row>
    <row r="141" spans="2:9" ht="22.5" x14ac:dyDescent="0.2">
      <c r="B141" s="12" t="s">
        <v>5</v>
      </c>
      <c r="C141" s="83" t="s">
        <v>160</v>
      </c>
      <c r="D141" s="265" t="s">
        <v>161</v>
      </c>
      <c r="E141" s="266"/>
      <c r="F141" s="266"/>
      <c r="G141" s="156"/>
      <c r="H141" s="7">
        <f>H43+H82+H100</f>
        <v>1207.54</v>
      </c>
      <c r="I141" s="107"/>
    </row>
    <row r="142" spans="2:9" ht="22.5" x14ac:dyDescent="0.2">
      <c r="B142" s="12" t="s">
        <v>6</v>
      </c>
      <c r="C142" s="83" t="s">
        <v>177</v>
      </c>
      <c r="D142" s="265" t="s">
        <v>185</v>
      </c>
      <c r="E142" s="266"/>
      <c r="F142" s="266"/>
      <c r="G142" s="157"/>
      <c r="H142" s="111">
        <f>TRUNC((H$43*$G56),2)</f>
        <v>131.22</v>
      </c>
      <c r="I142" s="112"/>
    </row>
    <row r="143" spans="2:9" ht="12.75" customHeight="1" x14ac:dyDescent="0.2">
      <c r="B143" s="12" t="s">
        <v>7</v>
      </c>
      <c r="C143" s="83" t="s">
        <v>16</v>
      </c>
      <c r="D143" s="253" t="s">
        <v>170</v>
      </c>
      <c r="E143" s="254"/>
      <c r="F143" s="255"/>
      <c r="G143" s="8">
        <f>G116</f>
        <v>0.05</v>
      </c>
      <c r="H143" s="7">
        <f>TRUNC((H$141+H$142)*$G143,2)</f>
        <v>66.930000000000007</v>
      </c>
      <c r="I143" s="107"/>
    </row>
    <row r="144" spans="2:9" ht="12.75" customHeight="1" x14ac:dyDescent="0.2">
      <c r="B144" s="12" t="s">
        <v>8</v>
      </c>
      <c r="C144" s="83" t="s">
        <v>3</v>
      </c>
      <c r="D144" s="253" t="s">
        <v>171</v>
      </c>
      <c r="E144" s="254"/>
      <c r="F144" s="255"/>
      <c r="G144" s="8">
        <f>G117</f>
        <v>0.1</v>
      </c>
      <c r="H144" s="7">
        <f>TRUNC((H$141+H$142+H$143)*$G144,2)</f>
        <v>140.56</v>
      </c>
      <c r="I144" s="107"/>
    </row>
    <row r="145" spans="2:9" ht="12.75" customHeight="1" x14ac:dyDescent="0.2">
      <c r="B145" s="12" t="s">
        <v>9</v>
      </c>
      <c r="C145" s="83" t="s">
        <v>108</v>
      </c>
      <c r="D145" s="253" t="s">
        <v>179</v>
      </c>
      <c r="E145" s="254"/>
      <c r="F145" s="255"/>
      <c r="G145" s="8">
        <f>G119+G120+G121</f>
        <v>0.14250000000000002</v>
      </c>
      <c r="H145" s="7">
        <f>TRUNC((H$141+H$142+H$143+H$144)/(1-$G145)-(H$141+H$142+H$143+H$144),2)</f>
        <v>256.95</v>
      </c>
      <c r="I145" s="107"/>
    </row>
    <row r="146" spans="2:9" ht="22.5" x14ac:dyDescent="0.2">
      <c r="B146" s="12" t="s">
        <v>10</v>
      </c>
      <c r="C146" s="131" t="s">
        <v>109</v>
      </c>
      <c r="D146" s="154" t="s">
        <v>180</v>
      </c>
      <c r="E146" s="155"/>
      <c r="F146" s="155"/>
      <c r="G146" s="156"/>
      <c r="H146" s="132">
        <f>SUM(H141:H145)</f>
        <v>1803.2</v>
      </c>
      <c r="I146" s="108"/>
    </row>
    <row r="147" spans="2:9" x14ac:dyDescent="0.2">
      <c r="B147" s="12" t="s">
        <v>159</v>
      </c>
      <c r="C147" s="87" t="s">
        <v>129</v>
      </c>
      <c r="D147" s="256" t="s">
        <v>178</v>
      </c>
      <c r="E147" s="257"/>
      <c r="F147" s="257"/>
      <c r="G147" s="164"/>
      <c r="H147" s="29">
        <f>H140-H146</f>
        <v>4770.6816666666673</v>
      </c>
      <c r="I147" s="118"/>
    </row>
    <row r="148" spans="2:9" ht="45" customHeight="1" x14ac:dyDescent="0.2">
      <c r="B148" s="258" t="s">
        <v>128</v>
      </c>
      <c r="C148" s="259"/>
      <c r="D148" s="259"/>
      <c r="E148" s="259"/>
      <c r="F148" s="259"/>
      <c r="G148" s="260"/>
      <c r="H148" s="140"/>
      <c r="I148" s="109"/>
    </row>
  </sheetData>
  <mergeCells count="106"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9">
    <dataValidation type="list" allowBlank="1" showInputMessage="1" showErrorMessage="1" sqref="G81" xr:uid="{68A6530D-FF4B-4C40-AB21-2520ABB57DD7}">
      <formula1>"3,6,9,12,15"</formula1>
    </dataValidation>
    <dataValidation type="custom" allowBlank="1" showInputMessage="1" showErrorMessage="1" sqref="G118" xr:uid="{764FA402-B0C8-4523-80ED-DBDF1D9AD55F}">
      <formula1>1-(G119+G120+G121)</formula1>
    </dataValidation>
    <dataValidation type="list" operator="equal" allowBlank="1" showInputMessage="1" showErrorMessage="1" errorTitle="Valor errado" error="Percentual fixo. Preencher com 40%." sqref="F78 F80" xr:uid="{BB27A444-B5C6-4900-AA27-3FF6AD14B8C5}">
      <formula1>"40%"</formula1>
    </dataValidation>
    <dataValidation type="whole" allowBlank="1" showInputMessage="1" showErrorMessage="1" errorTitle="Valor errado" error="Quantidade fixa de dias. Prencher com 30" sqref="G88" xr:uid="{13280E32-EC08-4096-9FC5-EC0A7BA27296}">
      <formula1>30</formula1>
      <formula2>30</formula2>
    </dataValidation>
    <dataValidation type="list" allowBlank="1" showInputMessage="1" showErrorMessage="1" sqref="G30" xr:uid="{03EA3C80-962D-4813-8329-2F11AE31F63D}">
      <formula1>"0, 50%, 100%"</formula1>
    </dataValidation>
    <dataValidation type="list" allowBlank="1" showInputMessage="1" showErrorMessage="1" sqref="G28:G29" xr:uid="{FEE929EE-680C-49B8-882D-39EF7A8B0F99}">
      <formula1>"0, 20%"</formula1>
    </dataValidation>
    <dataValidation type="list" allowBlank="1" showInputMessage="1" showErrorMessage="1" sqref="E50" xr:uid="{AD68839D-5120-4E75-A317-B75BA8F1A6E9}">
      <formula1>"1%, 2%, 3%"</formula1>
    </dataValidation>
    <dataValidation type="list" allowBlank="1" showInputMessage="1" showErrorMessage="1" sqref="G27" xr:uid="{DD2ECC69-CF84-44EE-8693-A2FABAE5A33A}">
      <formula1>"0%, 10%, 20%, 40%"</formula1>
    </dataValidation>
    <dataValidation type="list" allowBlank="1" showInputMessage="1" showErrorMessage="1" sqref="G26" xr:uid="{FDD3E429-E9C5-4774-9F6E-A14BBE3AA89B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64" orientation="portrait" verticalDpi="300" r:id="rId1"/>
  <rowBreaks count="1" manualBreakCount="1">
    <brk id="72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C30FF-537A-4796-8AD7-E48716D6326C}">
  <sheetPr>
    <tabColor theme="9"/>
  </sheetPr>
  <dimension ref="B1:I148"/>
  <sheetViews>
    <sheetView showGridLines="0" view="pageBreakPreview" topLeftCell="A104" zoomScaleNormal="100" zoomScaleSheetLayoutView="100" workbookViewId="0">
      <selection activeCell="G119" sqref="G119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 customWidth="1"/>
    <col min="8" max="9" width="15.28515625" style="59" customWidth="1"/>
    <col min="10" max="16384" width="9.140625" style="59"/>
  </cols>
  <sheetData>
    <row r="1" spans="2:9" x14ac:dyDescent="0.2">
      <c r="C1" s="110"/>
      <c r="D1" s="10"/>
      <c r="E1" s="10"/>
      <c r="F1" s="10"/>
      <c r="G1" s="10"/>
      <c r="H1" s="10"/>
      <c r="I1" s="10"/>
    </row>
    <row r="2" spans="2:9" x14ac:dyDescent="0.2">
      <c r="B2" s="200" t="s">
        <v>50</v>
      </c>
      <c r="C2" s="200"/>
      <c r="D2" s="200"/>
      <c r="E2" s="200"/>
      <c r="F2" s="200"/>
      <c r="G2" s="200"/>
      <c r="H2" s="200"/>
      <c r="I2" s="96"/>
    </row>
    <row r="3" spans="2:9" x14ac:dyDescent="0.2">
      <c r="B3" s="201"/>
      <c r="C3" s="201"/>
      <c r="D3" s="201"/>
      <c r="E3" s="201"/>
      <c r="F3" s="201"/>
      <c r="G3" s="201"/>
      <c r="H3" s="201"/>
      <c r="I3" s="98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8" t="s">
        <v>130</v>
      </c>
      <c r="C6" s="138"/>
      <c r="D6" s="202" t="s">
        <v>201</v>
      </c>
      <c r="E6" s="203"/>
      <c r="F6" s="204"/>
      <c r="I6" s="11"/>
    </row>
    <row r="7" spans="2:9" x14ac:dyDescent="0.2">
      <c r="B7" s="61"/>
      <c r="C7" s="61"/>
      <c r="D7" s="61"/>
      <c r="E7" s="61"/>
      <c r="F7" s="61"/>
      <c r="G7" s="61"/>
      <c r="H7" s="61"/>
      <c r="I7" s="10"/>
    </row>
    <row r="8" spans="2:9" x14ac:dyDescent="0.2">
      <c r="B8" s="205" t="s">
        <v>51</v>
      </c>
      <c r="C8" s="205"/>
      <c r="D8" s="205"/>
      <c r="E8" s="205"/>
      <c r="F8" s="205"/>
      <c r="G8" s="139"/>
      <c r="H8" s="139"/>
      <c r="I8" s="60"/>
    </row>
    <row r="9" spans="2:9" x14ac:dyDescent="0.2">
      <c r="B9" s="196">
        <v>1</v>
      </c>
      <c r="C9" s="197" t="s">
        <v>52</v>
      </c>
      <c r="D9" s="197"/>
      <c r="E9" s="197"/>
      <c r="F9" s="197"/>
      <c r="G9" s="139"/>
      <c r="H9" s="139"/>
      <c r="I9" s="60"/>
    </row>
    <row r="10" spans="2:9" x14ac:dyDescent="0.2">
      <c r="B10" s="196"/>
      <c r="C10" s="198"/>
      <c r="D10" s="198"/>
      <c r="E10" s="198"/>
      <c r="F10" s="198"/>
      <c r="G10" s="139"/>
      <c r="H10" s="139"/>
      <c r="I10" s="60"/>
    </row>
    <row r="11" spans="2:9" x14ac:dyDescent="0.2">
      <c r="B11" s="196">
        <v>2</v>
      </c>
      <c r="C11" s="197" t="s">
        <v>55</v>
      </c>
      <c r="D11" s="197"/>
      <c r="E11" s="197"/>
      <c r="F11" s="197"/>
      <c r="G11" s="139"/>
      <c r="H11" s="139"/>
      <c r="I11" s="60"/>
    </row>
    <row r="12" spans="2:9" x14ac:dyDescent="0.2">
      <c r="B12" s="196"/>
      <c r="C12" s="198"/>
      <c r="D12" s="198"/>
      <c r="E12" s="198"/>
      <c r="F12" s="198"/>
      <c r="G12" s="139"/>
      <c r="H12" s="139"/>
      <c r="I12" s="60"/>
    </row>
    <row r="13" spans="2:9" x14ac:dyDescent="0.2">
      <c r="B13" s="196">
        <v>3</v>
      </c>
      <c r="C13" s="197" t="s">
        <v>56</v>
      </c>
      <c r="D13" s="197"/>
      <c r="E13" s="197"/>
      <c r="F13" s="197"/>
      <c r="G13" s="139"/>
      <c r="H13" s="139"/>
      <c r="I13" s="60"/>
    </row>
    <row r="14" spans="2:9" x14ac:dyDescent="0.2">
      <c r="B14" s="196"/>
      <c r="C14" s="199"/>
      <c r="D14" s="199"/>
      <c r="E14" s="199"/>
      <c r="F14" s="199"/>
      <c r="G14" s="139"/>
      <c r="H14" s="139"/>
      <c r="I14" s="60"/>
    </row>
    <row r="15" spans="2:9" x14ac:dyDescent="0.2">
      <c r="B15" s="196">
        <v>4</v>
      </c>
      <c r="C15" s="197" t="s">
        <v>57</v>
      </c>
      <c r="D15" s="197"/>
      <c r="E15" s="197"/>
      <c r="F15" s="197"/>
      <c r="G15" s="139"/>
      <c r="H15" s="139"/>
      <c r="I15" s="60"/>
    </row>
    <row r="16" spans="2:9" x14ac:dyDescent="0.2">
      <c r="B16" s="196"/>
      <c r="C16" s="198"/>
      <c r="D16" s="198"/>
      <c r="E16" s="198"/>
      <c r="F16" s="198"/>
      <c r="G16" s="139"/>
      <c r="H16" s="139"/>
      <c r="I16" s="60"/>
    </row>
    <row r="17" spans="2:9" x14ac:dyDescent="0.2">
      <c r="B17" s="196">
        <v>5</v>
      </c>
      <c r="C17" s="197" t="s">
        <v>58</v>
      </c>
      <c r="D17" s="197"/>
      <c r="E17" s="197"/>
      <c r="F17" s="197"/>
      <c r="G17" s="139"/>
      <c r="H17" s="139"/>
      <c r="I17" s="60"/>
    </row>
    <row r="18" spans="2:9" x14ac:dyDescent="0.2">
      <c r="B18" s="196"/>
      <c r="C18" s="198"/>
      <c r="D18" s="198"/>
      <c r="E18" s="198"/>
      <c r="F18" s="198"/>
      <c r="G18" s="139"/>
      <c r="H18" s="139"/>
      <c r="I18" s="60"/>
    </row>
    <row r="19" spans="2:9" x14ac:dyDescent="0.2">
      <c r="B19" s="196">
        <v>6</v>
      </c>
      <c r="C19" s="197" t="s">
        <v>59</v>
      </c>
      <c r="D19" s="197"/>
      <c r="E19" s="197"/>
      <c r="F19" s="197"/>
      <c r="G19" s="139"/>
      <c r="H19" s="139"/>
      <c r="I19" s="60"/>
    </row>
    <row r="20" spans="2:9" x14ac:dyDescent="0.2">
      <c r="B20" s="196"/>
      <c r="C20" s="198"/>
      <c r="D20" s="198"/>
      <c r="E20" s="198"/>
      <c r="F20" s="198"/>
      <c r="G20" s="139"/>
      <c r="H20" s="139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  <c r="H22" s="144" t="s">
        <v>200</v>
      </c>
    </row>
    <row r="23" spans="2:9" x14ac:dyDescent="0.2">
      <c r="B23" s="206" t="s">
        <v>66</v>
      </c>
      <c r="C23" s="207"/>
      <c r="D23" s="207"/>
      <c r="E23" s="207"/>
      <c r="F23" s="207"/>
      <c r="G23" s="142"/>
      <c r="H23" s="143"/>
      <c r="I23" s="97"/>
    </row>
    <row r="24" spans="2:9" x14ac:dyDescent="0.2">
      <c r="B24" s="92">
        <v>1</v>
      </c>
      <c r="C24" s="191" t="s">
        <v>60</v>
      </c>
      <c r="D24" s="208"/>
      <c r="E24" s="208"/>
      <c r="F24" s="192"/>
      <c r="G24" s="141" t="s">
        <v>1</v>
      </c>
      <c r="H24" s="141" t="s">
        <v>49</v>
      </c>
      <c r="I24" s="97"/>
    </row>
    <row r="25" spans="2:9" ht="12.75" customHeight="1" x14ac:dyDescent="0.2">
      <c r="B25" s="12" t="s">
        <v>4</v>
      </c>
      <c r="C25" s="90" t="s">
        <v>17</v>
      </c>
      <c r="D25" s="209"/>
      <c r="E25" s="210"/>
      <c r="F25" s="211"/>
      <c r="G25" s="13"/>
      <c r="H25" s="30">
        <v>1609.84</v>
      </c>
      <c r="I25" s="103"/>
    </row>
    <row r="26" spans="2:9" x14ac:dyDescent="0.2">
      <c r="B26" s="12" t="s">
        <v>5</v>
      </c>
      <c r="C26" s="90" t="s">
        <v>24</v>
      </c>
      <c r="D26" s="209" t="s">
        <v>131</v>
      </c>
      <c r="E26" s="210"/>
      <c r="F26" s="211"/>
      <c r="G26" s="31"/>
      <c r="H26" s="14">
        <f>TRUNC(H$25*$G26,2)</f>
        <v>0</v>
      </c>
      <c r="I26" s="99"/>
    </row>
    <row r="27" spans="2:9" x14ac:dyDescent="0.2">
      <c r="B27" s="12" t="s">
        <v>6</v>
      </c>
      <c r="C27" s="91" t="s">
        <v>25</v>
      </c>
      <c r="D27" s="209" t="s">
        <v>174</v>
      </c>
      <c r="E27" s="210"/>
      <c r="F27" s="211"/>
      <c r="G27" s="31"/>
      <c r="H27" s="14">
        <f>TRUNC(H$25*$G27,2)</f>
        <v>0</v>
      </c>
      <c r="I27" s="99"/>
    </row>
    <row r="28" spans="2:9" x14ac:dyDescent="0.2">
      <c r="B28" s="12" t="s">
        <v>7</v>
      </c>
      <c r="C28" s="91" t="s">
        <v>0</v>
      </c>
      <c r="D28" s="209" t="s">
        <v>182</v>
      </c>
      <c r="E28" s="210"/>
      <c r="F28" s="211"/>
      <c r="G28" s="32"/>
      <c r="H28" s="68">
        <f>TRUNC(((H$25+H26)*$G28)/220*8*15,2)</f>
        <v>0</v>
      </c>
      <c r="I28" s="100"/>
    </row>
    <row r="29" spans="2:9" x14ac:dyDescent="0.2">
      <c r="B29" s="120" t="s">
        <v>8</v>
      </c>
      <c r="C29" s="121" t="s">
        <v>26</v>
      </c>
      <c r="D29" s="219" t="s">
        <v>182</v>
      </c>
      <c r="E29" s="220"/>
      <c r="F29" s="221"/>
      <c r="G29" s="122"/>
      <c r="H29" s="123">
        <f>TRUNC(((H25+H26)*$G29)/220*1*15,2)</f>
        <v>0</v>
      </c>
      <c r="I29" s="124" t="s">
        <v>187</v>
      </c>
    </row>
    <row r="30" spans="2:9" x14ac:dyDescent="0.2">
      <c r="B30" s="125" t="s">
        <v>9</v>
      </c>
      <c r="C30" s="121" t="s">
        <v>110</v>
      </c>
      <c r="D30" s="219" t="s">
        <v>183</v>
      </c>
      <c r="E30" s="220"/>
      <c r="F30" s="221"/>
      <c r="G30" s="126"/>
      <c r="H30" s="123">
        <f>TRUNC($G$34*H34*(1+$G$30),2)</f>
        <v>0</v>
      </c>
      <c r="I30" s="124" t="s">
        <v>187</v>
      </c>
    </row>
    <row r="31" spans="2:9" x14ac:dyDescent="0.2">
      <c r="B31" s="12" t="s">
        <v>10</v>
      </c>
      <c r="C31" s="91" t="s">
        <v>2</v>
      </c>
      <c r="D31" s="209"/>
      <c r="E31" s="210"/>
      <c r="F31" s="211"/>
      <c r="G31" s="32"/>
      <c r="H31" s="49"/>
      <c r="I31" s="101"/>
    </row>
    <row r="32" spans="2:9" x14ac:dyDescent="0.2">
      <c r="B32" s="12" t="s">
        <v>132</v>
      </c>
      <c r="C32" s="191" t="s">
        <v>61</v>
      </c>
      <c r="D32" s="208"/>
      <c r="E32" s="208"/>
      <c r="F32" s="192"/>
      <c r="G32" s="26"/>
      <c r="H32" s="15">
        <f>SUM(H25:H31)</f>
        <v>1609.84</v>
      </c>
      <c r="I32" s="16"/>
    </row>
    <row r="33" spans="2:9" ht="22.5" x14ac:dyDescent="0.2">
      <c r="B33" s="96"/>
      <c r="C33" s="212" t="s">
        <v>122</v>
      </c>
      <c r="D33" s="212"/>
      <c r="E33" s="212"/>
      <c r="F33" s="212"/>
      <c r="G33" s="52" t="s">
        <v>111</v>
      </c>
      <c r="H33" s="51" t="s">
        <v>124</v>
      </c>
      <c r="I33" s="4"/>
    </row>
    <row r="34" spans="2:9" x14ac:dyDescent="0.2">
      <c r="B34" s="96"/>
      <c r="C34" s="212"/>
      <c r="D34" s="212"/>
      <c r="E34" s="212"/>
      <c r="F34" s="212"/>
      <c r="G34" s="50"/>
      <c r="H34" s="33">
        <f>IF($G$34="",0,TRUNC((H25+H26+H27)/220,2))</f>
        <v>0</v>
      </c>
      <c r="I34" s="102"/>
    </row>
    <row r="35" spans="2:9" x14ac:dyDescent="0.2">
      <c r="B35" s="96"/>
      <c r="C35" s="96"/>
      <c r="D35" s="96"/>
      <c r="E35" s="96"/>
      <c r="F35" s="96"/>
      <c r="G35" s="96"/>
      <c r="H35" s="69"/>
      <c r="I35" s="16"/>
    </row>
    <row r="36" spans="2:9" x14ac:dyDescent="0.2">
      <c r="B36" s="96"/>
      <c r="C36" s="96"/>
      <c r="D36" s="96"/>
      <c r="E36" s="96"/>
      <c r="F36" s="96"/>
      <c r="G36" s="96"/>
      <c r="H36" s="69"/>
      <c r="I36" s="16"/>
    </row>
    <row r="37" spans="2:9" ht="12.75" customHeight="1" x14ac:dyDescent="0.2">
      <c r="B37" s="206" t="s">
        <v>67</v>
      </c>
      <c r="C37" s="207"/>
      <c r="D37" s="207"/>
      <c r="E37" s="207"/>
      <c r="F37" s="207"/>
      <c r="G37" s="142"/>
      <c r="H37" s="143"/>
      <c r="I37" s="97"/>
    </row>
    <row r="38" spans="2:9" x14ac:dyDescent="0.2">
      <c r="B38" s="213"/>
      <c r="C38" s="214"/>
      <c r="D38" s="214"/>
      <c r="E38" s="214"/>
      <c r="F38" s="214"/>
      <c r="G38" s="58"/>
      <c r="H38" s="58"/>
      <c r="I38" s="97"/>
    </row>
    <row r="39" spans="2:9" x14ac:dyDescent="0.2">
      <c r="B39" s="215" t="s">
        <v>36</v>
      </c>
      <c r="C39" s="215"/>
      <c r="D39" s="215"/>
      <c r="E39" s="215"/>
      <c r="F39" s="215"/>
      <c r="G39" s="58"/>
      <c r="H39" s="58"/>
      <c r="I39" s="97"/>
    </row>
    <row r="40" spans="2:9" x14ac:dyDescent="0.2">
      <c r="B40" s="141" t="s">
        <v>38</v>
      </c>
      <c r="C40" s="216" t="s">
        <v>27</v>
      </c>
      <c r="D40" s="217"/>
      <c r="E40" s="217"/>
      <c r="F40" s="218"/>
      <c r="G40" s="92" t="s">
        <v>1</v>
      </c>
      <c r="H40" s="92" t="s">
        <v>49</v>
      </c>
      <c r="I40" s="97"/>
    </row>
    <row r="41" spans="2:9" x14ac:dyDescent="0.2">
      <c r="B41" s="12" t="s">
        <v>4</v>
      </c>
      <c r="C41" s="90" t="s">
        <v>113</v>
      </c>
      <c r="D41" s="209" t="s">
        <v>133</v>
      </c>
      <c r="E41" s="210"/>
      <c r="F41" s="211"/>
      <c r="G41" s="147">
        <f>1/12</f>
        <v>8.3333333333333329E-2</v>
      </c>
      <c r="H41" s="148">
        <f>TRUNC((H$32*$G41),2)</f>
        <v>134.15</v>
      </c>
      <c r="I41" s="103"/>
    </row>
    <row r="42" spans="2:9" x14ac:dyDescent="0.2">
      <c r="B42" s="12" t="s">
        <v>5</v>
      </c>
      <c r="C42" s="90" t="s">
        <v>65</v>
      </c>
      <c r="D42" s="209" t="s">
        <v>135</v>
      </c>
      <c r="E42" s="210"/>
      <c r="F42" s="211"/>
      <c r="G42" s="17">
        <f>(1/12)+(1/3/12)</f>
        <v>0.1111111111111111</v>
      </c>
      <c r="H42" s="18">
        <f>TRUNC((H$32*$G42),2)</f>
        <v>178.87</v>
      </c>
      <c r="I42" s="103"/>
    </row>
    <row r="43" spans="2:9" x14ac:dyDescent="0.2">
      <c r="B43" s="12" t="s">
        <v>134</v>
      </c>
      <c r="C43" s="191" t="s">
        <v>61</v>
      </c>
      <c r="D43" s="208"/>
      <c r="E43" s="208"/>
      <c r="F43" s="192"/>
      <c r="G43" s="19">
        <f>TRUNC(SUM(G41:G42),4)</f>
        <v>0.19439999999999999</v>
      </c>
      <c r="H43" s="15">
        <f>SUM(H41:H42)</f>
        <v>313.02</v>
      </c>
      <c r="I43" s="16"/>
    </row>
    <row r="44" spans="2:9" x14ac:dyDescent="0.2">
      <c r="B44" s="229"/>
      <c r="C44" s="230"/>
      <c r="D44" s="230"/>
      <c r="E44" s="230"/>
      <c r="F44" s="230"/>
      <c r="G44" s="230"/>
      <c r="H44" s="231"/>
      <c r="I44" s="96"/>
    </row>
    <row r="45" spans="2:9" ht="30" customHeight="1" x14ac:dyDescent="0.2">
      <c r="B45" s="232" t="s">
        <v>68</v>
      </c>
      <c r="C45" s="233"/>
      <c r="D45" s="233"/>
      <c r="E45" s="233"/>
      <c r="F45" s="234"/>
      <c r="G45" s="145"/>
      <c r="H45" s="146"/>
      <c r="I45" s="104"/>
    </row>
    <row r="46" spans="2:9" x14ac:dyDescent="0.2">
      <c r="B46" s="92" t="s">
        <v>39</v>
      </c>
      <c r="C46" s="191" t="s">
        <v>69</v>
      </c>
      <c r="D46" s="208"/>
      <c r="E46" s="208"/>
      <c r="F46" s="192"/>
      <c r="G46" s="92" t="s">
        <v>1</v>
      </c>
      <c r="H46" s="92" t="s">
        <v>49</v>
      </c>
      <c r="I46" s="97"/>
    </row>
    <row r="47" spans="2:9" x14ac:dyDescent="0.2">
      <c r="B47" s="12" t="s">
        <v>4</v>
      </c>
      <c r="C47" s="90" t="s">
        <v>30</v>
      </c>
      <c r="D47" s="209" t="s">
        <v>136</v>
      </c>
      <c r="E47" s="210"/>
      <c r="F47" s="211"/>
      <c r="G47" s="17">
        <v>0.2</v>
      </c>
      <c r="H47" s="18">
        <f>TRUNC((H$32+H$43)*$G47,2)</f>
        <v>384.57</v>
      </c>
      <c r="I47" s="103"/>
    </row>
    <row r="48" spans="2:9" x14ac:dyDescent="0.2">
      <c r="B48" s="12" t="s">
        <v>5</v>
      </c>
      <c r="C48" s="78" t="s">
        <v>31</v>
      </c>
      <c r="D48" s="209" t="s">
        <v>137</v>
      </c>
      <c r="E48" s="210"/>
      <c r="F48" s="211"/>
      <c r="G48" s="17">
        <v>2.5000000000000001E-2</v>
      </c>
      <c r="H48" s="18">
        <f>TRUNC((H$32+H$43)*$G48,2)</f>
        <v>48.07</v>
      </c>
      <c r="I48" s="103"/>
    </row>
    <row r="49" spans="2:9" x14ac:dyDescent="0.2">
      <c r="B49" s="222" t="s">
        <v>6</v>
      </c>
      <c r="C49" s="224" t="s">
        <v>103</v>
      </c>
      <c r="D49" s="226" t="s">
        <v>143</v>
      </c>
      <c r="E49" s="6" t="s">
        <v>104</v>
      </c>
      <c r="F49" s="6" t="s">
        <v>102</v>
      </c>
      <c r="G49" s="227">
        <f>E50*F50</f>
        <v>0.03</v>
      </c>
      <c r="H49" s="238">
        <f>TRUNC((H$32+H$43)*$G49,2)</f>
        <v>57.68</v>
      </c>
      <c r="I49" s="106"/>
    </row>
    <row r="50" spans="2:9" x14ac:dyDescent="0.2">
      <c r="B50" s="223"/>
      <c r="C50" s="225"/>
      <c r="D50" s="226"/>
      <c r="E50" s="34">
        <v>0.03</v>
      </c>
      <c r="F50" s="35">
        <v>1</v>
      </c>
      <c r="G50" s="228"/>
      <c r="H50" s="238"/>
      <c r="I50" s="106"/>
    </row>
    <row r="51" spans="2:9" x14ac:dyDescent="0.2">
      <c r="B51" s="12" t="s">
        <v>7</v>
      </c>
      <c r="C51" s="90" t="s">
        <v>29</v>
      </c>
      <c r="D51" s="209" t="s">
        <v>138</v>
      </c>
      <c r="E51" s="210"/>
      <c r="F51" s="211"/>
      <c r="G51" s="17">
        <v>1.4999999999999999E-2</v>
      </c>
      <c r="H51" s="18">
        <f>TRUNC((H$32+H$43)*$G51,2)</f>
        <v>28.84</v>
      </c>
      <c r="I51" s="103"/>
    </row>
    <row r="52" spans="2:9" x14ac:dyDescent="0.2">
      <c r="B52" s="12" t="s">
        <v>8</v>
      </c>
      <c r="C52" s="90" t="s">
        <v>32</v>
      </c>
      <c r="D52" s="209" t="s">
        <v>139</v>
      </c>
      <c r="E52" s="210"/>
      <c r="F52" s="211"/>
      <c r="G52" s="17">
        <v>0.01</v>
      </c>
      <c r="H52" s="18">
        <f>TRUNC((H$32+H$43)*$G52,2)</f>
        <v>19.22</v>
      </c>
      <c r="I52" s="103"/>
    </row>
    <row r="53" spans="2:9" x14ac:dyDescent="0.2">
      <c r="B53" s="12" t="s">
        <v>9</v>
      </c>
      <c r="C53" s="90" t="s">
        <v>33</v>
      </c>
      <c r="D53" s="209" t="s">
        <v>140</v>
      </c>
      <c r="E53" s="210"/>
      <c r="F53" s="211"/>
      <c r="G53" s="17">
        <v>6.0000000000000001E-3</v>
      </c>
      <c r="H53" s="18">
        <f>TRUNC((H$32+H$43)*$G53,2)</f>
        <v>11.53</v>
      </c>
      <c r="I53" s="103"/>
    </row>
    <row r="54" spans="2:9" x14ac:dyDescent="0.2">
      <c r="B54" s="12" t="s">
        <v>10</v>
      </c>
      <c r="C54" s="90" t="s">
        <v>34</v>
      </c>
      <c r="D54" s="209" t="s">
        <v>141</v>
      </c>
      <c r="E54" s="210"/>
      <c r="F54" s="211"/>
      <c r="G54" s="17">
        <v>2E-3</v>
      </c>
      <c r="H54" s="18">
        <f>TRUNC((H$32+H$43)*$G54,2)</f>
        <v>3.84</v>
      </c>
      <c r="I54" s="103"/>
    </row>
    <row r="55" spans="2:9" x14ac:dyDescent="0.2">
      <c r="B55" s="12" t="s">
        <v>11</v>
      </c>
      <c r="C55" s="90" t="s">
        <v>35</v>
      </c>
      <c r="D55" s="209" t="s">
        <v>142</v>
      </c>
      <c r="E55" s="210"/>
      <c r="F55" s="211"/>
      <c r="G55" s="17">
        <v>0.08</v>
      </c>
      <c r="H55" s="18">
        <f>TRUNC((H$32+H$43)*$G55,2)</f>
        <v>153.82</v>
      </c>
      <c r="I55" s="103"/>
    </row>
    <row r="56" spans="2:9" x14ac:dyDescent="0.2">
      <c r="B56" s="12" t="s">
        <v>144</v>
      </c>
      <c r="C56" s="191" t="s">
        <v>61</v>
      </c>
      <c r="D56" s="208"/>
      <c r="E56" s="208"/>
      <c r="F56" s="192"/>
      <c r="G56" s="20">
        <f>SUM(G47:G55)</f>
        <v>0.36800000000000005</v>
      </c>
      <c r="H56" s="15">
        <f>SUM(H47:H55)</f>
        <v>707.56999999999994</v>
      </c>
      <c r="I56" s="16"/>
    </row>
    <row r="57" spans="2:9" x14ac:dyDescent="0.2">
      <c r="B57" s="235"/>
      <c r="C57" s="236"/>
      <c r="D57" s="236"/>
      <c r="E57" s="236"/>
      <c r="F57" s="236"/>
      <c r="G57" s="236"/>
      <c r="H57" s="237"/>
      <c r="I57" s="115"/>
    </row>
    <row r="58" spans="2:9" ht="12.75" customHeight="1" x14ac:dyDescent="0.2">
      <c r="B58" s="232" t="s">
        <v>37</v>
      </c>
      <c r="C58" s="233"/>
      <c r="D58" s="233"/>
      <c r="E58" s="233"/>
      <c r="F58" s="234"/>
      <c r="G58" s="145"/>
      <c r="H58" s="146"/>
      <c r="I58" s="115"/>
    </row>
    <row r="59" spans="2:9" x14ac:dyDescent="0.2">
      <c r="B59" s="92" t="s">
        <v>40</v>
      </c>
      <c r="C59" s="191" t="s">
        <v>41</v>
      </c>
      <c r="D59" s="208"/>
      <c r="E59" s="208"/>
      <c r="F59" s="208"/>
      <c r="G59" s="79"/>
      <c r="H59" s="92" t="s">
        <v>49</v>
      </c>
      <c r="I59" s="97"/>
    </row>
    <row r="60" spans="2:9" ht="12.75" customHeight="1" x14ac:dyDescent="0.2">
      <c r="B60" s="12" t="s">
        <v>4</v>
      </c>
      <c r="C60" s="90" t="s">
        <v>47</v>
      </c>
      <c r="D60" s="168" t="s">
        <v>147</v>
      </c>
      <c r="E60" s="169"/>
      <c r="F60" s="169"/>
      <c r="G60" s="170"/>
      <c r="H60" s="36">
        <f>TRUNC((8.55*2*22)-(H$25*6%),2)</f>
        <v>279.60000000000002</v>
      </c>
      <c r="I60" s="116"/>
    </row>
    <row r="61" spans="2:9" ht="12.75" customHeight="1" x14ac:dyDescent="0.2">
      <c r="B61" s="12" t="s">
        <v>5</v>
      </c>
      <c r="C61" s="90" t="s">
        <v>48</v>
      </c>
      <c r="D61" s="168" t="s">
        <v>148</v>
      </c>
      <c r="E61" s="169"/>
      <c r="F61" s="169"/>
      <c r="G61" s="170"/>
      <c r="H61" s="36">
        <f>22.5*23</f>
        <v>517.5</v>
      </c>
      <c r="I61" s="178"/>
    </row>
    <row r="62" spans="2:9" x14ac:dyDescent="0.2">
      <c r="B62" s="12" t="s">
        <v>6</v>
      </c>
      <c r="C62" s="90" t="s">
        <v>105</v>
      </c>
      <c r="D62" s="168"/>
      <c r="E62" s="169"/>
      <c r="F62" s="169"/>
      <c r="G62" s="170"/>
      <c r="H62" s="36">
        <v>0</v>
      </c>
      <c r="I62" s="116"/>
    </row>
    <row r="63" spans="2:9" s="70" customFormat="1" x14ac:dyDescent="0.2">
      <c r="B63" s="12" t="s">
        <v>7</v>
      </c>
      <c r="C63" s="90" t="s">
        <v>204</v>
      </c>
      <c r="D63" s="168"/>
      <c r="E63" s="169"/>
      <c r="F63" s="169"/>
      <c r="G63" s="170"/>
      <c r="H63" s="36">
        <v>19</v>
      </c>
      <c r="I63" s="116"/>
    </row>
    <row r="64" spans="2:9" x14ac:dyDescent="0.2">
      <c r="B64" s="12" t="s">
        <v>145</v>
      </c>
      <c r="C64" s="191" t="s">
        <v>61</v>
      </c>
      <c r="D64" s="208"/>
      <c r="E64" s="208"/>
      <c r="F64" s="208"/>
      <c r="G64" s="79"/>
      <c r="H64" s="15">
        <f>SUM(H60:H63)</f>
        <v>816.1</v>
      </c>
      <c r="I64" s="16"/>
    </row>
    <row r="65" spans="2:9" x14ac:dyDescent="0.2">
      <c r="B65" s="229"/>
      <c r="C65" s="230"/>
      <c r="D65" s="230"/>
      <c r="E65" s="230"/>
      <c r="F65" s="230"/>
      <c r="G65" s="230"/>
      <c r="H65" s="231"/>
      <c r="I65" s="96"/>
    </row>
    <row r="66" spans="2:9" x14ac:dyDescent="0.2">
      <c r="B66" s="244" t="s">
        <v>71</v>
      </c>
      <c r="C66" s="245"/>
      <c r="D66" s="245"/>
      <c r="E66" s="245"/>
      <c r="F66" s="245"/>
      <c r="G66" s="149"/>
      <c r="H66" s="149"/>
      <c r="I66" s="96"/>
    </row>
    <row r="67" spans="2:9" x14ac:dyDescent="0.2">
      <c r="B67" s="92">
        <v>2</v>
      </c>
      <c r="C67" s="191" t="s">
        <v>70</v>
      </c>
      <c r="D67" s="208"/>
      <c r="E67" s="208"/>
      <c r="F67" s="208"/>
      <c r="G67" s="79"/>
      <c r="H67" s="92" t="s">
        <v>49</v>
      </c>
      <c r="I67" s="97"/>
    </row>
    <row r="68" spans="2:9" x14ac:dyDescent="0.2">
      <c r="B68" s="12" t="s">
        <v>38</v>
      </c>
      <c r="C68" s="80" t="s">
        <v>27</v>
      </c>
      <c r="D68" s="168" t="s">
        <v>134</v>
      </c>
      <c r="E68" s="169"/>
      <c r="F68" s="169"/>
      <c r="G68" s="170"/>
      <c r="H68" s="18">
        <f>H43</f>
        <v>313.02</v>
      </c>
      <c r="I68" s="103"/>
    </row>
    <row r="69" spans="2:9" x14ac:dyDescent="0.2">
      <c r="B69" s="12" t="s">
        <v>39</v>
      </c>
      <c r="C69" s="80" t="s">
        <v>28</v>
      </c>
      <c r="D69" s="168" t="s">
        <v>144</v>
      </c>
      <c r="E69" s="169"/>
      <c r="F69" s="169"/>
      <c r="G69" s="170"/>
      <c r="H69" s="18">
        <f>H56</f>
        <v>707.56999999999994</v>
      </c>
      <c r="I69" s="103"/>
    </row>
    <row r="70" spans="2:9" x14ac:dyDescent="0.2">
      <c r="B70" s="12" t="s">
        <v>40</v>
      </c>
      <c r="C70" s="80" t="s">
        <v>41</v>
      </c>
      <c r="D70" s="168" t="s">
        <v>145</v>
      </c>
      <c r="E70" s="169"/>
      <c r="F70" s="169"/>
      <c r="G70" s="170"/>
      <c r="H70" s="18">
        <f>H64</f>
        <v>816.1</v>
      </c>
      <c r="I70" s="103"/>
    </row>
    <row r="71" spans="2:9" x14ac:dyDescent="0.2">
      <c r="B71" s="12" t="s">
        <v>146</v>
      </c>
      <c r="C71" s="191" t="s">
        <v>61</v>
      </c>
      <c r="D71" s="208"/>
      <c r="E71" s="208"/>
      <c r="F71" s="208"/>
      <c r="G71" s="79"/>
      <c r="H71" s="15">
        <f>SUM(H68:H70)</f>
        <v>1836.69</v>
      </c>
      <c r="I71" s="16"/>
    </row>
    <row r="72" spans="2:9" x14ac:dyDescent="0.2">
      <c r="B72" s="230"/>
      <c r="C72" s="230"/>
      <c r="D72" s="230"/>
      <c r="E72" s="230"/>
      <c r="F72" s="230"/>
      <c r="G72" s="230"/>
      <c r="H72" s="230"/>
      <c r="I72" s="97"/>
    </row>
    <row r="73" spans="2:9" x14ac:dyDescent="0.2">
      <c r="B73" s="96"/>
      <c r="C73" s="96"/>
      <c r="D73" s="96"/>
      <c r="E73" s="96"/>
      <c r="F73" s="96"/>
      <c r="G73" s="96"/>
      <c r="H73" s="96"/>
      <c r="I73" s="97"/>
    </row>
    <row r="74" spans="2:9" x14ac:dyDescent="0.2">
      <c r="B74" s="206" t="s">
        <v>72</v>
      </c>
      <c r="C74" s="207"/>
      <c r="D74" s="207"/>
      <c r="E74" s="207"/>
      <c r="F74" s="241"/>
      <c r="G74" s="142"/>
      <c r="H74" s="143"/>
      <c r="I74" s="97"/>
    </row>
    <row r="75" spans="2:9" x14ac:dyDescent="0.2">
      <c r="B75" s="92">
        <v>3</v>
      </c>
      <c r="C75" s="191" t="s">
        <v>62</v>
      </c>
      <c r="D75" s="208"/>
      <c r="E75" s="208"/>
      <c r="F75" s="192"/>
      <c r="G75" s="92" t="s">
        <v>1</v>
      </c>
      <c r="H75" s="92" t="s">
        <v>49</v>
      </c>
      <c r="I75" s="97"/>
    </row>
    <row r="76" spans="2:9" x14ac:dyDescent="0.2">
      <c r="B76" s="12" t="s">
        <v>4</v>
      </c>
      <c r="C76" s="81" t="s">
        <v>97</v>
      </c>
      <c r="D76" s="168" t="s">
        <v>163</v>
      </c>
      <c r="E76" s="169"/>
      <c r="F76" s="170"/>
      <c r="G76" s="37">
        <v>1</v>
      </c>
      <c r="H76" s="21">
        <f>TRUNC((H$77+H$78)*$G76,2)</f>
        <v>279.27999999999997</v>
      </c>
      <c r="I76" s="16"/>
    </row>
    <row r="77" spans="2:9" x14ac:dyDescent="0.2">
      <c r="B77" s="12" t="s">
        <v>5</v>
      </c>
      <c r="C77" s="90" t="s">
        <v>98</v>
      </c>
      <c r="D77" s="168" t="s">
        <v>184</v>
      </c>
      <c r="E77" s="169"/>
      <c r="F77" s="170"/>
      <c r="G77" s="22"/>
      <c r="H77" s="18">
        <f>TRUNC((H$32+H$43+H$55+H$64-H60)/12,2)</f>
        <v>217.76</v>
      </c>
      <c r="I77" s="103"/>
    </row>
    <row r="78" spans="2:9" x14ac:dyDescent="0.2">
      <c r="B78" s="12" t="s">
        <v>6</v>
      </c>
      <c r="C78" s="90" t="s">
        <v>99</v>
      </c>
      <c r="D78" s="209" t="s">
        <v>175</v>
      </c>
      <c r="E78" s="211"/>
      <c r="F78" s="39">
        <v>0.4</v>
      </c>
      <c r="G78" s="22"/>
      <c r="H78" s="18">
        <f>TRUNC(H$55*$F78,2)</f>
        <v>61.52</v>
      </c>
      <c r="I78" s="103"/>
    </row>
    <row r="79" spans="2:9" x14ac:dyDescent="0.2">
      <c r="B79" s="12" t="s">
        <v>7</v>
      </c>
      <c r="C79" s="81" t="s">
        <v>100</v>
      </c>
      <c r="D79" s="168" t="s">
        <v>164</v>
      </c>
      <c r="E79" s="169"/>
      <c r="F79" s="170"/>
      <c r="G79" s="37">
        <v>1</v>
      </c>
      <c r="H79" s="84">
        <f>IF($G79&gt;=1,(TRUNC(H$80*$G79,2)),"ERRO")</f>
        <v>61.52</v>
      </c>
      <c r="I79" s="105"/>
    </row>
    <row r="80" spans="2:9" x14ac:dyDescent="0.2">
      <c r="B80" s="12" t="s">
        <v>8</v>
      </c>
      <c r="C80" s="90" t="s">
        <v>101</v>
      </c>
      <c r="D80" s="209" t="s">
        <v>175</v>
      </c>
      <c r="E80" s="211"/>
      <c r="F80" s="39">
        <v>0.4</v>
      </c>
      <c r="G80" s="22"/>
      <c r="H80" s="18">
        <f>TRUNC(H$55*$F80,2)</f>
        <v>61.52</v>
      </c>
      <c r="I80" s="103"/>
    </row>
    <row r="81" spans="2:9" x14ac:dyDescent="0.2">
      <c r="B81" s="12" t="s">
        <v>9</v>
      </c>
      <c r="C81" s="81" t="s">
        <v>181</v>
      </c>
      <c r="D81" s="239" t="s">
        <v>176</v>
      </c>
      <c r="E81" s="240"/>
      <c r="F81" s="38">
        <v>12</v>
      </c>
      <c r="G81" s="38">
        <v>3</v>
      </c>
      <c r="H81" s="18">
        <f>TRUNC(((H$32+H$43+H$56)/30)*$G81/$F81,2)</f>
        <v>21.92</v>
      </c>
      <c r="I81" s="103"/>
    </row>
    <row r="82" spans="2:9" x14ac:dyDescent="0.2">
      <c r="B82" s="12" t="s">
        <v>150</v>
      </c>
      <c r="C82" s="191" t="s">
        <v>61</v>
      </c>
      <c r="D82" s="208"/>
      <c r="E82" s="208"/>
      <c r="F82" s="208"/>
      <c r="G82" s="79"/>
      <c r="H82" s="15">
        <f>H$76+H$79+H$81</f>
        <v>362.71999999999997</v>
      </c>
      <c r="I82" s="16"/>
    </row>
    <row r="83" spans="2:9" x14ac:dyDescent="0.2">
      <c r="B83" s="93"/>
      <c r="C83" s="93"/>
      <c r="D83" s="93"/>
      <c r="E83" s="93"/>
      <c r="F83" s="93"/>
      <c r="G83" s="93"/>
      <c r="H83" s="93"/>
      <c r="I83" s="93"/>
    </row>
    <row r="84" spans="2:9" x14ac:dyDescent="0.2">
      <c r="B84" s="96"/>
      <c r="C84" s="96"/>
      <c r="D84" s="96"/>
      <c r="E84" s="96"/>
      <c r="F84" s="96"/>
      <c r="G84" s="96"/>
      <c r="H84" s="96"/>
      <c r="I84" s="97"/>
    </row>
    <row r="85" spans="2:9" x14ac:dyDescent="0.2">
      <c r="B85" s="206" t="s">
        <v>73</v>
      </c>
      <c r="C85" s="207"/>
      <c r="D85" s="207"/>
      <c r="E85" s="207"/>
      <c r="F85" s="241"/>
      <c r="G85" s="142"/>
      <c r="H85" s="143"/>
      <c r="I85" s="97"/>
    </row>
    <row r="86" spans="2:9" x14ac:dyDescent="0.2">
      <c r="B86" s="242" t="s">
        <v>91</v>
      </c>
      <c r="C86" s="243"/>
      <c r="D86" s="243"/>
      <c r="E86" s="243"/>
      <c r="F86" s="243"/>
      <c r="G86" s="150"/>
      <c r="H86" s="151"/>
      <c r="I86" s="97"/>
    </row>
    <row r="87" spans="2:9" x14ac:dyDescent="0.2">
      <c r="B87" s="92" t="s">
        <v>14</v>
      </c>
      <c r="C87" s="191" t="s">
        <v>92</v>
      </c>
      <c r="D87" s="208"/>
      <c r="E87" s="208"/>
      <c r="F87" s="192"/>
      <c r="G87" s="92" t="s">
        <v>106</v>
      </c>
      <c r="H87" s="92" t="s">
        <v>49</v>
      </c>
      <c r="I87" s="97"/>
    </row>
    <row r="88" spans="2:9" x14ac:dyDescent="0.2">
      <c r="B88" s="12" t="s">
        <v>4</v>
      </c>
      <c r="C88" s="90" t="s">
        <v>112</v>
      </c>
      <c r="D88" s="168" t="s">
        <v>156</v>
      </c>
      <c r="E88" s="169"/>
      <c r="F88" s="170"/>
      <c r="G88" s="38">
        <v>30</v>
      </c>
      <c r="H88" s="18">
        <f>TRUNC((H$90*$G88)/12,2)</f>
        <v>317.42</v>
      </c>
      <c r="I88" s="103"/>
    </row>
    <row r="89" spans="2:9" ht="22.5" x14ac:dyDescent="0.2">
      <c r="B89" s="12" t="s">
        <v>5</v>
      </c>
      <c r="C89" s="82" t="s">
        <v>162</v>
      </c>
      <c r="D89" s="171" t="s">
        <v>165</v>
      </c>
      <c r="E89" s="172"/>
      <c r="F89" s="173"/>
      <c r="G89" s="57">
        <v>8</v>
      </c>
      <c r="H89" s="18">
        <f>TRUNC((H$90*$G89)/12,2)</f>
        <v>84.64</v>
      </c>
      <c r="I89" s="103"/>
    </row>
    <row r="90" spans="2:9" x14ac:dyDescent="0.2">
      <c r="B90" s="12" t="s">
        <v>6</v>
      </c>
      <c r="C90" s="90" t="s">
        <v>114</v>
      </c>
      <c r="D90" s="168" t="s">
        <v>149</v>
      </c>
      <c r="E90" s="169"/>
      <c r="F90" s="169"/>
      <c r="G90" s="170"/>
      <c r="H90" s="18">
        <f>TRUNC((H$32+H$71+H$82)/30,2)</f>
        <v>126.97</v>
      </c>
      <c r="I90" s="103"/>
    </row>
    <row r="91" spans="2:9" x14ac:dyDescent="0.2">
      <c r="B91" s="12" t="s">
        <v>151</v>
      </c>
      <c r="C91" s="191" t="s">
        <v>61</v>
      </c>
      <c r="D91" s="208"/>
      <c r="E91" s="208"/>
      <c r="F91" s="208"/>
      <c r="G91" s="79"/>
      <c r="H91" s="15">
        <f>TRUNC(H$88+H$89,2)</f>
        <v>402.06</v>
      </c>
      <c r="I91" s="16"/>
    </row>
    <row r="92" spans="2:9" x14ac:dyDescent="0.2">
      <c r="B92" s="71"/>
      <c r="C92" s="72"/>
      <c r="D92" s="72"/>
      <c r="E92" s="72"/>
      <c r="F92" s="72"/>
      <c r="G92" s="72"/>
      <c r="H92" s="73"/>
      <c r="I92" s="23"/>
    </row>
    <row r="93" spans="2:9" x14ac:dyDescent="0.2">
      <c r="B93" s="244" t="s">
        <v>93</v>
      </c>
      <c r="C93" s="245"/>
      <c r="D93" s="245"/>
      <c r="E93" s="245"/>
      <c r="F93" s="245"/>
      <c r="G93" s="152"/>
      <c r="H93" s="153"/>
      <c r="I93" s="97"/>
    </row>
    <row r="94" spans="2:9" x14ac:dyDescent="0.2">
      <c r="B94" s="92" t="s">
        <v>15</v>
      </c>
      <c r="C94" s="191" t="s">
        <v>94</v>
      </c>
      <c r="D94" s="208"/>
      <c r="E94" s="208"/>
      <c r="F94" s="192"/>
      <c r="G94" s="92" t="s">
        <v>106</v>
      </c>
      <c r="H94" s="92" t="s">
        <v>49</v>
      </c>
      <c r="I94" s="97"/>
    </row>
    <row r="95" spans="2:9" ht="22.5" x14ac:dyDescent="0.2">
      <c r="B95" s="12" t="s">
        <v>4</v>
      </c>
      <c r="C95" s="82" t="s">
        <v>95</v>
      </c>
      <c r="D95" s="168" t="s">
        <v>186</v>
      </c>
      <c r="E95" s="169"/>
      <c r="F95" s="169"/>
      <c r="G95" s="38"/>
      <c r="H95" s="18">
        <f>TRUNC(((H$32+H71+H82)/220)*(1+50%)*G95,2)</f>
        <v>0</v>
      </c>
      <c r="I95" s="103"/>
    </row>
    <row r="96" spans="2:9" x14ac:dyDescent="0.2">
      <c r="B96" s="12" t="s">
        <v>152</v>
      </c>
      <c r="C96" s="191" t="s">
        <v>61</v>
      </c>
      <c r="D96" s="208"/>
      <c r="E96" s="208"/>
      <c r="F96" s="208"/>
      <c r="G96" s="129"/>
      <c r="H96" s="15">
        <f>H95</f>
        <v>0</v>
      </c>
      <c r="I96" s="103"/>
    </row>
    <row r="97" spans="2:9" x14ac:dyDescent="0.2">
      <c r="B97" s="95"/>
      <c r="C97" s="94"/>
      <c r="D97" s="94"/>
      <c r="E97" s="94"/>
      <c r="F97" s="94"/>
      <c r="G97" s="96"/>
      <c r="H97" s="167"/>
      <c r="I97" s="119"/>
    </row>
    <row r="98" spans="2:9" x14ac:dyDescent="0.2">
      <c r="B98" s="244" t="s">
        <v>74</v>
      </c>
      <c r="C98" s="245"/>
      <c r="D98" s="245"/>
      <c r="E98" s="245"/>
      <c r="F98" s="245"/>
      <c r="G98" s="152"/>
      <c r="H98" s="153"/>
      <c r="I98" s="97"/>
    </row>
    <row r="99" spans="2:9" x14ac:dyDescent="0.2">
      <c r="B99" s="92">
        <v>4</v>
      </c>
      <c r="C99" s="191" t="s">
        <v>75</v>
      </c>
      <c r="D99" s="208"/>
      <c r="E99" s="208"/>
      <c r="F99" s="208"/>
      <c r="G99" s="192"/>
      <c r="H99" s="92" t="s">
        <v>49</v>
      </c>
      <c r="I99" s="97"/>
    </row>
    <row r="100" spans="2:9" x14ac:dyDescent="0.2">
      <c r="B100" s="12" t="s">
        <v>14</v>
      </c>
      <c r="C100" s="90" t="s">
        <v>42</v>
      </c>
      <c r="D100" s="168" t="s">
        <v>151</v>
      </c>
      <c r="E100" s="169"/>
      <c r="F100" s="169"/>
      <c r="G100" s="170"/>
      <c r="H100" s="18">
        <f>H91</f>
        <v>402.06</v>
      </c>
      <c r="I100" s="103"/>
    </row>
    <row r="101" spans="2:9" x14ac:dyDescent="0.2">
      <c r="B101" s="12" t="s">
        <v>15</v>
      </c>
      <c r="C101" s="90" t="s">
        <v>44</v>
      </c>
      <c r="D101" s="168" t="s">
        <v>152</v>
      </c>
      <c r="E101" s="169"/>
      <c r="F101" s="169"/>
      <c r="G101" s="170"/>
      <c r="H101" s="18">
        <f>H96</f>
        <v>0</v>
      </c>
      <c r="I101" s="103"/>
    </row>
    <row r="102" spans="2:9" x14ac:dyDescent="0.2">
      <c r="B102" s="12" t="s">
        <v>153</v>
      </c>
      <c r="C102" s="191" t="s">
        <v>61</v>
      </c>
      <c r="D102" s="208"/>
      <c r="E102" s="208"/>
      <c r="F102" s="208"/>
      <c r="G102" s="79"/>
      <c r="H102" s="15">
        <f>SUM(H100:H101)</f>
        <v>402.06</v>
      </c>
      <c r="I102" s="16"/>
    </row>
    <row r="103" spans="2:9" x14ac:dyDescent="0.2">
      <c r="B103" s="96"/>
      <c r="C103" s="96"/>
      <c r="D103" s="96"/>
      <c r="E103" s="96"/>
      <c r="F103" s="96"/>
      <c r="G103" s="96"/>
      <c r="H103" s="96"/>
      <c r="I103" s="97"/>
    </row>
    <row r="104" spans="2:9" x14ac:dyDescent="0.2">
      <c r="B104" s="96"/>
      <c r="C104" s="96"/>
      <c r="D104" s="96"/>
      <c r="E104" s="96"/>
      <c r="F104" s="96"/>
      <c r="G104" s="96"/>
      <c r="H104" s="96"/>
      <c r="I104" s="97"/>
    </row>
    <row r="105" spans="2:9" x14ac:dyDescent="0.2">
      <c r="B105" s="206" t="s">
        <v>76</v>
      </c>
      <c r="C105" s="207"/>
      <c r="D105" s="207"/>
      <c r="E105" s="207"/>
      <c r="F105" s="241"/>
      <c r="G105" s="142"/>
      <c r="H105" s="143"/>
      <c r="I105" s="97"/>
    </row>
    <row r="106" spans="2:9" x14ac:dyDescent="0.2">
      <c r="B106" s="92">
        <v>5</v>
      </c>
      <c r="C106" s="246" t="s">
        <v>63</v>
      </c>
      <c r="D106" s="247"/>
      <c r="E106" s="247"/>
      <c r="F106" s="247"/>
      <c r="G106" s="248"/>
      <c r="H106" s="92" t="s">
        <v>49</v>
      </c>
      <c r="I106" s="97"/>
    </row>
    <row r="107" spans="2:9" x14ac:dyDescent="0.2">
      <c r="B107" s="12" t="s">
        <v>4</v>
      </c>
      <c r="C107" s="65" t="s">
        <v>45</v>
      </c>
      <c r="D107" s="66"/>
      <c r="E107" s="66"/>
      <c r="F107" s="66"/>
      <c r="G107" s="67"/>
      <c r="H107" s="68">
        <f>Insumos!G28</f>
        <v>295.63</v>
      </c>
      <c r="I107" s="103"/>
    </row>
    <row r="108" spans="2:9" x14ac:dyDescent="0.2">
      <c r="B108" s="12" t="s">
        <v>5</v>
      </c>
      <c r="C108" s="65" t="s">
        <v>12</v>
      </c>
      <c r="D108" s="66"/>
      <c r="E108" s="66"/>
      <c r="F108" s="66"/>
      <c r="G108" s="67"/>
      <c r="H108" s="68"/>
      <c r="I108" s="103"/>
    </row>
    <row r="109" spans="2:9" x14ac:dyDescent="0.2">
      <c r="B109" s="12" t="s">
        <v>6</v>
      </c>
      <c r="C109" s="65" t="s">
        <v>13</v>
      </c>
      <c r="D109" s="66"/>
      <c r="E109" s="66"/>
      <c r="F109" s="66"/>
      <c r="G109" s="67"/>
      <c r="H109" s="68"/>
      <c r="I109" s="103"/>
    </row>
    <row r="110" spans="2:9" x14ac:dyDescent="0.2">
      <c r="B110" s="12" t="s">
        <v>7</v>
      </c>
      <c r="C110" s="65" t="s">
        <v>2</v>
      </c>
      <c r="D110" s="66"/>
      <c r="E110" s="66"/>
      <c r="F110" s="66"/>
      <c r="G110" s="67"/>
      <c r="H110" s="68"/>
      <c r="I110" s="103"/>
    </row>
    <row r="111" spans="2:9" x14ac:dyDescent="0.2">
      <c r="B111" s="12" t="s">
        <v>154</v>
      </c>
      <c r="C111" s="191" t="s">
        <v>61</v>
      </c>
      <c r="D111" s="208"/>
      <c r="E111" s="208"/>
      <c r="F111" s="208"/>
      <c r="G111" s="79"/>
      <c r="H111" s="15">
        <f>SUM(H107:H110)</f>
        <v>295.63</v>
      </c>
      <c r="I111" s="16"/>
    </row>
    <row r="112" spans="2:9" x14ac:dyDescent="0.2">
      <c r="B112" s="96"/>
      <c r="C112" s="96"/>
      <c r="D112" s="96"/>
      <c r="E112" s="96"/>
      <c r="F112" s="96"/>
      <c r="G112" s="74"/>
      <c r="H112" s="69"/>
      <c r="I112" s="16"/>
    </row>
    <row r="113" spans="2:9" x14ac:dyDescent="0.2">
      <c r="B113" s="96"/>
      <c r="C113" s="96"/>
      <c r="D113" s="96"/>
      <c r="E113" s="96"/>
      <c r="F113" s="96"/>
      <c r="G113" s="96"/>
      <c r="H113" s="96"/>
      <c r="I113" s="97"/>
    </row>
    <row r="114" spans="2:9" x14ac:dyDescent="0.2">
      <c r="B114" s="206" t="s">
        <v>77</v>
      </c>
      <c r="C114" s="207"/>
      <c r="D114" s="207"/>
      <c r="E114" s="207"/>
      <c r="F114" s="241"/>
      <c r="G114" s="142"/>
      <c r="H114" s="143"/>
      <c r="I114" s="97"/>
    </row>
    <row r="115" spans="2:9" x14ac:dyDescent="0.2">
      <c r="B115" s="92">
        <v>6</v>
      </c>
      <c r="C115" s="191" t="s">
        <v>64</v>
      </c>
      <c r="D115" s="208"/>
      <c r="E115" s="208"/>
      <c r="F115" s="192"/>
      <c r="G115" s="92" t="s">
        <v>1</v>
      </c>
      <c r="H115" s="92" t="s">
        <v>49</v>
      </c>
      <c r="I115" s="97"/>
    </row>
    <row r="116" spans="2:9" x14ac:dyDescent="0.2">
      <c r="B116" s="12" t="s">
        <v>4</v>
      </c>
      <c r="C116" s="90" t="s">
        <v>16</v>
      </c>
      <c r="D116" s="209" t="s">
        <v>166</v>
      </c>
      <c r="E116" s="210"/>
      <c r="F116" s="211"/>
      <c r="G116" s="46">
        <v>0.05</v>
      </c>
      <c r="H116" s="18">
        <f>TRUNC(H$133*$G116,2)</f>
        <v>225.34</v>
      </c>
      <c r="I116" s="103"/>
    </row>
    <row r="117" spans="2:9" x14ac:dyDescent="0.2">
      <c r="B117" s="12" t="s">
        <v>5</v>
      </c>
      <c r="C117" s="90" t="s">
        <v>3</v>
      </c>
      <c r="D117" s="209" t="s">
        <v>167</v>
      </c>
      <c r="E117" s="210"/>
      <c r="F117" s="211"/>
      <c r="G117" s="46">
        <v>0.1</v>
      </c>
      <c r="H117" s="18">
        <f>TRUNC((H$133+H$116)*$G117,2)</f>
        <v>473.22</v>
      </c>
      <c r="I117" s="103"/>
    </row>
    <row r="118" spans="2:9" x14ac:dyDescent="0.2">
      <c r="B118" s="12" t="s">
        <v>6</v>
      </c>
      <c r="C118" s="90" t="s">
        <v>120</v>
      </c>
      <c r="D118" s="209" t="s">
        <v>168</v>
      </c>
      <c r="E118" s="210"/>
      <c r="F118" s="211"/>
      <c r="G118" s="48">
        <f>1-(G119+G120+G121)</f>
        <v>0.85749999999999993</v>
      </c>
      <c r="H118" s="24">
        <f>TRUNC(((H$133+H$116+H$117)/$G118),2)</f>
        <v>6070.55</v>
      </c>
      <c r="I118" s="106"/>
    </row>
    <row r="119" spans="2:9" x14ac:dyDescent="0.2">
      <c r="B119" s="12" t="s">
        <v>21</v>
      </c>
      <c r="C119" s="90" t="s">
        <v>18</v>
      </c>
      <c r="D119" s="209" t="s">
        <v>169</v>
      </c>
      <c r="E119" s="210"/>
      <c r="F119" s="211"/>
      <c r="G119" s="47">
        <v>1.6500000000000001E-2</v>
      </c>
      <c r="H119" s="18">
        <f>TRUNC(H$118*$G119,2)</f>
        <v>100.16</v>
      </c>
      <c r="I119" s="103"/>
    </row>
    <row r="120" spans="2:9" x14ac:dyDescent="0.2">
      <c r="B120" s="12" t="s">
        <v>22</v>
      </c>
      <c r="C120" s="90" t="s">
        <v>19</v>
      </c>
      <c r="D120" s="209" t="s">
        <v>169</v>
      </c>
      <c r="E120" s="210"/>
      <c r="F120" s="211"/>
      <c r="G120" s="47">
        <v>7.5999999999999998E-2</v>
      </c>
      <c r="H120" s="18">
        <f>TRUNC(H$118*$G120,2)</f>
        <v>461.36</v>
      </c>
      <c r="I120" s="103"/>
    </row>
    <row r="121" spans="2:9" x14ac:dyDescent="0.2">
      <c r="B121" s="12" t="s">
        <v>23</v>
      </c>
      <c r="C121" s="90" t="s">
        <v>20</v>
      </c>
      <c r="D121" s="209" t="s">
        <v>169</v>
      </c>
      <c r="E121" s="210"/>
      <c r="F121" s="211"/>
      <c r="G121" s="47">
        <v>0.05</v>
      </c>
      <c r="H121" s="18">
        <f>TRUNC(H$118*$G121,2)</f>
        <v>303.52</v>
      </c>
      <c r="I121" s="103"/>
    </row>
    <row r="122" spans="2:9" x14ac:dyDescent="0.2">
      <c r="B122" s="12" t="s">
        <v>155</v>
      </c>
      <c r="C122" s="86" t="s">
        <v>61</v>
      </c>
      <c r="D122" s="249" t="s">
        <v>157</v>
      </c>
      <c r="E122" s="249"/>
      <c r="F122" s="249"/>
      <c r="G122" s="166"/>
      <c r="H122" s="15">
        <f>SUM(H116:H121)-H118</f>
        <v>1563.5999999999995</v>
      </c>
      <c r="I122" s="16"/>
    </row>
    <row r="123" spans="2:9" x14ac:dyDescent="0.2">
      <c r="B123" s="63"/>
      <c r="C123" s="63"/>
      <c r="D123" s="63"/>
      <c r="E123" s="63"/>
      <c r="F123" s="63"/>
      <c r="G123" s="63"/>
      <c r="H123" s="75"/>
      <c r="I123" s="25"/>
    </row>
    <row r="124" spans="2:9" x14ac:dyDescent="0.2">
      <c r="B124" s="250" t="s">
        <v>196</v>
      </c>
      <c r="C124" s="250"/>
      <c r="D124" s="250"/>
      <c r="E124" s="250"/>
      <c r="F124" s="250"/>
      <c r="G124" s="250"/>
      <c r="H124" s="250"/>
      <c r="I124" s="113"/>
    </row>
    <row r="125" spans="2:9" x14ac:dyDescent="0.2">
      <c r="B125" s="89"/>
      <c r="C125" s="89"/>
      <c r="D125" s="89"/>
      <c r="E125" s="89"/>
      <c r="F125" s="89"/>
      <c r="G125" s="89"/>
      <c r="H125" s="89"/>
      <c r="I125" s="113"/>
    </row>
    <row r="126" spans="2:9" x14ac:dyDescent="0.2">
      <c r="B126" s="206" t="s">
        <v>197</v>
      </c>
      <c r="C126" s="207"/>
      <c r="D126" s="207"/>
      <c r="E126" s="207"/>
      <c r="F126" s="207"/>
      <c r="G126" s="160"/>
      <c r="H126" s="143"/>
      <c r="I126" s="97"/>
    </row>
    <row r="127" spans="2:9" ht="12.75" customHeight="1" x14ac:dyDescent="0.2">
      <c r="B127" s="158"/>
      <c r="C127" s="251" t="s">
        <v>121</v>
      </c>
      <c r="D127" s="252"/>
      <c r="E127" s="252"/>
      <c r="F127" s="252"/>
      <c r="G127" s="159"/>
      <c r="H127" s="141" t="s">
        <v>49</v>
      </c>
      <c r="I127" s="97"/>
    </row>
    <row r="128" spans="2:9" x14ac:dyDescent="0.2">
      <c r="B128" s="12" t="s">
        <v>4</v>
      </c>
      <c r="C128" s="82" t="s">
        <v>79</v>
      </c>
      <c r="D128" s="168" t="s">
        <v>132</v>
      </c>
      <c r="E128" s="169"/>
      <c r="F128" s="169"/>
      <c r="G128" s="170"/>
      <c r="H128" s="18">
        <f>H32</f>
        <v>1609.84</v>
      </c>
      <c r="I128" s="103"/>
    </row>
    <row r="129" spans="2:9" ht="22.5" x14ac:dyDescent="0.2">
      <c r="B129" s="12" t="s">
        <v>5</v>
      </c>
      <c r="C129" s="82" t="s">
        <v>80</v>
      </c>
      <c r="D129" s="168" t="s">
        <v>146</v>
      </c>
      <c r="E129" s="169"/>
      <c r="F129" s="169"/>
      <c r="G129" s="170"/>
      <c r="H129" s="18">
        <f>H71</f>
        <v>1836.69</v>
      </c>
      <c r="I129" s="103"/>
    </row>
    <row r="130" spans="2:9" x14ac:dyDescent="0.2">
      <c r="B130" s="12" t="s">
        <v>6</v>
      </c>
      <c r="C130" s="82" t="s">
        <v>81</v>
      </c>
      <c r="D130" s="168" t="s">
        <v>150</v>
      </c>
      <c r="E130" s="169"/>
      <c r="F130" s="169"/>
      <c r="G130" s="170"/>
      <c r="H130" s="18">
        <f>H82</f>
        <v>362.71999999999997</v>
      </c>
      <c r="I130" s="103"/>
    </row>
    <row r="131" spans="2:9" ht="22.5" x14ac:dyDescent="0.2">
      <c r="B131" s="12" t="s">
        <v>7</v>
      </c>
      <c r="C131" s="82" t="s">
        <v>43</v>
      </c>
      <c r="D131" s="168" t="s">
        <v>153</v>
      </c>
      <c r="E131" s="169"/>
      <c r="F131" s="169"/>
      <c r="G131" s="170"/>
      <c r="H131" s="18">
        <f>H102</f>
        <v>402.06</v>
      </c>
      <c r="I131" s="103"/>
    </row>
    <row r="132" spans="2:9" x14ac:dyDescent="0.2">
      <c r="B132" s="12" t="s">
        <v>8</v>
      </c>
      <c r="C132" s="82" t="s">
        <v>82</v>
      </c>
      <c r="D132" s="168" t="s">
        <v>154</v>
      </c>
      <c r="E132" s="169"/>
      <c r="F132" s="169"/>
      <c r="G132" s="170"/>
      <c r="H132" s="18">
        <f>H111</f>
        <v>295.63</v>
      </c>
      <c r="I132" s="103"/>
    </row>
    <row r="133" spans="2:9" x14ac:dyDescent="0.2">
      <c r="B133" s="88" t="s">
        <v>9</v>
      </c>
      <c r="C133" s="81" t="s">
        <v>46</v>
      </c>
      <c r="D133" s="174" t="s">
        <v>173</v>
      </c>
      <c r="E133" s="175"/>
      <c r="F133" s="175"/>
      <c r="G133" s="176"/>
      <c r="H133" s="21">
        <f>SUM(H128:H132)</f>
        <v>4506.9399999999996</v>
      </c>
      <c r="I133" s="16"/>
    </row>
    <row r="134" spans="2:9" x14ac:dyDescent="0.2">
      <c r="B134" s="12" t="s">
        <v>10</v>
      </c>
      <c r="C134" s="90" t="s">
        <v>83</v>
      </c>
      <c r="D134" s="168" t="s">
        <v>155</v>
      </c>
      <c r="E134" s="169"/>
      <c r="F134" s="169"/>
      <c r="G134" s="170"/>
      <c r="H134" s="18">
        <f>H122</f>
        <v>1563.5999999999995</v>
      </c>
      <c r="I134" s="103"/>
    </row>
    <row r="135" spans="2:9" x14ac:dyDescent="0.2">
      <c r="B135" s="12" t="s">
        <v>158</v>
      </c>
      <c r="C135" s="85" t="s">
        <v>78</v>
      </c>
      <c r="D135" s="177" t="s">
        <v>172</v>
      </c>
      <c r="E135" s="165"/>
      <c r="F135" s="165"/>
      <c r="G135" s="166"/>
      <c r="H135" s="27">
        <f>SUM(H133:H134)</f>
        <v>6070.5399999999991</v>
      </c>
      <c r="I135" s="117"/>
    </row>
    <row r="136" spans="2:9" ht="12.75" customHeight="1" x14ac:dyDescent="0.2">
      <c r="B136" s="10"/>
      <c r="C136" s="10"/>
      <c r="D136" s="10"/>
      <c r="E136" s="10"/>
      <c r="F136" s="10"/>
      <c r="G136" s="10"/>
      <c r="H136" s="28"/>
      <c r="I136" s="28"/>
    </row>
    <row r="137" spans="2:9" x14ac:dyDescent="0.2">
      <c r="B137" s="250" t="s">
        <v>198</v>
      </c>
      <c r="C137" s="250"/>
      <c r="D137" s="250"/>
      <c r="E137" s="250"/>
      <c r="F137" s="250"/>
      <c r="I137" s="10"/>
    </row>
    <row r="138" spans="2:9" x14ac:dyDescent="0.2">
      <c r="B138" s="76"/>
      <c r="C138" s="76"/>
      <c r="D138" s="76"/>
      <c r="E138" s="70"/>
      <c r="F138" s="70"/>
      <c r="I138" s="10"/>
    </row>
    <row r="139" spans="2:9" x14ac:dyDescent="0.2">
      <c r="B139" s="261" t="s">
        <v>199</v>
      </c>
      <c r="C139" s="262"/>
      <c r="D139" s="262"/>
      <c r="E139" s="262"/>
      <c r="F139" s="262"/>
      <c r="G139" s="160"/>
      <c r="H139" s="143"/>
      <c r="I139" s="114"/>
    </row>
    <row r="140" spans="2:9" x14ac:dyDescent="0.2">
      <c r="B140" s="130" t="s">
        <v>4</v>
      </c>
      <c r="C140" s="161" t="s">
        <v>107</v>
      </c>
      <c r="D140" s="263" t="s">
        <v>158</v>
      </c>
      <c r="E140" s="264"/>
      <c r="F140" s="264"/>
      <c r="G140" s="162"/>
      <c r="H140" s="163">
        <f>H135</f>
        <v>6070.5399999999991</v>
      </c>
      <c r="I140" s="112"/>
    </row>
    <row r="141" spans="2:9" ht="22.5" x14ac:dyDescent="0.2">
      <c r="B141" s="12" t="s">
        <v>5</v>
      </c>
      <c r="C141" s="83" t="s">
        <v>160</v>
      </c>
      <c r="D141" s="265" t="s">
        <v>161</v>
      </c>
      <c r="E141" s="266"/>
      <c r="F141" s="266"/>
      <c r="G141" s="156"/>
      <c r="H141" s="7">
        <f>H43+H82+H100</f>
        <v>1077.8</v>
      </c>
      <c r="I141" s="107"/>
    </row>
    <row r="142" spans="2:9" ht="22.5" x14ac:dyDescent="0.2">
      <c r="B142" s="12" t="s">
        <v>6</v>
      </c>
      <c r="C142" s="83" t="s">
        <v>177</v>
      </c>
      <c r="D142" s="265" t="s">
        <v>185</v>
      </c>
      <c r="E142" s="266"/>
      <c r="F142" s="266"/>
      <c r="G142" s="157"/>
      <c r="H142" s="111">
        <f>TRUNC((H$43*$G56),2)</f>
        <v>115.19</v>
      </c>
      <c r="I142" s="112"/>
    </row>
    <row r="143" spans="2:9" ht="12.75" customHeight="1" x14ac:dyDescent="0.2">
      <c r="B143" s="12" t="s">
        <v>7</v>
      </c>
      <c r="C143" s="83" t="s">
        <v>16</v>
      </c>
      <c r="D143" s="253" t="s">
        <v>170</v>
      </c>
      <c r="E143" s="254"/>
      <c r="F143" s="255"/>
      <c r="G143" s="8">
        <f>G116</f>
        <v>0.05</v>
      </c>
      <c r="H143" s="7">
        <f>TRUNC((H$141+H$142)*$G143,2)</f>
        <v>59.64</v>
      </c>
      <c r="I143" s="107"/>
    </row>
    <row r="144" spans="2:9" ht="12.75" customHeight="1" x14ac:dyDescent="0.2">
      <c r="B144" s="12" t="s">
        <v>8</v>
      </c>
      <c r="C144" s="83" t="s">
        <v>3</v>
      </c>
      <c r="D144" s="253" t="s">
        <v>171</v>
      </c>
      <c r="E144" s="254"/>
      <c r="F144" s="255"/>
      <c r="G144" s="8">
        <f>G117</f>
        <v>0.1</v>
      </c>
      <c r="H144" s="7">
        <f>TRUNC((H$141+H$142+H$143)*$G144,2)</f>
        <v>125.26</v>
      </c>
      <c r="I144" s="107"/>
    </row>
    <row r="145" spans="2:9" ht="12.75" customHeight="1" x14ac:dyDescent="0.2">
      <c r="B145" s="12" t="s">
        <v>9</v>
      </c>
      <c r="C145" s="83" t="s">
        <v>108</v>
      </c>
      <c r="D145" s="253" t="s">
        <v>179</v>
      </c>
      <c r="E145" s="254"/>
      <c r="F145" s="255"/>
      <c r="G145" s="8">
        <f>G119+G120+G121</f>
        <v>0.14250000000000002</v>
      </c>
      <c r="H145" s="7">
        <f>TRUNC((H$141+H$142+H$143+H$144)/(1-$G145)-(H$141+H$142+H$143+H$144),2)</f>
        <v>228.97</v>
      </c>
      <c r="I145" s="107"/>
    </row>
    <row r="146" spans="2:9" ht="22.5" x14ac:dyDescent="0.2">
      <c r="B146" s="12" t="s">
        <v>10</v>
      </c>
      <c r="C146" s="131" t="s">
        <v>109</v>
      </c>
      <c r="D146" s="154" t="s">
        <v>180</v>
      </c>
      <c r="E146" s="155"/>
      <c r="F146" s="155"/>
      <c r="G146" s="156"/>
      <c r="H146" s="132">
        <f>SUM(H141:H145)</f>
        <v>1606.8600000000001</v>
      </c>
      <c r="I146" s="108"/>
    </row>
    <row r="147" spans="2:9" x14ac:dyDescent="0.2">
      <c r="B147" s="12" t="s">
        <v>159</v>
      </c>
      <c r="C147" s="87" t="s">
        <v>129</v>
      </c>
      <c r="D147" s="256" t="s">
        <v>178</v>
      </c>
      <c r="E147" s="257"/>
      <c r="F147" s="257"/>
      <c r="G147" s="164"/>
      <c r="H147" s="29">
        <f>H140-H146</f>
        <v>4463.6799999999985</v>
      </c>
      <c r="I147" s="118"/>
    </row>
    <row r="148" spans="2:9" ht="45" customHeight="1" x14ac:dyDescent="0.2">
      <c r="B148" s="258" t="s">
        <v>128</v>
      </c>
      <c r="C148" s="259"/>
      <c r="D148" s="259"/>
      <c r="E148" s="259"/>
      <c r="F148" s="259"/>
      <c r="G148" s="260"/>
      <c r="H148" s="140"/>
      <c r="I148" s="109"/>
    </row>
  </sheetData>
  <mergeCells count="106"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9">
    <dataValidation type="list" allowBlank="1" showInputMessage="1" showErrorMessage="1" sqref="G26" xr:uid="{CFF48C01-6465-498D-B97B-13EDF5D20F69}">
      <formula1>"0%, 30%"</formula1>
    </dataValidation>
    <dataValidation type="list" allowBlank="1" showInputMessage="1" showErrorMessage="1" sqref="G27" xr:uid="{BD50807D-3D27-4A8A-8C97-08720186F412}">
      <formula1>"0%, 10%, 20%, 40%"</formula1>
    </dataValidation>
    <dataValidation type="list" allowBlank="1" showInputMessage="1" showErrorMessage="1" sqref="E50" xr:uid="{5DE6AF4B-A08B-4ACB-B6E2-BC2A8E873621}">
      <formula1>"1%, 2%, 3%"</formula1>
    </dataValidation>
    <dataValidation type="list" allowBlank="1" showInputMessage="1" showErrorMessage="1" sqref="G28:G29" xr:uid="{AE0E28BE-AAC4-4574-A2CC-F40BBE1F941C}">
      <formula1>"0, 20%"</formula1>
    </dataValidation>
    <dataValidation type="list" allowBlank="1" showInputMessage="1" showErrorMessage="1" sqref="G30" xr:uid="{D2EC17F8-D175-402F-B00A-459F0B5ACDFF}">
      <formula1>"0, 50%, 100%"</formula1>
    </dataValidation>
    <dataValidation type="whole" allowBlank="1" showInputMessage="1" showErrorMessage="1" errorTitle="Valor errado" error="Quantidade fixa de dias. Prencher com 30" sqref="G88" xr:uid="{D3B9F7CA-C1D2-4558-B989-3F9967C98228}">
      <formula1>30</formula1>
      <formula2>30</formula2>
    </dataValidation>
    <dataValidation type="list" operator="equal" allowBlank="1" showInputMessage="1" showErrorMessage="1" errorTitle="Valor errado" error="Percentual fixo. Preencher com 40%." sqref="F78 F80" xr:uid="{3C7C7616-38CE-4F10-8E56-44CA14E103F5}">
      <formula1>"40%"</formula1>
    </dataValidation>
    <dataValidation type="custom" allowBlank="1" showInputMessage="1" showErrorMessage="1" sqref="G118" xr:uid="{24532453-FBAB-4D3D-A568-36A83CBF36BE}">
      <formula1>1-(G119+G120+G121)</formula1>
    </dataValidation>
    <dataValidation type="list" allowBlank="1" showInputMessage="1" showErrorMessage="1" sqref="G81" xr:uid="{1A3C498C-330B-4443-87F8-D804F043F926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  <rowBreaks count="1" manualBreakCount="1">
    <brk id="72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I148"/>
  <sheetViews>
    <sheetView showGridLines="0" view="pageBreakPreview" topLeftCell="A110" zoomScaleNormal="100" zoomScaleSheetLayoutView="100" workbookViewId="0">
      <selection activeCell="G119" sqref="G119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 customWidth="1"/>
    <col min="8" max="9" width="15.28515625" style="59" customWidth="1"/>
    <col min="10" max="16384" width="9.140625" style="59"/>
  </cols>
  <sheetData>
    <row r="1" spans="2:9" x14ac:dyDescent="0.2">
      <c r="C1" s="110"/>
      <c r="D1" s="10"/>
      <c r="E1" s="10"/>
      <c r="F1" s="10"/>
      <c r="G1" s="10"/>
      <c r="H1" s="10"/>
      <c r="I1" s="10"/>
    </row>
    <row r="2" spans="2:9" x14ac:dyDescent="0.2">
      <c r="B2" s="200" t="s">
        <v>50</v>
      </c>
      <c r="C2" s="200"/>
      <c r="D2" s="200"/>
      <c r="E2" s="200"/>
      <c r="F2" s="200"/>
      <c r="G2" s="200"/>
      <c r="H2" s="200"/>
      <c r="I2" s="96"/>
    </row>
    <row r="3" spans="2:9" x14ac:dyDescent="0.2">
      <c r="B3" s="201"/>
      <c r="C3" s="201"/>
      <c r="D3" s="201"/>
      <c r="E3" s="201"/>
      <c r="F3" s="201"/>
      <c r="G3" s="201"/>
      <c r="H3" s="201"/>
      <c r="I3" s="98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8" t="s">
        <v>130</v>
      </c>
      <c r="C6" s="138"/>
      <c r="D6" s="202" t="s">
        <v>203</v>
      </c>
      <c r="E6" s="203"/>
      <c r="F6" s="204"/>
      <c r="I6" s="11"/>
    </row>
    <row r="7" spans="2:9" x14ac:dyDescent="0.2">
      <c r="B7" s="61"/>
      <c r="C7" s="61"/>
      <c r="D7" s="61"/>
      <c r="E7" s="61"/>
      <c r="F7" s="61"/>
      <c r="G7" s="61"/>
      <c r="H7" s="61"/>
      <c r="I7" s="10"/>
    </row>
    <row r="8" spans="2:9" x14ac:dyDescent="0.2">
      <c r="B8" s="205" t="s">
        <v>51</v>
      </c>
      <c r="C8" s="205"/>
      <c r="D8" s="205"/>
      <c r="E8" s="205"/>
      <c r="F8" s="205"/>
      <c r="G8" s="139"/>
      <c r="H8" s="139"/>
      <c r="I8" s="60"/>
    </row>
    <row r="9" spans="2:9" x14ac:dyDescent="0.2">
      <c r="B9" s="196">
        <v>1</v>
      </c>
      <c r="C9" s="197" t="s">
        <v>52</v>
      </c>
      <c r="D9" s="197"/>
      <c r="E9" s="197"/>
      <c r="F9" s="197"/>
      <c r="G9" s="139"/>
      <c r="H9" s="139"/>
      <c r="I9" s="60"/>
    </row>
    <row r="10" spans="2:9" x14ac:dyDescent="0.2">
      <c r="B10" s="196"/>
      <c r="C10" s="198"/>
      <c r="D10" s="198"/>
      <c r="E10" s="198"/>
      <c r="F10" s="198"/>
      <c r="G10" s="139"/>
      <c r="H10" s="139"/>
      <c r="I10" s="60"/>
    </row>
    <row r="11" spans="2:9" x14ac:dyDescent="0.2">
      <c r="B11" s="196">
        <v>2</v>
      </c>
      <c r="C11" s="197" t="s">
        <v>55</v>
      </c>
      <c r="D11" s="197"/>
      <c r="E11" s="197"/>
      <c r="F11" s="197"/>
      <c r="G11" s="139"/>
      <c r="H11" s="139"/>
      <c r="I11" s="60"/>
    </row>
    <row r="12" spans="2:9" x14ac:dyDescent="0.2">
      <c r="B12" s="196"/>
      <c r="C12" s="198"/>
      <c r="D12" s="198"/>
      <c r="E12" s="198"/>
      <c r="F12" s="198"/>
      <c r="G12" s="139"/>
      <c r="H12" s="139"/>
      <c r="I12" s="60"/>
    </row>
    <row r="13" spans="2:9" x14ac:dyDescent="0.2">
      <c r="B13" s="196">
        <v>3</v>
      </c>
      <c r="C13" s="197" t="s">
        <v>56</v>
      </c>
      <c r="D13" s="197"/>
      <c r="E13" s="197"/>
      <c r="F13" s="197"/>
      <c r="G13" s="139"/>
      <c r="H13" s="139"/>
      <c r="I13" s="60"/>
    </row>
    <row r="14" spans="2:9" x14ac:dyDescent="0.2">
      <c r="B14" s="196"/>
      <c r="C14" s="199"/>
      <c r="D14" s="199"/>
      <c r="E14" s="199"/>
      <c r="F14" s="199"/>
      <c r="G14" s="139"/>
      <c r="H14" s="139"/>
      <c r="I14" s="60"/>
    </row>
    <row r="15" spans="2:9" x14ac:dyDescent="0.2">
      <c r="B15" s="196">
        <v>4</v>
      </c>
      <c r="C15" s="197" t="s">
        <v>57</v>
      </c>
      <c r="D15" s="197"/>
      <c r="E15" s="197"/>
      <c r="F15" s="197"/>
      <c r="G15" s="139"/>
      <c r="H15" s="139"/>
      <c r="I15" s="60"/>
    </row>
    <row r="16" spans="2:9" x14ac:dyDescent="0.2">
      <c r="B16" s="196"/>
      <c r="C16" s="198"/>
      <c r="D16" s="198"/>
      <c r="E16" s="198"/>
      <c r="F16" s="198"/>
      <c r="G16" s="139"/>
      <c r="H16" s="139"/>
      <c r="I16" s="60"/>
    </row>
    <row r="17" spans="2:9" x14ac:dyDescent="0.2">
      <c r="B17" s="196">
        <v>5</v>
      </c>
      <c r="C17" s="197" t="s">
        <v>58</v>
      </c>
      <c r="D17" s="197"/>
      <c r="E17" s="197"/>
      <c r="F17" s="197"/>
      <c r="G17" s="139"/>
      <c r="H17" s="139"/>
      <c r="I17" s="60"/>
    </row>
    <row r="18" spans="2:9" x14ac:dyDescent="0.2">
      <c r="B18" s="196"/>
      <c r="C18" s="198"/>
      <c r="D18" s="198"/>
      <c r="E18" s="198"/>
      <c r="F18" s="198"/>
      <c r="G18" s="139"/>
      <c r="H18" s="139"/>
      <c r="I18" s="60"/>
    </row>
    <row r="19" spans="2:9" x14ac:dyDescent="0.2">
      <c r="B19" s="196">
        <v>6</v>
      </c>
      <c r="C19" s="197" t="s">
        <v>59</v>
      </c>
      <c r="D19" s="197"/>
      <c r="E19" s="197"/>
      <c r="F19" s="197"/>
      <c r="G19" s="139"/>
      <c r="H19" s="139"/>
      <c r="I19" s="60"/>
    </row>
    <row r="20" spans="2:9" x14ac:dyDescent="0.2">
      <c r="B20" s="196"/>
      <c r="C20" s="198"/>
      <c r="D20" s="198"/>
      <c r="E20" s="198"/>
      <c r="F20" s="198"/>
      <c r="G20" s="139"/>
      <c r="H20" s="139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  <c r="H22" s="144" t="s">
        <v>200</v>
      </c>
    </row>
    <row r="23" spans="2:9" x14ac:dyDescent="0.2">
      <c r="B23" s="206" t="s">
        <v>66</v>
      </c>
      <c r="C23" s="207"/>
      <c r="D23" s="207"/>
      <c r="E23" s="207"/>
      <c r="F23" s="207"/>
      <c r="G23" s="142"/>
      <c r="H23" s="143"/>
      <c r="I23" s="97"/>
    </row>
    <row r="24" spans="2:9" x14ac:dyDescent="0.2">
      <c r="B24" s="92">
        <v>1</v>
      </c>
      <c r="C24" s="191" t="s">
        <v>60</v>
      </c>
      <c r="D24" s="208"/>
      <c r="E24" s="208"/>
      <c r="F24" s="192"/>
      <c r="G24" s="141" t="s">
        <v>1</v>
      </c>
      <c r="H24" s="141" t="s">
        <v>49</v>
      </c>
      <c r="I24" s="97"/>
    </row>
    <row r="25" spans="2:9" ht="12.75" customHeight="1" x14ac:dyDescent="0.2">
      <c r="B25" s="12" t="s">
        <v>4</v>
      </c>
      <c r="C25" s="90" t="s">
        <v>17</v>
      </c>
      <c r="D25" s="209"/>
      <c r="E25" s="210"/>
      <c r="F25" s="211"/>
      <c r="G25" s="13"/>
      <c r="H25" s="30">
        <v>1516</v>
      </c>
      <c r="I25" s="103"/>
    </row>
    <row r="26" spans="2:9" x14ac:dyDescent="0.2">
      <c r="B26" s="12" t="s">
        <v>5</v>
      </c>
      <c r="C26" s="90" t="s">
        <v>24</v>
      </c>
      <c r="D26" s="209" t="s">
        <v>131</v>
      </c>
      <c r="E26" s="210"/>
      <c r="F26" s="211"/>
      <c r="G26" s="31"/>
      <c r="H26" s="14">
        <f>TRUNC(H$25*$G26,2)</f>
        <v>0</v>
      </c>
      <c r="I26" s="99"/>
    </row>
    <row r="27" spans="2:9" x14ac:dyDescent="0.2">
      <c r="B27" s="12" t="s">
        <v>6</v>
      </c>
      <c r="C27" s="91" t="s">
        <v>25</v>
      </c>
      <c r="D27" s="209" t="s">
        <v>174</v>
      </c>
      <c r="E27" s="210"/>
      <c r="F27" s="211"/>
      <c r="G27" s="31"/>
      <c r="H27" s="14">
        <f>TRUNC(H$25*$G27,2)</f>
        <v>0</v>
      </c>
      <c r="I27" s="99"/>
    </row>
    <row r="28" spans="2:9" x14ac:dyDescent="0.2">
      <c r="B28" s="12" t="s">
        <v>7</v>
      </c>
      <c r="C28" s="91" t="s">
        <v>0</v>
      </c>
      <c r="D28" s="209" t="s">
        <v>182</v>
      </c>
      <c r="E28" s="210"/>
      <c r="F28" s="211"/>
      <c r="G28" s="32"/>
      <c r="H28" s="68">
        <f>TRUNC(((H$25+H26)*$G28)/220*8*15,2)</f>
        <v>0</v>
      </c>
      <c r="I28" s="100"/>
    </row>
    <row r="29" spans="2:9" x14ac:dyDescent="0.2">
      <c r="B29" s="120" t="s">
        <v>8</v>
      </c>
      <c r="C29" s="121" t="s">
        <v>26</v>
      </c>
      <c r="D29" s="219" t="s">
        <v>182</v>
      </c>
      <c r="E29" s="220"/>
      <c r="F29" s="221"/>
      <c r="G29" s="122"/>
      <c r="H29" s="123">
        <f>TRUNC(((H25+H26)*$G29)/220*1*15,2)</f>
        <v>0</v>
      </c>
      <c r="I29" s="124" t="s">
        <v>187</v>
      </c>
    </row>
    <row r="30" spans="2:9" x14ac:dyDescent="0.2">
      <c r="B30" s="125" t="s">
        <v>9</v>
      </c>
      <c r="C30" s="121" t="s">
        <v>110</v>
      </c>
      <c r="D30" s="219" t="s">
        <v>183</v>
      </c>
      <c r="E30" s="220"/>
      <c r="F30" s="221"/>
      <c r="G30" s="126"/>
      <c r="H30" s="123">
        <f>TRUNC($G$34*H34*(1+$G$30),2)</f>
        <v>0</v>
      </c>
      <c r="I30" s="124" t="s">
        <v>187</v>
      </c>
    </row>
    <row r="31" spans="2:9" x14ac:dyDescent="0.2">
      <c r="B31" s="12" t="s">
        <v>10</v>
      </c>
      <c r="C31" s="91" t="s">
        <v>2</v>
      </c>
      <c r="D31" s="209"/>
      <c r="E31" s="210"/>
      <c r="F31" s="211"/>
      <c r="G31" s="32"/>
      <c r="H31" s="49"/>
      <c r="I31" s="101"/>
    </row>
    <row r="32" spans="2:9" x14ac:dyDescent="0.2">
      <c r="B32" s="12" t="s">
        <v>132</v>
      </c>
      <c r="C32" s="191" t="s">
        <v>61</v>
      </c>
      <c r="D32" s="208"/>
      <c r="E32" s="208"/>
      <c r="F32" s="192"/>
      <c r="G32" s="26"/>
      <c r="H32" s="15">
        <f>SUM(H25:H31)</f>
        <v>1516</v>
      </c>
      <c r="I32" s="16"/>
    </row>
    <row r="33" spans="2:9" ht="22.5" x14ac:dyDescent="0.2">
      <c r="B33" s="96"/>
      <c r="C33" s="212" t="s">
        <v>122</v>
      </c>
      <c r="D33" s="212"/>
      <c r="E33" s="212"/>
      <c r="F33" s="212"/>
      <c r="G33" s="52" t="s">
        <v>111</v>
      </c>
      <c r="H33" s="51" t="s">
        <v>124</v>
      </c>
      <c r="I33" s="4"/>
    </row>
    <row r="34" spans="2:9" x14ac:dyDescent="0.2">
      <c r="B34" s="96"/>
      <c r="C34" s="212"/>
      <c r="D34" s="212"/>
      <c r="E34" s="212"/>
      <c r="F34" s="212"/>
      <c r="G34" s="50"/>
      <c r="H34" s="33">
        <f>IF($G$34="",0,TRUNC((H25+H26+H27)/220,2))</f>
        <v>0</v>
      </c>
      <c r="I34" s="102"/>
    </row>
    <row r="35" spans="2:9" x14ac:dyDescent="0.2">
      <c r="B35" s="96"/>
      <c r="C35" s="96"/>
      <c r="D35" s="96"/>
      <c r="E35" s="96"/>
      <c r="F35" s="96"/>
      <c r="G35" s="96"/>
      <c r="H35" s="69"/>
      <c r="I35" s="16"/>
    </row>
    <row r="36" spans="2:9" x14ac:dyDescent="0.2">
      <c r="B36" s="96"/>
      <c r="C36" s="96"/>
      <c r="D36" s="96"/>
      <c r="E36" s="96"/>
      <c r="F36" s="96"/>
      <c r="G36" s="96"/>
      <c r="H36" s="69"/>
      <c r="I36" s="16"/>
    </row>
    <row r="37" spans="2:9" ht="12.75" customHeight="1" x14ac:dyDescent="0.2">
      <c r="B37" s="206" t="s">
        <v>67</v>
      </c>
      <c r="C37" s="207"/>
      <c r="D37" s="207"/>
      <c r="E37" s="207"/>
      <c r="F37" s="207"/>
      <c r="G37" s="142"/>
      <c r="H37" s="143"/>
      <c r="I37" s="97"/>
    </row>
    <row r="38" spans="2:9" x14ac:dyDescent="0.2">
      <c r="B38" s="213"/>
      <c r="C38" s="214"/>
      <c r="D38" s="214"/>
      <c r="E38" s="214"/>
      <c r="F38" s="214"/>
      <c r="G38" s="58"/>
      <c r="H38" s="58"/>
      <c r="I38" s="97"/>
    </row>
    <row r="39" spans="2:9" x14ac:dyDescent="0.2">
      <c r="B39" s="215" t="s">
        <v>36</v>
      </c>
      <c r="C39" s="215"/>
      <c r="D39" s="215"/>
      <c r="E39" s="215"/>
      <c r="F39" s="215"/>
      <c r="G39" s="58"/>
      <c r="H39" s="58"/>
      <c r="I39" s="97"/>
    </row>
    <row r="40" spans="2:9" x14ac:dyDescent="0.2">
      <c r="B40" s="141" t="s">
        <v>38</v>
      </c>
      <c r="C40" s="216" t="s">
        <v>27</v>
      </c>
      <c r="D40" s="217"/>
      <c r="E40" s="217"/>
      <c r="F40" s="218"/>
      <c r="G40" s="92" t="s">
        <v>1</v>
      </c>
      <c r="H40" s="92" t="s">
        <v>49</v>
      </c>
      <c r="I40" s="97"/>
    </row>
    <row r="41" spans="2:9" x14ac:dyDescent="0.2">
      <c r="B41" s="12" t="s">
        <v>4</v>
      </c>
      <c r="C41" s="90" t="s">
        <v>113</v>
      </c>
      <c r="D41" s="209" t="s">
        <v>133</v>
      </c>
      <c r="E41" s="210"/>
      <c r="F41" s="211"/>
      <c r="G41" s="147">
        <f>1/12</f>
        <v>8.3333333333333329E-2</v>
      </c>
      <c r="H41" s="148">
        <f>TRUNC((H$32*$G41),2)</f>
        <v>126.33</v>
      </c>
      <c r="I41" s="103"/>
    </row>
    <row r="42" spans="2:9" x14ac:dyDescent="0.2">
      <c r="B42" s="12" t="s">
        <v>5</v>
      </c>
      <c r="C42" s="90" t="s">
        <v>65</v>
      </c>
      <c r="D42" s="209" t="s">
        <v>135</v>
      </c>
      <c r="E42" s="210"/>
      <c r="F42" s="211"/>
      <c r="G42" s="17">
        <f>(1/12)+(1/3/12)</f>
        <v>0.1111111111111111</v>
      </c>
      <c r="H42" s="18">
        <f>TRUNC((H$32*$G42),2)</f>
        <v>168.44</v>
      </c>
      <c r="I42" s="103"/>
    </row>
    <row r="43" spans="2:9" x14ac:dyDescent="0.2">
      <c r="B43" s="12" t="s">
        <v>134</v>
      </c>
      <c r="C43" s="191" t="s">
        <v>61</v>
      </c>
      <c r="D43" s="208"/>
      <c r="E43" s="208"/>
      <c r="F43" s="192"/>
      <c r="G43" s="19">
        <f>TRUNC(SUM(G41:G42),4)</f>
        <v>0.19439999999999999</v>
      </c>
      <c r="H43" s="15">
        <f>SUM(H41:H42)</f>
        <v>294.77</v>
      </c>
      <c r="I43" s="16"/>
    </row>
    <row r="44" spans="2:9" x14ac:dyDescent="0.2">
      <c r="B44" s="229"/>
      <c r="C44" s="230"/>
      <c r="D44" s="230"/>
      <c r="E44" s="230"/>
      <c r="F44" s="230"/>
      <c r="G44" s="230"/>
      <c r="H44" s="231"/>
      <c r="I44" s="96"/>
    </row>
    <row r="45" spans="2:9" ht="30" customHeight="1" x14ac:dyDescent="0.2">
      <c r="B45" s="232" t="s">
        <v>68</v>
      </c>
      <c r="C45" s="233"/>
      <c r="D45" s="233"/>
      <c r="E45" s="233"/>
      <c r="F45" s="234"/>
      <c r="G45" s="145"/>
      <c r="H45" s="146"/>
      <c r="I45" s="104"/>
    </row>
    <row r="46" spans="2:9" x14ac:dyDescent="0.2">
      <c r="B46" s="92" t="s">
        <v>39</v>
      </c>
      <c r="C46" s="191" t="s">
        <v>69</v>
      </c>
      <c r="D46" s="208"/>
      <c r="E46" s="208"/>
      <c r="F46" s="192"/>
      <c r="G46" s="92" t="s">
        <v>1</v>
      </c>
      <c r="H46" s="92" t="s">
        <v>49</v>
      </c>
      <c r="I46" s="97"/>
    </row>
    <row r="47" spans="2:9" x14ac:dyDescent="0.2">
      <c r="B47" s="12" t="s">
        <v>4</v>
      </c>
      <c r="C47" s="90" t="s">
        <v>30</v>
      </c>
      <c r="D47" s="209" t="s">
        <v>136</v>
      </c>
      <c r="E47" s="210"/>
      <c r="F47" s="211"/>
      <c r="G47" s="17">
        <v>0.2</v>
      </c>
      <c r="H47" s="18">
        <f>TRUNC((H$32+H$43)*$G47,2)</f>
        <v>362.15</v>
      </c>
      <c r="I47" s="103"/>
    </row>
    <row r="48" spans="2:9" x14ac:dyDescent="0.2">
      <c r="B48" s="12" t="s">
        <v>5</v>
      </c>
      <c r="C48" s="78" t="s">
        <v>31</v>
      </c>
      <c r="D48" s="209" t="s">
        <v>137</v>
      </c>
      <c r="E48" s="210"/>
      <c r="F48" s="211"/>
      <c r="G48" s="17">
        <v>2.5000000000000001E-2</v>
      </c>
      <c r="H48" s="18">
        <f>TRUNC((H$32+H$43)*$G48,2)</f>
        <v>45.26</v>
      </c>
      <c r="I48" s="103"/>
    </row>
    <row r="49" spans="2:9" x14ac:dyDescent="0.2">
      <c r="B49" s="222" t="s">
        <v>6</v>
      </c>
      <c r="C49" s="224" t="s">
        <v>103</v>
      </c>
      <c r="D49" s="226" t="s">
        <v>143</v>
      </c>
      <c r="E49" s="6" t="s">
        <v>104</v>
      </c>
      <c r="F49" s="6" t="s">
        <v>102</v>
      </c>
      <c r="G49" s="227">
        <f>E50*F50</f>
        <v>0.03</v>
      </c>
      <c r="H49" s="238">
        <f>TRUNC((H$32+H$43)*$G49,2)</f>
        <v>54.32</v>
      </c>
      <c r="I49" s="106"/>
    </row>
    <row r="50" spans="2:9" x14ac:dyDescent="0.2">
      <c r="B50" s="223"/>
      <c r="C50" s="225"/>
      <c r="D50" s="226"/>
      <c r="E50" s="34">
        <v>0.03</v>
      </c>
      <c r="F50" s="35">
        <v>1</v>
      </c>
      <c r="G50" s="228"/>
      <c r="H50" s="238"/>
      <c r="I50" s="106"/>
    </row>
    <row r="51" spans="2:9" x14ac:dyDescent="0.2">
      <c r="B51" s="12" t="s">
        <v>7</v>
      </c>
      <c r="C51" s="90" t="s">
        <v>29</v>
      </c>
      <c r="D51" s="209" t="s">
        <v>138</v>
      </c>
      <c r="E51" s="210"/>
      <c r="F51" s="211"/>
      <c r="G51" s="17">
        <v>1.4999999999999999E-2</v>
      </c>
      <c r="H51" s="18">
        <f>TRUNC((H$32+H$43)*$G51,2)</f>
        <v>27.16</v>
      </c>
      <c r="I51" s="103"/>
    </row>
    <row r="52" spans="2:9" x14ac:dyDescent="0.2">
      <c r="B52" s="12" t="s">
        <v>8</v>
      </c>
      <c r="C52" s="90" t="s">
        <v>32</v>
      </c>
      <c r="D52" s="209" t="s">
        <v>139</v>
      </c>
      <c r="E52" s="210"/>
      <c r="F52" s="211"/>
      <c r="G52" s="17">
        <v>0.01</v>
      </c>
      <c r="H52" s="18">
        <f>TRUNC((H$32+H$43)*$G52,2)</f>
        <v>18.100000000000001</v>
      </c>
      <c r="I52" s="103"/>
    </row>
    <row r="53" spans="2:9" x14ac:dyDescent="0.2">
      <c r="B53" s="12" t="s">
        <v>9</v>
      </c>
      <c r="C53" s="90" t="s">
        <v>33</v>
      </c>
      <c r="D53" s="209" t="s">
        <v>140</v>
      </c>
      <c r="E53" s="210"/>
      <c r="F53" s="211"/>
      <c r="G53" s="17">
        <v>6.0000000000000001E-3</v>
      </c>
      <c r="H53" s="18">
        <f>TRUNC((H$32+H$43)*$G53,2)</f>
        <v>10.86</v>
      </c>
      <c r="I53" s="103"/>
    </row>
    <row r="54" spans="2:9" x14ac:dyDescent="0.2">
      <c r="B54" s="12" t="s">
        <v>10</v>
      </c>
      <c r="C54" s="90" t="s">
        <v>34</v>
      </c>
      <c r="D54" s="209" t="s">
        <v>141</v>
      </c>
      <c r="E54" s="210"/>
      <c r="F54" s="211"/>
      <c r="G54" s="17">
        <v>2E-3</v>
      </c>
      <c r="H54" s="18">
        <f>TRUNC((H$32+H$43)*$G54,2)</f>
        <v>3.62</v>
      </c>
      <c r="I54" s="103"/>
    </row>
    <row r="55" spans="2:9" x14ac:dyDescent="0.2">
      <c r="B55" s="12" t="s">
        <v>11</v>
      </c>
      <c r="C55" s="90" t="s">
        <v>35</v>
      </c>
      <c r="D55" s="209" t="s">
        <v>142</v>
      </c>
      <c r="E55" s="210"/>
      <c r="F55" s="211"/>
      <c r="G55" s="17">
        <v>0.08</v>
      </c>
      <c r="H55" s="18">
        <f>TRUNC((H$32+H$43)*$G55,2)</f>
        <v>144.86000000000001</v>
      </c>
      <c r="I55" s="103"/>
    </row>
    <row r="56" spans="2:9" x14ac:dyDescent="0.2">
      <c r="B56" s="12" t="s">
        <v>144</v>
      </c>
      <c r="C56" s="191" t="s">
        <v>61</v>
      </c>
      <c r="D56" s="208"/>
      <c r="E56" s="208"/>
      <c r="F56" s="192"/>
      <c r="G56" s="20">
        <f>SUM(G47:G55)</f>
        <v>0.36800000000000005</v>
      </c>
      <c r="H56" s="15">
        <f>SUM(H47:H55)</f>
        <v>666.33</v>
      </c>
      <c r="I56" s="16"/>
    </row>
    <row r="57" spans="2:9" x14ac:dyDescent="0.2">
      <c r="B57" s="235"/>
      <c r="C57" s="236"/>
      <c r="D57" s="236"/>
      <c r="E57" s="236"/>
      <c r="F57" s="236"/>
      <c r="G57" s="236"/>
      <c r="H57" s="237"/>
      <c r="I57" s="115"/>
    </row>
    <row r="58" spans="2:9" ht="12.75" customHeight="1" x14ac:dyDescent="0.2">
      <c r="B58" s="232" t="s">
        <v>37</v>
      </c>
      <c r="C58" s="233"/>
      <c r="D58" s="233"/>
      <c r="E58" s="233"/>
      <c r="F58" s="234"/>
      <c r="G58" s="145"/>
      <c r="H58" s="146"/>
      <c r="I58" s="115"/>
    </row>
    <row r="59" spans="2:9" x14ac:dyDescent="0.2">
      <c r="B59" s="92" t="s">
        <v>40</v>
      </c>
      <c r="C59" s="191" t="s">
        <v>41</v>
      </c>
      <c r="D59" s="208"/>
      <c r="E59" s="208"/>
      <c r="F59" s="208"/>
      <c r="G59" s="79"/>
      <c r="H59" s="92" t="s">
        <v>49</v>
      </c>
      <c r="I59" s="97"/>
    </row>
    <row r="60" spans="2:9" ht="12.75" customHeight="1" x14ac:dyDescent="0.2">
      <c r="B60" s="12" t="s">
        <v>4</v>
      </c>
      <c r="C60" s="90" t="s">
        <v>47</v>
      </c>
      <c r="D60" s="168" t="s">
        <v>147</v>
      </c>
      <c r="E60" s="169"/>
      <c r="F60" s="169"/>
      <c r="G60" s="170"/>
      <c r="H60" s="36">
        <f>TRUNC((8.55*2*22)-(H$25*6%),2)</f>
        <v>285.24</v>
      </c>
      <c r="I60" s="116"/>
    </row>
    <row r="61" spans="2:9" ht="12.75" customHeight="1" x14ac:dyDescent="0.2">
      <c r="B61" s="12" t="s">
        <v>5</v>
      </c>
      <c r="C61" s="90" t="s">
        <v>48</v>
      </c>
      <c r="D61" s="168" t="s">
        <v>148</v>
      </c>
      <c r="E61" s="169"/>
      <c r="F61" s="169"/>
      <c r="G61" s="170"/>
      <c r="H61" s="36">
        <f>22.5*23</f>
        <v>517.5</v>
      </c>
      <c r="I61" s="116"/>
    </row>
    <row r="62" spans="2:9" x14ac:dyDescent="0.2">
      <c r="B62" s="12" t="s">
        <v>6</v>
      </c>
      <c r="C62" s="90" t="s">
        <v>105</v>
      </c>
      <c r="D62" s="168"/>
      <c r="E62" s="169"/>
      <c r="F62" s="169"/>
      <c r="G62" s="170"/>
      <c r="H62" s="36">
        <v>0</v>
      </c>
      <c r="I62" s="116"/>
    </row>
    <row r="63" spans="2:9" s="70" customFormat="1" x14ac:dyDescent="0.2">
      <c r="B63" s="12" t="s">
        <v>7</v>
      </c>
      <c r="C63" s="90" t="s">
        <v>205</v>
      </c>
      <c r="D63" s="168"/>
      <c r="E63" s="169"/>
      <c r="F63" s="169"/>
      <c r="G63" s="170"/>
      <c r="H63" s="36">
        <v>19</v>
      </c>
      <c r="I63" s="116"/>
    </row>
    <row r="64" spans="2:9" x14ac:dyDescent="0.2">
      <c r="B64" s="12" t="s">
        <v>145</v>
      </c>
      <c r="C64" s="191" t="s">
        <v>61</v>
      </c>
      <c r="D64" s="208"/>
      <c r="E64" s="208"/>
      <c r="F64" s="208"/>
      <c r="G64" s="79"/>
      <c r="H64" s="15">
        <f>SUM(H60:H63)</f>
        <v>821.74</v>
      </c>
      <c r="I64" s="16"/>
    </row>
    <row r="65" spans="2:9" x14ac:dyDescent="0.2">
      <c r="B65" s="229"/>
      <c r="C65" s="230"/>
      <c r="D65" s="230"/>
      <c r="E65" s="230"/>
      <c r="F65" s="230"/>
      <c r="G65" s="230"/>
      <c r="H65" s="231"/>
      <c r="I65" s="96"/>
    </row>
    <row r="66" spans="2:9" x14ac:dyDescent="0.2">
      <c r="B66" s="244" t="s">
        <v>71</v>
      </c>
      <c r="C66" s="245"/>
      <c r="D66" s="245"/>
      <c r="E66" s="245"/>
      <c r="F66" s="245"/>
      <c r="G66" s="149"/>
      <c r="H66" s="149"/>
      <c r="I66" s="96"/>
    </row>
    <row r="67" spans="2:9" x14ac:dyDescent="0.2">
      <c r="B67" s="92">
        <v>2</v>
      </c>
      <c r="C67" s="191" t="s">
        <v>70</v>
      </c>
      <c r="D67" s="208"/>
      <c r="E67" s="208"/>
      <c r="F67" s="208"/>
      <c r="G67" s="79"/>
      <c r="H67" s="92" t="s">
        <v>49</v>
      </c>
      <c r="I67" s="97"/>
    </row>
    <row r="68" spans="2:9" x14ac:dyDescent="0.2">
      <c r="B68" s="12" t="s">
        <v>38</v>
      </c>
      <c r="C68" s="80" t="s">
        <v>27</v>
      </c>
      <c r="D68" s="168" t="s">
        <v>134</v>
      </c>
      <c r="E68" s="169"/>
      <c r="F68" s="169"/>
      <c r="G68" s="170"/>
      <c r="H68" s="18">
        <f>H43</f>
        <v>294.77</v>
      </c>
      <c r="I68" s="103"/>
    </row>
    <row r="69" spans="2:9" x14ac:dyDescent="0.2">
      <c r="B69" s="12" t="s">
        <v>39</v>
      </c>
      <c r="C69" s="80" t="s">
        <v>28</v>
      </c>
      <c r="D69" s="168" t="s">
        <v>144</v>
      </c>
      <c r="E69" s="169"/>
      <c r="F69" s="169"/>
      <c r="G69" s="170"/>
      <c r="H69" s="18">
        <f>H56</f>
        <v>666.33</v>
      </c>
      <c r="I69" s="103"/>
    </row>
    <row r="70" spans="2:9" x14ac:dyDescent="0.2">
      <c r="B70" s="12" t="s">
        <v>40</v>
      </c>
      <c r="C70" s="80" t="s">
        <v>41</v>
      </c>
      <c r="D70" s="168" t="s">
        <v>145</v>
      </c>
      <c r="E70" s="169"/>
      <c r="F70" s="169"/>
      <c r="G70" s="170"/>
      <c r="H70" s="18">
        <f>H64</f>
        <v>821.74</v>
      </c>
      <c r="I70" s="103"/>
    </row>
    <row r="71" spans="2:9" x14ac:dyDescent="0.2">
      <c r="B71" s="12" t="s">
        <v>146</v>
      </c>
      <c r="C71" s="191" t="s">
        <v>61</v>
      </c>
      <c r="D71" s="208"/>
      <c r="E71" s="208"/>
      <c r="F71" s="208"/>
      <c r="G71" s="79"/>
      <c r="H71" s="15">
        <f>SUM(H68:H70)</f>
        <v>1782.8400000000001</v>
      </c>
      <c r="I71" s="16"/>
    </row>
    <row r="72" spans="2:9" x14ac:dyDescent="0.2">
      <c r="B72" s="230"/>
      <c r="C72" s="230"/>
      <c r="D72" s="230"/>
      <c r="E72" s="230"/>
      <c r="F72" s="230"/>
      <c r="G72" s="230"/>
      <c r="H72" s="230"/>
      <c r="I72" s="97"/>
    </row>
    <row r="73" spans="2:9" x14ac:dyDescent="0.2">
      <c r="B73" s="96"/>
      <c r="C73" s="96"/>
      <c r="D73" s="96"/>
      <c r="E73" s="96"/>
      <c r="F73" s="96"/>
      <c r="G73" s="96"/>
      <c r="H73" s="96"/>
      <c r="I73" s="97"/>
    </row>
    <row r="74" spans="2:9" x14ac:dyDescent="0.2">
      <c r="B74" s="206" t="s">
        <v>72</v>
      </c>
      <c r="C74" s="207"/>
      <c r="D74" s="207"/>
      <c r="E74" s="207"/>
      <c r="F74" s="241"/>
      <c r="G74" s="142"/>
      <c r="H74" s="143"/>
      <c r="I74" s="97"/>
    </row>
    <row r="75" spans="2:9" x14ac:dyDescent="0.2">
      <c r="B75" s="92">
        <v>3</v>
      </c>
      <c r="C75" s="191" t="s">
        <v>62</v>
      </c>
      <c r="D75" s="208"/>
      <c r="E75" s="208"/>
      <c r="F75" s="192"/>
      <c r="G75" s="92" t="s">
        <v>1</v>
      </c>
      <c r="H75" s="92" t="s">
        <v>49</v>
      </c>
      <c r="I75" s="97"/>
    </row>
    <row r="76" spans="2:9" x14ac:dyDescent="0.2">
      <c r="B76" s="12" t="s">
        <v>4</v>
      </c>
      <c r="C76" s="81" t="s">
        <v>97</v>
      </c>
      <c r="D76" s="168" t="s">
        <v>163</v>
      </c>
      <c r="E76" s="169"/>
      <c r="F76" s="170"/>
      <c r="G76" s="37">
        <v>1</v>
      </c>
      <c r="H76" s="21">
        <f>TRUNC((H$77+H$78)*$G76,2)</f>
        <v>265.61</v>
      </c>
      <c r="I76" s="16"/>
    </row>
    <row r="77" spans="2:9" x14ac:dyDescent="0.2">
      <c r="B77" s="12" t="s">
        <v>5</v>
      </c>
      <c r="C77" s="90" t="s">
        <v>98</v>
      </c>
      <c r="D77" s="168" t="s">
        <v>184</v>
      </c>
      <c r="E77" s="169"/>
      <c r="F77" s="170"/>
      <c r="G77" s="22"/>
      <c r="H77" s="18">
        <f>TRUNC((H$32+H$43+H$55+H$64-H60)/12,2)</f>
        <v>207.67</v>
      </c>
      <c r="I77" s="103"/>
    </row>
    <row r="78" spans="2:9" x14ac:dyDescent="0.2">
      <c r="B78" s="12" t="s">
        <v>6</v>
      </c>
      <c r="C78" s="90" t="s">
        <v>99</v>
      </c>
      <c r="D78" s="209" t="s">
        <v>175</v>
      </c>
      <c r="E78" s="211"/>
      <c r="F78" s="39">
        <v>0.4</v>
      </c>
      <c r="G78" s="22"/>
      <c r="H78" s="18">
        <f>TRUNC(H$55*$F78,2)</f>
        <v>57.94</v>
      </c>
      <c r="I78" s="103"/>
    </row>
    <row r="79" spans="2:9" x14ac:dyDescent="0.2">
      <c r="B79" s="12" t="s">
        <v>7</v>
      </c>
      <c r="C79" s="81" t="s">
        <v>100</v>
      </c>
      <c r="D79" s="168" t="s">
        <v>164</v>
      </c>
      <c r="E79" s="169"/>
      <c r="F79" s="170"/>
      <c r="G79" s="37">
        <v>1</v>
      </c>
      <c r="H79" s="84">
        <f>IF($G79&gt;=1,(TRUNC(H$80*$G79,2)),"ERRO")</f>
        <v>57.94</v>
      </c>
      <c r="I79" s="105"/>
    </row>
    <row r="80" spans="2:9" x14ac:dyDescent="0.2">
      <c r="B80" s="12" t="s">
        <v>8</v>
      </c>
      <c r="C80" s="90" t="s">
        <v>101</v>
      </c>
      <c r="D80" s="209" t="s">
        <v>175</v>
      </c>
      <c r="E80" s="211"/>
      <c r="F80" s="39">
        <v>0.4</v>
      </c>
      <c r="G80" s="22"/>
      <c r="H80" s="18">
        <f>TRUNC(H$55*$F80,2)</f>
        <v>57.94</v>
      </c>
      <c r="I80" s="103"/>
    </row>
    <row r="81" spans="2:9" x14ac:dyDescent="0.2">
      <c r="B81" s="12" t="s">
        <v>9</v>
      </c>
      <c r="C81" s="81" t="s">
        <v>181</v>
      </c>
      <c r="D81" s="239" t="s">
        <v>176</v>
      </c>
      <c r="E81" s="240"/>
      <c r="F81" s="38">
        <v>12</v>
      </c>
      <c r="G81" s="38">
        <v>3</v>
      </c>
      <c r="H81" s="18">
        <f>TRUNC(((H$32+H$43+H$56)/30)*$G81/$F81,2)</f>
        <v>20.64</v>
      </c>
      <c r="I81" s="103"/>
    </row>
    <row r="82" spans="2:9" x14ac:dyDescent="0.2">
      <c r="B82" s="12" t="s">
        <v>150</v>
      </c>
      <c r="C82" s="191" t="s">
        <v>61</v>
      </c>
      <c r="D82" s="208"/>
      <c r="E82" s="208"/>
      <c r="F82" s="208"/>
      <c r="G82" s="79"/>
      <c r="H82" s="15">
        <f>H$76+H$79+H$81</f>
        <v>344.19</v>
      </c>
      <c r="I82" s="16"/>
    </row>
    <row r="83" spans="2:9" x14ac:dyDescent="0.2">
      <c r="B83" s="93"/>
      <c r="C83" s="93"/>
      <c r="D83" s="93"/>
      <c r="E83" s="93"/>
      <c r="F83" s="93"/>
      <c r="G83" s="93"/>
      <c r="H83" s="93"/>
      <c r="I83" s="93"/>
    </row>
    <row r="84" spans="2:9" x14ac:dyDescent="0.2">
      <c r="B84" s="96"/>
      <c r="C84" s="96"/>
      <c r="D84" s="96"/>
      <c r="E84" s="96"/>
      <c r="F84" s="96"/>
      <c r="G84" s="96"/>
      <c r="H84" s="96"/>
      <c r="I84" s="97"/>
    </row>
    <row r="85" spans="2:9" x14ac:dyDescent="0.2">
      <c r="B85" s="206" t="s">
        <v>73</v>
      </c>
      <c r="C85" s="207"/>
      <c r="D85" s="207"/>
      <c r="E85" s="207"/>
      <c r="F85" s="241"/>
      <c r="G85" s="142"/>
      <c r="H85" s="143"/>
      <c r="I85" s="97"/>
    </row>
    <row r="86" spans="2:9" x14ac:dyDescent="0.2">
      <c r="B86" s="242" t="s">
        <v>91</v>
      </c>
      <c r="C86" s="243"/>
      <c r="D86" s="243"/>
      <c r="E86" s="243"/>
      <c r="F86" s="243"/>
      <c r="G86" s="150"/>
      <c r="H86" s="151"/>
      <c r="I86" s="97"/>
    </row>
    <row r="87" spans="2:9" x14ac:dyDescent="0.2">
      <c r="B87" s="92" t="s">
        <v>14</v>
      </c>
      <c r="C87" s="191" t="s">
        <v>92</v>
      </c>
      <c r="D87" s="208"/>
      <c r="E87" s="208"/>
      <c r="F87" s="192"/>
      <c r="G87" s="92" t="s">
        <v>106</v>
      </c>
      <c r="H87" s="92" t="s">
        <v>49</v>
      </c>
      <c r="I87" s="97"/>
    </row>
    <row r="88" spans="2:9" x14ac:dyDescent="0.2">
      <c r="B88" s="12" t="s">
        <v>4</v>
      </c>
      <c r="C88" s="90" t="s">
        <v>112</v>
      </c>
      <c r="D88" s="168" t="s">
        <v>156</v>
      </c>
      <c r="E88" s="169"/>
      <c r="F88" s="170"/>
      <c r="G88" s="38">
        <v>30</v>
      </c>
      <c r="H88" s="18">
        <f>TRUNC((H$90*$G88)/12,2)</f>
        <v>303.57</v>
      </c>
      <c r="I88" s="103"/>
    </row>
    <row r="89" spans="2:9" ht="22.5" x14ac:dyDescent="0.2">
      <c r="B89" s="12" t="s">
        <v>5</v>
      </c>
      <c r="C89" s="82" t="s">
        <v>162</v>
      </c>
      <c r="D89" s="171" t="s">
        <v>165</v>
      </c>
      <c r="E89" s="172"/>
      <c r="F89" s="173"/>
      <c r="G89" s="57">
        <v>8</v>
      </c>
      <c r="H89" s="18">
        <f>TRUNC((H$90*$G89)/12,2)</f>
        <v>80.95</v>
      </c>
      <c r="I89" s="103"/>
    </row>
    <row r="90" spans="2:9" x14ac:dyDescent="0.2">
      <c r="B90" s="12" t="s">
        <v>6</v>
      </c>
      <c r="C90" s="90" t="s">
        <v>114</v>
      </c>
      <c r="D90" s="168" t="s">
        <v>149</v>
      </c>
      <c r="E90" s="169"/>
      <c r="F90" s="169"/>
      <c r="G90" s="170"/>
      <c r="H90" s="18">
        <f>TRUNC((H$32+H$71+H$82)/30,2)</f>
        <v>121.43</v>
      </c>
      <c r="I90" s="103"/>
    </row>
    <row r="91" spans="2:9" x14ac:dyDescent="0.2">
      <c r="B91" s="12" t="s">
        <v>151</v>
      </c>
      <c r="C91" s="191" t="s">
        <v>61</v>
      </c>
      <c r="D91" s="208"/>
      <c r="E91" s="208"/>
      <c r="F91" s="208"/>
      <c r="G91" s="79"/>
      <c r="H91" s="15">
        <f>TRUNC(H$88+H$89,2)</f>
        <v>384.52</v>
      </c>
      <c r="I91" s="16"/>
    </row>
    <row r="92" spans="2:9" x14ac:dyDescent="0.2">
      <c r="B92" s="71"/>
      <c r="C92" s="72"/>
      <c r="D92" s="72"/>
      <c r="E92" s="72"/>
      <c r="F92" s="72"/>
      <c r="G92" s="72"/>
      <c r="H92" s="73"/>
      <c r="I92" s="23"/>
    </row>
    <row r="93" spans="2:9" x14ac:dyDescent="0.2">
      <c r="B93" s="244" t="s">
        <v>93</v>
      </c>
      <c r="C93" s="245"/>
      <c r="D93" s="245"/>
      <c r="E93" s="245"/>
      <c r="F93" s="245"/>
      <c r="G93" s="152"/>
      <c r="H93" s="153"/>
      <c r="I93" s="97"/>
    </row>
    <row r="94" spans="2:9" x14ac:dyDescent="0.2">
      <c r="B94" s="92" t="s">
        <v>15</v>
      </c>
      <c r="C94" s="191" t="s">
        <v>94</v>
      </c>
      <c r="D94" s="208"/>
      <c r="E94" s="208"/>
      <c r="F94" s="192"/>
      <c r="G94" s="92" t="s">
        <v>106</v>
      </c>
      <c r="H94" s="92" t="s">
        <v>49</v>
      </c>
      <c r="I94" s="97"/>
    </row>
    <row r="95" spans="2:9" ht="22.5" x14ac:dyDescent="0.2">
      <c r="B95" s="12" t="s">
        <v>4</v>
      </c>
      <c r="C95" s="82" t="s">
        <v>95</v>
      </c>
      <c r="D95" s="168" t="s">
        <v>186</v>
      </c>
      <c r="E95" s="169"/>
      <c r="F95" s="169"/>
      <c r="G95" s="38"/>
      <c r="H95" s="18">
        <f>TRUNC(((H$32+H71+H82)/220)*(1+50%)*G95,2)</f>
        <v>0</v>
      </c>
      <c r="I95" s="103"/>
    </row>
    <row r="96" spans="2:9" x14ac:dyDescent="0.2">
      <c r="B96" s="12" t="s">
        <v>152</v>
      </c>
      <c r="C96" s="191" t="s">
        <v>61</v>
      </c>
      <c r="D96" s="208"/>
      <c r="E96" s="208"/>
      <c r="F96" s="208"/>
      <c r="G96" s="129"/>
      <c r="H96" s="15">
        <f>H95</f>
        <v>0</v>
      </c>
      <c r="I96" s="103"/>
    </row>
    <row r="97" spans="2:9" x14ac:dyDescent="0.2">
      <c r="B97" s="95"/>
      <c r="C97" s="94"/>
      <c r="D97" s="94"/>
      <c r="E97" s="94"/>
      <c r="F97" s="94"/>
      <c r="G97" s="96"/>
      <c r="H97" s="167"/>
      <c r="I97" s="119"/>
    </row>
    <row r="98" spans="2:9" x14ac:dyDescent="0.2">
      <c r="B98" s="244" t="s">
        <v>74</v>
      </c>
      <c r="C98" s="245"/>
      <c r="D98" s="245"/>
      <c r="E98" s="245"/>
      <c r="F98" s="245"/>
      <c r="G98" s="152"/>
      <c r="H98" s="153"/>
      <c r="I98" s="97"/>
    </row>
    <row r="99" spans="2:9" x14ac:dyDescent="0.2">
      <c r="B99" s="92">
        <v>4</v>
      </c>
      <c r="C99" s="191" t="s">
        <v>75</v>
      </c>
      <c r="D99" s="208"/>
      <c r="E99" s="208"/>
      <c r="F99" s="208"/>
      <c r="G99" s="192"/>
      <c r="H99" s="92" t="s">
        <v>49</v>
      </c>
      <c r="I99" s="97"/>
    </row>
    <row r="100" spans="2:9" x14ac:dyDescent="0.2">
      <c r="B100" s="12" t="s">
        <v>14</v>
      </c>
      <c r="C100" s="90" t="s">
        <v>42</v>
      </c>
      <c r="D100" s="168" t="s">
        <v>151</v>
      </c>
      <c r="E100" s="169"/>
      <c r="F100" s="169"/>
      <c r="G100" s="170"/>
      <c r="H100" s="18">
        <f>H91</f>
        <v>384.52</v>
      </c>
      <c r="I100" s="103"/>
    </row>
    <row r="101" spans="2:9" x14ac:dyDescent="0.2">
      <c r="B101" s="12" t="s">
        <v>15</v>
      </c>
      <c r="C101" s="90" t="s">
        <v>44</v>
      </c>
      <c r="D101" s="168" t="s">
        <v>152</v>
      </c>
      <c r="E101" s="169"/>
      <c r="F101" s="169"/>
      <c r="G101" s="170"/>
      <c r="H101" s="18">
        <f>H96</f>
        <v>0</v>
      </c>
      <c r="I101" s="103"/>
    </row>
    <row r="102" spans="2:9" x14ac:dyDescent="0.2">
      <c r="B102" s="12" t="s">
        <v>153</v>
      </c>
      <c r="C102" s="191" t="s">
        <v>61</v>
      </c>
      <c r="D102" s="208"/>
      <c r="E102" s="208"/>
      <c r="F102" s="208"/>
      <c r="G102" s="79"/>
      <c r="H102" s="15">
        <f>SUM(H100:H101)</f>
        <v>384.52</v>
      </c>
      <c r="I102" s="16"/>
    </row>
    <row r="103" spans="2:9" x14ac:dyDescent="0.2">
      <c r="B103" s="96"/>
      <c r="C103" s="96"/>
      <c r="D103" s="96"/>
      <c r="E103" s="96"/>
      <c r="F103" s="96"/>
      <c r="G103" s="96"/>
      <c r="H103" s="96"/>
      <c r="I103" s="97"/>
    </row>
    <row r="104" spans="2:9" x14ac:dyDescent="0.2">
      <c r="B104" s="96"/>
      <c r="C104" s="96"/>
      <c r="D104" s="96"/>
      <c r="E104" s="96"/>
      <c r="F104" s="96"/>
      <c r="G104" s="96"/>
      <c r="H104" s="96"/>
      <c r="I104" s="97"/>
    </row>
    <row r="105" spans="2:9" x14ac:dyDescent="0.2">
      <c r="B105" s="206" t="s">
        <v>76</v>
      </c>
      <c r="C105" s="207"/>
      <c r="D105" s="207"/>
      <c r="E105" s="207"/>
      <c r="F105" s="241"/>
      <c r="G105" s="142"/>
      <c r="H105" s="143"/>
      <c r="I105" s="97"/>
    </row>
    <row r="106" spans="2:9" x14ac:dyDescent="0.2">
      <c r="B106" s="92">
        <v>5</v>
      </c>
      <c r="C106" s="246" t="s">
        <v>63</v>
      </c>
      <c r="D106" s="247"/>
      <c r="E106" s="247"/>
      <c r="F106" s="247"/>
      <c r="G106" s="248"/>
      <c r="H106" s="92" t="s">
        <v>49</v>
      </c>
      <c r="I106" s="97"/>
    </row>
    <row r="107" spans="2:9" x14ac:dyDescent="0.2">
      <c r="B107" s="12" t="s">
        <v>4</v>
      </c>
      <c r="C107" s="65" t="s">
        <v>45</v>
      </c>
      <c r="D107" s="66"/>
      <c r="E107" s="66"/>
      <c r="F107" s="66"/>
      <c r="G107" s="67"/>
      <c r="H107" s="68">
        <f>Insumos!G42</f>
        <v>297.99</v>
      </c>
      <c r="I107" s="103"/>
    </row>
    <row r="108" spans="2:9" x14ac:dyDescent="0.2">
      <c r="B108" s="12" t="s">
        <v>5</v>
      </c>
      <c r="C108" s="65" t="s">
        <v>12</v>
      </c>
      <c r="D108" s="66"/>
      <c r="E108" s="66"/>
      <c r="F108" s="66"/>
      <c r="G108" s="67"/>
      <c r="H108" s="68"/>
      <c r="I108" s="103"/>
    </row>
    <row r="109" spans="2:9" x14ac:dyDescent="0.2">
      <c r="B109" s="12" t="s">
        <v>6</v>
      </c>
      <c r="C109" s="65" t="s">
        <v>13</v>
      </c>
      <c r="D109" s="66"/>
      <c r="E109" s="66"/>
      <c r="F109" s="66"/>
      <c r="G109" s="67"/>
      <c r="H109" s="68">
        <f>Insumos!G50</f>
        <v>450.40749999999997</v>
      </c>
      <c r="I109" s="103"/>
    </row>
    <row r="110" spans="2:9" x14ac:dyDescent="0.2">
      <c r="B110" s="12" t="s">
        <v>7</v>
      </c>
      <c r="C110" s="65" t="s">
        <v>2</v>
      </c>
      <c r="D110" s="66"/>
      <c r="E110" s="66"/>
      <c r="F110" s="66"/>
      <c r="G110" s="67"/>
      <c r="H110" s="68"/>
      <c r="I110" s="103"/>
    </row>
    <row r="111" spans="2:9" x14ac:dyDescent="0.2">
      <c r="B111" s="12" t="s">
        <v>154</v>
      </c>
      <c r="C111" s="191" t="s">
        <v>61</v>
      </c>
      <c r="D111" s="208"/>
      <c r="E111" s="208"/>
      <c r="F111" s="208"/>
      <c r="G111" s="79"/>
      <c r="H111" s="15">
        <f>SUM(H107:H110)</f>
        <v>748.39750000000004</v>
      </c>
      <c r="I111" s="16"/>
    </row>
    <row r="112" spans="2:9" x14ac:dyDescent="0.2">
      <c r="B112" s="96"/>
      <c r="C112" s="96"/>
      <c r="D112" s="96"/>
      <c r="E112" s="96"/>
      <c r="F112" s="96"/>
      <c r="G112" s="74"/>
      <c r="H112" s="69"/>
      <c r="I112" s="16"/>
    </row>
    <row r="113" spans="2:9" x14ac:dyDescent="0.2">
      <c r="B113" s="96"/>
      <c r="C113" s="96"/>
      <c r="D113" s="96"/>
      <c r="E113" s="96"/>
      <c r="F113" s="96"/>
      <c r="G113" s="96"/>
      <c r="H113" s="96"/>
      <c r="I113" s="97"/>
    </row>
    <row r="114" spans="2:9" x14ac:dyDescent="0.2">
      <c r="B114" s="206" t="s">
        <v>77</v>
      </c>
      <c r="C114" s="207"/>
      <c r="D114" s="207"/>
      <c r="E114" s="207"/>
      <c r="F114" s="241"/>
      <c r="G114" s="142"/>
      <c r="H114" s="143"/>
      <c r="I114" s="97"/>
    </row>
    <row r="115" spans="2:9" x14ac:dyDescent="0.2">
      <c r="B115" s="92">
        <v>6</v>
      </c>
      <c r="C115" s="191" t="s">
        <v>64</v>
      </c>
      <c r="D115" s="208"/>
      <c r="E115" s="208"/>
      <c r="F115" s="192"/>
      <c r="G115" s="92" t="s">
        <v>1</v>
      </c>
      <c r="H115" s="92" t="s">
        <v>49</v>
      </c>
      <c r="I115" s="97"/>
    </row>
    <row r="116" spans="2:9" x14ac:dyDescent="0.2">
      <c r="B116" s="12" t="s">
        <v>4</v>
      </c>
      <c r="C116" s="90" t="s">
        <v>16</v>
      </c>
      <c r="D116" s="209" t="s">
        <v>166</v>
      </c>
      <c r="E116" s="210"/>
      <c r="F116" s="211"/>
      <c r="G116" s="46">
        <v>0.05</v>
      </c>
      <c r="H116" s="18">
        <f>TRUNC(H$133*$G116,2)</f>
        <v>238.79</v>
      </c>
      <c r="I116" s="103"/>
    </row>
    <row r="117" spans="2:9" x14ac:dyDescent="0.2">
      <c r="B117" s="12" t="s">
        <v>5</v>
      </c>
      <c r="C117" s="90" t="s">
        <v>3</v>
      </c>
      <c r="D117" s="209" t="s">
        <v>167</v>
      </c>
      <c r="E117" s="210"/>
      <c r="F117" s="211"/>
      <c r="G117" s="46">
        <v>0.1</v>
      </c>
      <c r="H117" s="18">
        <f>TRUNC((H$133+H$116)*$G117,2)</f>
        <v>501.47</v>
      </c>
      <c r="I117" s="103"/>
    </row>
    <row r="118" spans="2:9" x14ac:dyDescent="0.2">
      <c r="B118" s="12" t="s">
        <v>6</v>
      </c>
      <c r="C118" s="90" t="s">
        <v>120</v>
      </c>
      <c r="D118" s="209" t="s">
        <v>168</v>
      </c>
      <c r="E118" s="210"/>
      <c r="F118" s="211"/>
      <c r="G118" s="48">
        <f>1-(G119+G120+G121)</f>
        <v>0.85749999999999993</v>
      </c>
      <c r="H118" s="24">
        <f>TRUNC(((H$133+H$116+H$117)/$G118),2)</f>
        <v>6432.89</v>
      </c>
      <c r="I118" s="106"/>
    </row>
    <row r="119" spans="2:9" x14ac:dyDescent="0.2">
      <c r="B119" s="12" t="s">
        <v>21</v>
      </c>
      <c r="C119" s="90" t="s">
        <v>18</v>
      </c>
      <c r="D119" s="209" t="s">
        <v>169</v>
      </c>
      <c r="E119" s="210"/>
      <c r="F119" s="211"/>
      <c r="G119" s="47">
        <v>1.6500000000000001E-2</v>
      </c>
      <c r="H119" s="18">
        <f>TRUNC(H$118*$G119,2)</f>
        <v>106.14</v>
      </c>
      <c r="I119" s="103"/>
    </row>
    <row r="120" spans="2:9" x14ac:dyDescent="0.2">
      <c r="B120" s="12" t="s">
        <v>22</v>
      </c>
      <c r="C120" s="90" t="s">
        <v>19</v>
      </c>
      <c r="D120" s="209" t="s">
        <v>169</v>
      </c>
      <c r="E120" s="210"/>
      <c r="F120" s="211"/>
      <c r="G120" s="47">
        <v>7.5999999999999998E-2</v>
      </c>
      <c r="H120" s="18">
        <f>TRUNC(H$118*$G120,2)</f>
        <v>488.89</v>
      </c>
      <c r="I120" s="103"/>
    </row>
    <row r="121" spans="2:9" x14ac:dyDescent="0.2">
      <c r="B121" s="12" t="s">
        <v>23</v>
      </c>
      <c r="C121" s="90" t="s">
        <v>20</v>
      </c>
      <c r="D121" s="209" t="s">
        <v>169</v>
      </c>
      <c r="E121" s="210"/>
      <c r="F121" s="211"/>
      <c r="G121" s="47">
        <v>0.05</v>
      </c>
      <c r="H121" s="18">
        <f>TRUNC(H$118*$G121,2)</f>
        <v>321.64</v>
      </c>
      <c r="I121" s="103"/>
    </row>
    <row r="122" spans="2:9" x14ac:dyDescent="0.2">
      <c r="B122" s="12" t="s">
        <v>155</v>
      </c>
      <c r="C122" s="86" t="s">
        <v>61</v>
      </c>
      <c r="D122" s="249" t="s">
        <v>157</v>
      </c>
      <c r="E122" s="249"/>
      <c r="F122" s="249"/>
      <c r="G122" s="166"/>
      <c r="H122" s="15">
        <f>SUM(H116:H121)-H118</f>
        <v>1656.9300000000012</v>
      </c>
      <c r="I122" s="16"/>
    </row>
    <row r="123" spans="2:9" x14ac:dyDescent="0.2">
      <c r="B123" s="63"/>
      <c r="C123" s="63"/>
      <c r="D123" s="63"/>
      <c r="E123" s="63"/>
      <c r="F123" s="63"/>
      <c r="G123" s="63"/>
      <c r="H123" s="75"/>
      <c r="I123" s="25"/>
    </row>
    <row r="124" spans="2:9" x14ac:dyDescent="0.2">
      <c r="B124" s="250" t="s">
        <v>196</v>
      </c>
      <c r="C124" s="250"/>
      <c r="D124" s="250"/>
      <c r="E124" s="250"/>
      <c r="F124" s="250"/>
      <c r="G124" s="250"/>
      <c r="H124" s="250"/>
      <c r="I124" s="113"/>
    </row>
    <row r="125" spans="2:9" x14ac:dyDescent="0.2">
      <c r="B125" s="89"/>
      <c r="C125" s="89"/>
      <c r="D125" s="89"/>
      <c r="E125" s="89"/>
      <c r="F125" s="89"/>
      <c r="G125" s="89"/>
      <c r="H125" s="89"/>
      <c r="I125" s="113"/>
    </row>
    <row r="126" spans="2:9" x14ac:dyDescent="0.2">
      <c r="B126" s="206" t="s">
        <v>197</v>
      </c>
      <c r="C126" s="207"/>
      <c r="D126" s="207"/>
      <c r="E126" s="207"/>
      <c r="F126" s="207"/>
      <c r="G126" s="160"/>
      <c r="H126" s="143"/>
      <c r="I126" s="97"/>
    </row>
    <row r="127" spans="2:9" ht="12.75" customHeight="1" x14ac:dyDescent="0.2">
      <c r="B127" s="158"/>
      <c r="C127" s="251" t="s">
        <v>121</v>
      </c>
      <c r="D127" s="252"/>
      <c r="E127" s="252"/>
      <c r="F127" s="252"/>
      <c r="G127" s="159"/>
      <c r="H127" s="141" t="s">
        <v>49</v>
      </c>
      <c r="I127" s="97"/>
    </row>
    <row r="128" spans="2:9" x14ac:dyDescent="0.2">
      <c r="B128" s="12" t="s">
        <v>4</v>
      </c>
      <c r="C128" s="82" t="s">
        <v>79</v>
      </c>
      <c r="D128" s="168" t="s">
        <v>132</v>
      </c>
      <c r="E128" s="169"/>
      <c r="F128" s="169"/>
      <c r="G128" s="170"/>
      <c r="H128" s="18">
        <f>H32</f>
        <v>1516</v>
      </c>
      <c r="I128" s="103"/>
    </row>
    <row r="129" spans="2:9" ht="22.5" x14ac:dyDescent="0.2">
      <c r="B129" s="12" t="s">
        <v>5</v>
      </c>
      <c r="C129" s="82" t="s">
        <v>80</v>
      </c>
      <c r="D129" s="168" t="s">
        <v>146</v>
      </c>
      <c r="E129" s="169"/>
      <c r="F129" s="169"/>
      <c r="G129" s="170"/>
      <c r="H129" s="18">
        <f>H71</f>
        <v>1782.8400000000001</v>
      </c>
      <c r="I129" s="103"/>
    </row>
    <row r="130" spans="2:9" x14ac:dyDescent="0.2">
      <c r="B130" s="12" t="s">
        <v>6</v>
      </c>
      <c r="C130" s="82" t="s">
        <v>81</v>
      </c>
      <c r="D130" s="168" t="s">
        <v>150</v>
      </c>
      <c r="E130" s="169"/>
      <c r="F130" s="169"/>
      <c r="G130" s="170"/>
      <c r="H130" s="18">
        <f>H82</f>
        <v>344.19</v>
      </c>
      <c r="I130" s="103"/>
    </row>
    <row r="131" spans="2:9" ht="22.5" x14ac:dyDescent="0.2">
      <c r="B131" s="12" t="s">
        <v>7</v>
      </c>
      <c r="C131" s="82" t="s">
        <v>43</v>
      </c>
      <c r="D131" s="168" t="s">
        <v>153</v>
      </c>
      <c r="E131" s="169"/>
      <c r="F131" s="169"/>
      <c r="G131" s="170"/>
      <c r="H131" s="18">
        <f>H102</f>
        <v>384.52</v>
      </c>
      <c r="I131" s="103"/>
    </row>
    <row r="132" spans="2:9" x14ac:dyDescent="0.2">
      <c r="B132" s="12" t="s">
        <v>8</v>
      </c>
      <c r="C132" s="82" t="s">
        <v>82</v>
      </c>
      <c r="D132" s="168" t="s">
        <v>154</v>
      </c>
      <c r="E132" s="169"/>
      <c r="F132" s="169"/>
      <c r="G132" s="170"/>
      <c r="H132" s="18">
        <f>H111</f>
        <v>748.39750000000004</v>
      </c>
      <c r="I132" s="103"/>
    </row>
    <row r="133" spans="2:9" x14ac:dyDescent="0.2">
      <c r="B133" s="88" t="s">
        <v>9</v>
      </c>
      <c r="C133" s="81" t="s">
        <v>46</v>
      </c>
      <c r="D133" s="174" t="s">
        <v>173</v>
      </c>
      <c r="E133" s="175"/>
      <c r="F133" s="175"/>
      <c r="G133" s="176"/>
      <c r="H133" s="21">
        <f>SUM(H128:H132)</f>
        <v>4775.9475000000002</v>
      </c>
      <c r="I133" s="16"/>
    </row>
    <row r="134" spans="2:9" x14ac:dyDescent="0.2">
      <c r="B134" s="12" t="s">
        <v>10</v>
      </c>
      <c r="C134" s="90" t="s">
        <v>83</v>
      </c>
      <c r="D134" s="168" t="s">
        <v>155</v>
      </c>
      <c r="E134" s="169"/>
      <c r="F134" s="169"/>
      <c r="G134" s="170"/>
      <c r="H134" s="18">
        <f>H122</f>
        <v>1656.9300000000012</v>
      </c>
      <c r="I134" s="103"/>
    </row>
    <row r="135" spans="2:9" x14ac:dyDescent="0.2">
      <c r="B135" s="12" t="s">
        <v>158</v>
      </c>
      <c r="C135" s="85" t="s">
        <v>78</v>
      </c>
      <c r="D135" s="177" t="s">
        <v>172</v>
      </c>
      <c r="E135" s="165"/>
      <c r="F135" s="165"/>
      <c r="G135" s="166"/>
      <c r="H135" s="27">
        <f>SUM(H133:H134)</f>
        <v>6432.8775000000014</v>
      </c>
      <c r="I135" s="117"/>
    </row>
    <row r="136" spans="2:9" ht="12.75" customHeight="1" x14ac:dyDescent="0.2">
      <c r="B136" s="10"/>
      <c r="C136" s="10"/>
      <c r="D136" s="10"/>
      <c r="E136" s="10"/>
      <c r="F136" s="10"/>
      <c r="G136" s="10"/>
      <c r="H136" s="28"/>
      <c r="I136" s="28"/>
    </row>
    <row r="137" spans="2:9" x14ac:dyDescent="0.2">
      <c r="B137" s="250" t="s">
        <v>198</v>
      </c>
      <c r="C137" s="250"/>
      <c r="D137" s="250"/>
      <c r="E137" s="250"/>
      <c r="F137" s="250"/>
      <c r="I137" s="10"/>
    </row>
    <row r="138" spans="2:9" x14ac:dyDescent="0.2">
      <c r="B138" s="76"/>
      <c r="C138" s="76"/>
      <c r="D138" s="76"/>
      <c r="E138" s="70"/>
      <c r="F138" s="70"/>
      <c r="I138" s="10"/>
    </row>
    <row r="139" spans="2:9" x14ac:dyDescent="0.2">
      <c r="B139" s="261" t="s">
        <v>199</v>
      </c>
      <c r="C139" s="262"/>
      <c r="D139" s="262"/>
      <c r="E139" s="262"/>
      <c r="F139" s="262"/>
      <c r="G139" s="160"/>
      <c r="H139" s="143"/>
      <c r="I139" s="114"/>
    </row>
    <row r="140" spans="2:9" x14ac:dyDescent="0.2">
      <c r="B140" s="130" t="s">
        <v>4</v>
      </c>
      <c r="C140" s="161" t="s">
        <v>107</v>
      </c>
      <c r="D140" s="263" t="s">
        <v>158</v>
      </c>
      <c r="E140" s="264"/>
      <c r="F140" s="264"/>
      <c r="G140" s="162"/>
      <c r="H140" s="163">
        <f>H135</f>
        <v>6432.8775000000014</v>
      </c>
      <c r="I140" s="112"/>
    </row>
    <row r="141" spans="2:9" ht="22.5" x14ac:dyDescent="0.2">
      <c r="B141" s="12" t="s">
        <v>5</v>
      </c>
      <c r="C141" s="83" t="s">
        <v>160</v>
      </c>
      <c r="D141" s="265" t="s">
        <v>161</v>
      </c>
      <c r="E141" s="266"/>
      <c r="F141" s="266"/>
      <c r="G141" s="156"/>
      <c r="H141" s="7">
        <f>H43+H82+H100</f>
        <v>1023.48</v>
      </c>
      <c r="I141" s="107"/>
    </row>
    <row r="142" spans="2:9" ht="22.5" x14ac:dyDescent="0.2">
      <c r="B142" s="12" t="s">
        <v>6</v>
      </c>
      <c r="C142" s="83" t="s">
        <v>177</v>
      </c>
      <c r="D142" s="265" t="s">
        <v>185</v>
      </c>
      <c r="E142" s="266"/>
      <c r="F142" s="266"/>
      <c r="G142" s="157"/>
      <c r="H142" s="111">
        <f>TRUNC((H$43*$G56),2)</f>
        <v>108.47</v>
      </c>
      <c r="I142" s="112"/>
    </row>
    <row r="143" spans="2:9" ht="12.75" customHeight="1" x14ac:dyDescent="0.2">
      <c r="B143" s="12" t="s">
        <v>7</v>
      </c>
      <c r="C143" s="83" t="s">
        <v>16</v>
      </c>
      <c r="D143" s="253" t="s">
        <v>170</v>
      </c>
      <c r="E143" s="254"/>
      <c r="F143" s="255"/>
      <c r="G143" s="8">
        <f>G116</f>
        <v>0.05</v>
      </c>
      <c r="H143" s="7">
        <f>TRUNC((H$141+H$142)*$G143,2)</f>
        <v>56.59</v>
      </c>
      <c r="I143" s="107"/>
    </row>
    <row r="144" spans="2:9" ht="12.75" customHeight="1" x14ac:dyDescent="0.2">
      <c r="B144" s="12" t="s">
        <v>8</v>
      </c>
      <c r="C144" s="83" t="s">
        <v>3</v>
      </c>
      <c r="D144" s="253" t="s">
        <v>171</v>
      </c>
      <c r="E144" s="254"/>
      <c r="F144" s="255"/>
      <c r="G144" s="8">
        <f>G117</f>
        <v>0.1</v>
      </c>
      <c r="H144" s="7">
        <f>TRUNC((H$141+H$142+H$143)*$G144,2)</f>
        <v>118.85</v>
      </c>
      <c r="I144" s="107"/>
    </row>
    <row r="145" spans="2:9" ht="12.75" customHeight="1" x14ac:dyDescent="0.2">
      <c r="B145" s="12" t="s">
        <v>9</v>
      </c>
      <c r="C145" s="83" t="s">
        <v>108</v>
      </c>
      <c r="D145" s="253" t="s">
        <v>179</v>
      </c>
      <c r="E145" s="254"/>
      <c r="F145" s="255"/>
      <c r="G145" s="8">
        <f>G119+G120+G121</f>
        <v>0.14250000000000002</v>
      </c>
      <c r="H145" s="7">
        <f>TRUNC((H$141+H$142+H$143+H$144)/(1-$G145)-(H$141+H$142+H$143+H$144),2)</f>
        <v>217.26</v>
      </c>
      <c r="I145" s="107"/>
    </row>
    <row r="146" spans="2:9" ht="22.5" x14ac:dyDescent="0.2">
      <c r="B146" s="12" t="s">
        <v>10</v>
      </c>
      <c r="C146" s="131" t="s">
        <v>109</v>
      </c>
      <c r="D146" s="154" t="s">
        <v>180</v>
      </c>
      <c r="E146" s="155"/>
      <c r="F146" s="155"/>
      <c r="G146" s="156"/>
      <c r="H146" s="132">
        <f>SUM(H141:H145)</f>
        <v>1524.6499999999999</v>
      </c>
      <c r="I146" s="108"/>
    </row>
    <row r="147" spans="2:9" x14ac:dyDescent="0.2">
      <c r="B147" s="12" t="s">
        <v>159</v>
      </c>
      <c r="C147" s="87" t="s">
        <v>129</v>
      </c>
      <c r="D147" s="256" t="s">
        <v>178</v>
      </c>
      <c r="E147" s="257"/>
      <c r="F147" s="257"/>
      <c r="G147" s="164"/>
      <c r="H147" s="29">
        <f>H140-H146</f>
        <v>4908.2275000000018</v>
      </c>
      <c r="I147" s="118"/>
    </row>
    <row r="148" spans="2:9" ht="45" customHeight="1" x14ac:dyDescent="0.2">
      <c r="B148" s="258" t="s">
        <v>128</v>
      </c>
      <c r="C148" s="259"/>
      <c r="D148" s="259"/>
      <c r="E148" s="259"/>
      <c r="F148" s="259"/>
      <c r="G148" s="260"/>
      <c r="H148" s="140"/>
      <c r="I148" s="109"/>
    </row>
  </sheetData>
  <mergeCells count="106">
    <mergeCell ref="C127:F127"/>
    <mergeCell ref="D122:F122"/>
    <mergeCell ref="D143:F143"/>
    <mergeCell ref="D144:F144"/>
    <mergeCell ref="D145:F145"/>
    <mergeCell ref="B137:F137"/>
    <mergeCell ref="B148:G148"/>
    <mergeCell ref="B139:F139"/>
    <mergeCell ref="D140:F140"/>
    <mergeCell ref="D141:F141"/>
    <mergeCell ref="D142:F142"/>
    <mergeCell ref="D147:F147"/>
    <mergeCell ref="D121:F121"/>
    <mergeCell ref="B124:H124"/>
    <mergeCell ref="C115:F115"/>
    <mergeCell ref="D116:F116"/>
    <mergeCell ref="D117:F117"/>
    <mergeCell ref="D118:F118"/>
    <mergeCell ref="D119:F119"/>
    <mergeCell ref="D120:F120"/>
    <mergeCell ref="B126:F126"/>
    <mergeCell ref="C91:F91"/>
    <mergeCell ref="C82:F82"/>
    <mergeCell ref="C106:G106"/>
    <mergeCell ref="C94:F94"/>
    <mergeCell ref="C99:G99"/>
    <mergeCell ref="B105:F105"/>
    <mergeCell ref="B114:F114"/>
    <mergeCell ref="B93:F93"/>
    <mergeCell ref="B98:F98"/>
    <mergeCell ref="C111:F111"/>
    <mergeCell ref="C102:F102"/>
    <mergeCell ref="C96:F96"/>
    <mergeCell ref="C64:F64"/>
    <mergeCell ref="B72:H72"/>
    <mergeCell ref="C75:F75"/>
    <mergeCell ref="B65:H65"/>
    <mergeCell ref="B74:F74"/>
    <mergeCell ref="B66:F66"/>
    <mergeCell ref="C67:F67"/>
    <mergeCell ref="C71:F71"/>
    <mergeCell ref="C87:F87"/>
    <mergeCell ref="D78:E78"/>
    <mergeCell ref="D80:E80"/>
    <mergeCell ref="D81:E81"/>
    <mergeCell ref="B85:F85"/>
    <mergeCell ref="B86:F86"/>
    <mergeCell ref="D51:F51"/>
    <mergeCell ref="D52:F52"/>
    <mergeCell ref="D53:F53"/>
    <mergeCell ref="C46:F46"/>
    <mergeCell ref="D47:F47"/>
    <mergeCell ref="D48:F48"/>
    <mergeCell ref="B58:F58"/>
    <mergeCell ref="C59:F59"/>
    <mergeCell ref="D54:F54"/>
    <mergeCell ref="D55:F55"/>
    <mergeCell ref="C56:F56"/>
    <mergeCell ref="B57:H57"/>
    <mergeCell ref="B37:F37"/>
    <mergeCell ref="B39:F39"/>
    <mergeCell ref="B38:F38"/>
    <mergeCell ref="B49:B50"/>
    <mergeCell ref="C49:C50"/>
    <mergeCell ref="D49:D50"/>
    <mergeCell ref="C40:F40"/>
    <mergeCell ref="D41:F41"/>
    <mergeCell ref="D42:F42"/>
    <mergeCell ref="C43:F43"/>
    <mergeCell ref="B44:H44"/>
    <mergeCell ref="G49:G50"/>
    <mergeCell ref="H49:H50"/>
    <mergeCell ref="B45:F45"/>
    <mergeCell ref="C32:F32"/>
    <mergeCell ref="C33:F34"/>
    <mergeCell ref="D25:F25"/>
    <mergeCell ref="D26:F26"/>
    <mergeCell ref="D27:F27"/>
    <mergeCell ref="D28:F28"/>
    <mergeCell ref="D29:F29"/>
    <mergeCell ref="D30:F30"/>
    <mergeCell ref="B23:F23"/>
    <mergeCell ref="B2:H2"/>
    <mergeCell ref="B3:H3"/>
    <mergeCell ref="B9:B10"/>
    <mergeCell ref="B19:B20"/>
    <mergeCell ref="C24:F24"/>
    <mergeCell ref="B15:B16"/>
    <mergeCell ref="D6:F6"/>
    <mergeCell ref="B17:B18"/>
    <mergeCell ref="D31:F31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  <mergeCell ref="B13:B14"/>
  </mergeCells>
  <dataValidations count="9">
    <dataValidation type="list" allowBlank="1" showInputMessage="1" showErrorMessage="1" sqref="G81" xr:uid="{00000000-0002-0000-0100-000000000000}">
      <formula1>"3,6,9,12,15"</formula1>
    </dataValidation>
    <dataValidation type="custom" allowBlank="1" showInputMessage="1" showErrorMessage="1" sqref="G118" xr:uid="{00000000-0002-0000-0100-000001000000}">
      <formula1>1-(G119+G120+G121)</formula1>
    </dataValidation>
    <dataValidation type="list" operator="equal" allowBlank="1" showInputMessage="1" showErrorMessage="1" errorTitle="Valor errado" error="Percentual fixo. Preencher com 40%." sqref="F78 F80" xr:uid="{00000000-0002-0000-0100-000002000000}">
      <formula1>"40%"</formula1>
    </dataValidation>
    <dataValidation type="whole" allowBlank="1" showInputMessage="1" showErrorMessage="1" errorTitle="Valor errado" error="Quantidade fixa de dias. Prencher com 30" sqref="G88" xr:uid="{00000000-0002-0000-0100-000003000000}">
      <formula1>30</formula1>
      <formula2>30</formula2>
    </dataValidation>
    <dataValidation type="list" allowBlank="1" showInputMessage="1" showErrorMessage="1" sqref="G30" xr:uid="{00000000-0002-0000-0100-000004000000}">
      <formula1>"0, 50%, 100%"</formula1>
    </dataValidation>
    <dataValidation type="list" allowBlank="1" showInputMessage="1" showErrorMessage="1" sqref="G28:G29" xr:uid="{00000000-0002-0000-0100-000007000000}">
      <formula1>"0, 20%"</formula1>
    </dataValidation>
    <dataValidation type="list" allowBlank="1" showInputMessage="1" showErrorMessage="1" sqref="E50" xr:uid="{00000000-0002-0000-0100-000008000000}">
      <formula1>"1%, 2%, 3%"</formula1>
    </dataValidation>
    <dataValidation type="list" allowBlank="1" showInputMessage="1" showErrorMessage="1" sqref="G27" xr:uid="{00000000-0002-0000-0100-000009000000}">
      <formula1>"0%, 10%, 20%, 40%"</formula1>
    </dataValidation>
    <dataValidation type="list" allowBlank="1" showInputMessage="1" showErrorMessage="1" sqref="G26" xr:uid="{00000000-0002-0000-0100-00000A00000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  <rowBreaks count="1" manualBreakCount="1">
    <brk id="72" max="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50"/>
  <sheetViews>
    <sheetView showGridLines="0" view="pageBreakPreview" topLeftCell="A23" zoomScale="60" zoomScaleNormal="100" workbookViewId="0">
      <selection activeCell="H37" sqref="H37"/>
    </sheetView>
  </sheetViews>
  <sheetFormatPr defaultColWidth="9.140625" defaultRowHeight="11.25" x14ac:dyDescent="0.2"/>
  <cols>
    <col min="1" max="1" width="3.7109375" style="42" customWidth="1"/>
    <col min="2" max="2" width="25.7109375" style="42" customWidth="1"/>
    <col min="3" max="3" width="14.140625" style="42" customWidth="1"/>
    <col min="4" max="4" width="15.42578125" style="42" customWidth="1"/>
    <col min="5" max="5" width="14" style="42" customWidth="1"/>
    <col min="6" max="6" width="11.42578125" style="42" customWidth="1"/>
    <col min="7" max="7" width="13.140625" style="42" customWidth="1"/>
    <col min="8" max="10" width="15.7109375" style="42" customWidth="1"/>
    <col min="11" max="16384" width="9.140625" style="42"/>
  </cols>
  <sheetData>
    <row r="1" spans="1:12" ht="12" thickBot="1" x14ac:dyDescent="0.25"/>
    <row r="2" spans="1:12" ht="18.75" customHeight="1" thickBot="1" x14ac:dyDescent="0.25">
      <c r="A2" s="267" t="s">
        <v>208</v>
      </c>
      <c r="B2" s="268"/>
      <c r="C2" s="268"/>
      <c r="D2" s="268"/>
      <c r="E2" s="268"/>
      <c r="F2" s="268"/>
      <c r="G2" s="269"/>
      <c r="H2" s="135"/>
      <c r="I2" s="135"/>
    </row>
    <row r="4" spans="1:12" s="43" customFormat="1" ht="30" customHeight="1" x14ac:dyDescent="0.2">
      <c r="A4" s="270" t="s">
        <v>84</v>
      </c>
      <c r="B4" s="270"/>
      <c r="C4" s="40" t="s">
        <v>85</v>
      </c>
      <c r="D4" s="40" t="s">
        <v>117</v>
      </c>
      <c r="E4" s="40" t="s">
        <v>115</v>
      </c>
      <c r="F4" s="40" t="s">
        <v>118</v>
      </c>
      <c r="G4" s="40" t="s">
        <v>119</v>
      </c>
      <c r="H4" s="133"/>
      <c r="I4" s="133"/>
      <c r="K4" s="42"/>
      <c r="L4" s="42"/>
    </row>
    <row r="5" spans="1:12" ht="22.5" customHeight="1" x14ac:dyDescent="0.2">
      <c r="A5" s="5">
        <v>1</v>
      </c>
      <c r="B5" s="136" t="s">
        <v>209</v>
      </c>
      <c r="C5" s="45">
        <f>(122.99+192.3)/2</f>
        <v>157.64500000000001</v>
      </c>
      <c r="D5" s="137">
        <v>2</v>
      </c>
      <c r="E5" s="137">
        <v>6</v>
      </c>
      <c r="F5" s="186">
        <f>SUM(C5*D5*2)</f>
        <v>630.58000000000004</v>
      </c>
      <c r="G5" s="186">
        <f>SUM(F5/12)</f>
        <v>52.548333333333339</v>
      </c>
      <c r="H5" s="134"/>
      <c r="I5" s="134"/>
    </row>
    <row r="6" spans="1:12" ht="22.5" customHeight="1" x14ac:dyDescent="0.2">
      <c r="A6" s="5">
        <v>2</v>
      </c>
      <c r="B6" s="136" t="s">
        <v>210</v>
      </c>
      <c r="C6" s="45">
        <f>(129.3+196.6)/2</f>
        <v>162.94999999999999</v>
      </c>
      <c r="D6" s="137">
        <v>2</v>
      </c>
      <c r="E6" s="137">
        <v>6</v>
      </c>
      <c r="F6" s="186">
        <f t="shared" ref="F6:F10" si="0">SUM(C6*D6*2)</f>
        <v>651.79999999999995</v>
      </c>
      <c r="G6" s="186">
        <f t="shared" ref="G6:G10" si="1">SUM(F6/12)</f>
        <v>54.316666666666663</v>
      </c>
      <c r="H6" s="134"/>
      <c r="I6" s="134"/>
    </row>
    <row r="7" spans="1:12" ht="22.5" customHeight="1" x14ac:dyDescent="0.2">
      <c r="A7" s="5">
        <v>3</v>
      </c>
      <c r="B7" s="136" t="s">
        <v>211</v>
      </c>
      <c r="C7" s="45">
        <v>39.99</v>
      </c>
      <c r="D7" s="137">
        <v>2</v>
      </c>
      <c r="E7" s="137">
        <v>6</v>
      </c>
      <c r="F7" s="186">
        <f t="shared" si="0"/>
        <v>159.96</v>
      </c>
      <c r="G7" s="186">
        <f t="shared" si="1"/>
        <v>13.33</v>
      </c>
      <c r="H7" s="134"/>
      <c r="I7" s="134"/>
    </row>
    <row r="8" spans="1:12" ht="22.5" customHeight="1" x14ac:dyDescent="0.2">
      <c r="A8" s="5">
        <f t="shared" ref="A8:A9" si="2">A7+1</f>
        <v>4</v>
      </c>
      <c r="B8" s="136" t="s">
        <v>212</v>
      </c>
      <c r="C8" s="45">
        <v>63.23</v>
      </c>
      <c r="D8" s="137">
        <v>2</v>
      </c>
      <c r="E8" s="137">
        <v>6</v>
      </c>
      <c r="F8" s="186">
        <f t="shared" si="0"/>
        <v>252.92</v>
      </c>
      <c r="G8" s="186">
        <f t="shared" si="1"/>
        <v>21.076666666666664</v>
      </c>
      <c r="H8" s="134"/>
      <c r="I8" s="134"/>
    </row>
    <row r="9" spans="1:12" ht="22.5" customHeight="1" x14ac:dyDescent="0.2">
      <c r="A9" s="5">
        <f t="shared" si="2"/>
        <v>5</v>
      </c>
      <c r="B9" s="136" t="s">
        <v>213</v>
      </c>
      <c r="C9" s="45">
        <v>139.96</v>
      </c>
      <c r="D9" s="137">
        <v>2</v>
      </c>
      <c r="E9" s="137">
        <v>6</v>
      </c>
      <c r="F9" s="186">
        <f t="shared" si="0"/>
        <v>559.84</v>
      </c>
      <c r="G9" s="186">
        <f t="shared" si="1"/>
        <v>46.653333333333336</v>
      </c>
      <c r="H9" s="134"/>
      <c r="I9" s="134"/>
    </row>
    <row r="10" spans="1:12" ht="22.5" customHeight="1" x14ac:dyDescent="0.2">
      <c r="A10" s="5">
        <v>6</v>
      </c>
      <c r="B10" s="136" t="s">
        <v>214</v>
      </c>
      <c r="C10" s="45">
        <f>(90.32+164.9)/2</f>
        <v>127.61</v>
      </c>
      <c r="D10" s="137">
        <v>2</v>
      </c>
      <c r="E10" s="137">
        <v>6</v>
      </c>
      <c r="F10" s="186">
        <f t="shared" si="0"/>
        <v>510.44</v>
      </c>
      <c r="G10" s="186">
        <f t="shared" si="1"/>
        <v>42.536666666666669</v>
      </c>
      <c r="H10" s="134"/>
      <c r="I10" s="134"/>
    </row>
    <row r="11" spans="1:12" ht="22.5" customHeight="1" x14ac:dyDescent="0.2">
      <c r="B11" s="43"/>
      <c r="C11" s="44"/>
      <c r="D11" s="44"/>
      <c r="E11" s="271" t="s">
        <v>116</v>
      </c>
      <c r="F11" s="272"/>
      <c r="G11" s="41">
        <f>SUM(G5:G10)</f>
        <v>230.46166666666667</v>
      </c>
    </row>
    <row r="17" spans="1:10" ht="12" thickBot="1" x14ac:dyDescent="0.25"/>
    <row r="18" spans="1:10" ht="18.75" customHeight="1" thickBot="1" x14ac:dyDescent="0.25">
      <c r="A18" s="267" t="s">
        <v>215</v>
      </c>
      <c r="B18" s="268"/>
      <c r="C18" s="268"/>
      <c r="D18" s="268"/>
      <c r="E18" s="268"/>
      <c r="F18" s="268"/>
      <c r="G18" s="268"/>
      <c r="H18" s="269"/>
      <c r="I18" s="135"/>
      <c r="J18" s="135"/>
    </row>
    <row r="20" spans="1:10" ht="22.5" customHeight="1" x14ac:dyDescent="0.2">
      <c r="A20" s="270" t="s">
        <v>84</v>
      </c>
      <c r="B20" s="270"/>
      <c r="C20" s="40" t="s">
        <v>85</v>
      </c>
      <c r="D20" s="40" t="s">
        <v>117</v>
      </c>
      <c r="E20" s="40" t="s">
        <v>115</v>
      </c>
      <c r="F20" s="40" t="s">
        <v>118</v>
      </c>
      <c r="G20" s="40" t="s">
        <v>119</v>
      </c>
    </row>
    <row r="21" spans="1:10" ht="22.5" customHeight="1" x14ac:dyDescent="0.2">
      <c r="A21" s="5">
        <v>1</v>
      </c>
      <c r="B21" s="136" t="s">
        <v>216</v>
      </c>
      <c r="C21" s="45">
        <f>(464.5+384.9)/2</f>
        <v>424.7</v>
      </c>
      <c r="D21" s="137">
        <v>2</v>
      </c>
      <c r="E21" s="137">
        <v>6</v>
      </c>
      <c r="F21" s="186">
        <f>SUM(C21*D21*2)</f>
        <v>1698.8</v>
      </c>
      <c r="G21" s="186">
        <f>SUM(F21/12)</f>
        <v>141.56666666666666</v>
      </c>
    </row>
    <row r="22" spans="1:10" ht="22.5" customHeight="1" x14ac:dyDescent="0.2">
      <c r="A22" s="5">
        <v>2</v>
      </c>
      <c r="B22" s="136" t="s">
        <v>210</v>
      </c>
      <c r="C22" s="45">
        <f>(129.96+196.6)/2</f>
        <v>163.28</v>
      </c>
      <c r="D22" s="137">
        <v>2</v>
      </c>
      <c r="E22" s="137">
        <v>6</v>
      </c>
      <c r="F22" s="186">
        <f>SUM(C22*D22*2)</f>
        <v>653.12</v>
      </c>
      <c r="G22" s="186">
        <f>SUM(F22/12)</f>
        <v>54.426666666666669</v>
      </c>
    </row>
    <row r="23" spans="1:10" ht="22.5" customHeight="1" x14ac:dyDescent="0.2">
      <c r="A23" s="5">
        <v>3</v>
      </c>
      <c r="B23" s="136" t="s">
        <v>217</v>
      </c>
      <c r="C23" s="45">
        <v>44.35</v>
      </c>
      <c r="D23" s="137">
        <v>2</v>
      </c>
      <c r="E23" s="137">
        <v>6</v>
      </c>
      <c r="F23" s="186">
        <f t="shared" ref="F23:F27" si="3">SUM(C23*D23*2)</f>
        <v>177.4</v>
      </c>
      <c r="G23" s="186">
        <f t="shared" ref="G23:G27" si="4">SUM(F23/12)</f>
        <v>14.783333333333333</v>
      </c>
    </row>
    <row r="24" spans="1:10" ht="22.5" customHeight="1" x14ac:dyDescent="0.2">
      <c r="A24" s="5">
        <v>4</v>
      </c>
      <c r="B24" s="136" t="s">
        <v>218</v>
      </c>
      <c r="C24" s="45">
        <v>23.73</v>
      </c>
      <c r="D24" s="137">
        <v>2</v>
      </c>
      <c r="E24" s="137">
        <v>6</v>
      </c>
      <c r="F24" s="186">
        <f t="shared" si="3"/>
        <v>94.92</v>
      </c>
      <c r="G24" s="186">
        <f t="shared" si="4"/>
        <v>7.91</v>
      </c>
    </row>
    <row r="25" spans="1:10" ht="22.5" customHeight="1" x14ac:dyDescent="0.2">
      <c r="A25" s="5">
        <v>5</v>
      </c>
      <c r="B25" s="136" t="s">
        <v>219</v>
      </c>
      <c r="C25" s="45">
        <v>39.99</v>
      </c>
      <c r="D25" s="137">
        <v>2</v>
      </c>
      <c r="E25" s="137">
        <v>6</v>
      </c>
      <c r="F25" s="186">
        <f t="shared" si="3"/>
        <v>159.96</v>
      </c>
      <c r="G25" s="186">
        <f t="shared" si="4"/>
        <v>13.33</v>
      </c>
    </row>
    <row r="26" spans="1:10" ht="22.5" customHeight="1" x14ac:dyDescent="0.2">
      <c r="A26" s="5">
        <v>6</v>
      </c>
      <c r="B26" s="136" t="s">
        <v>212</v>
      </c>
      <c r="C26" s="45">
        <v>63.23</v>
      </c>
      <c r="D26" s="137">
        <v>2</v>
      </c>
      <c r="E26" s="137">
        <v>6</v>
      </c>
      <c r="F26" s="186">
        <f t="shared" si="3"/>
        <v>252.92</v>
      </c>
      <c r="G26" s="186">
        <f t="shared" si="4"/>
        <v>21.076666666666664</v>
      </c>
    </row>
    <row r="27" spans="1:10" ht="22.5" customHeight="1" x14ac:dyDescent="0.2">
      <c r="A27" s="5">
        <v>7</v>
      </c>
      <c r="B27" s="136" t="s">
        <v>214</v>
      </c>
      <c r="C27" s="45">
        <f>(164.9+90.32)/2</f>
        <v>127.61</v>
      </c>
      <c r="D27" s="137">
        <v>2</v>
      </c>
      <c r="E27" s="137">
        <v>6</v>
      </c>
      <c r="F27" s="186">
        <f t="shared" si="3"/>
        <v>510.44</v>
      </c>
      <c r="G27" s="186">
        <f t="shared" si="4"/>
        <v>42.536666666666669</v>
      </c>
    </row>
    <row r="28" spans="1:10" ht="22.5" customHeight="1" x14ac:dyDescent="0.2">
      <c r="B28" s="43"/>
      <c r="C28" s="44"/>
      <c r="D28" s="44"/>
      <c r="E28" s="271" t="s">
        <v>116</v>
      </c>
      <c r="F28" s="272"/>
      <c r="G28" s="41">
        <f>SUM(G21:G27)</f>
        <v>295.63</v>
      </c>
    </row>
    <row r="30" spans="1:10" ht="12" thickBot="1" x14ac:dyDescent="0.25"/>
    <row r="31" spans="1:10" ht="15" thickBot="1" x14ac:dyDescent="0.25">
      <c r="A31" s="267" t="s">
        <v>220</v>
      </c>
      <c r="B31" s="268"/>
      <c r="C31" s="268"/>
      <c r="D31" s="268"/>
      <c r="E31" s="268"/>
      <c r="F31" s="268"/>
      <c r="G31" s="269"/>
    </row>
    <row r="33" spans="1:7" ht="33.75" x14ac:dyDescent="0.2">
      <c r="A33" s="270" t="s">
        <v>84</v>
      </c>
      <c r="B33" s="270"/>
      <c r="C33" s="40" t="s">
        <v>85</v>
      </c>
      <c r="D33" s="40" t="s">
        <v>117</v>
      </c>
      <c r="E33" s="40" t="s">
        <v>115</v>
      </c>
      <c r="F33" s="40" t="s">
        <v>118</v>
      </c>
      <c r="G33" s="40" t="s">
        <v>119</v>
      </c>
    </row>
    <row r="34" spans="1:7" ht="22.5" customHeight="1" x14ac:dyDescent="0.2">
      <c r="A34" s="5">
        <v>1</v>
      </c>
      <c r="B34" s="136" t="s">
        <v>221</v>
      </c>
      <c r="C34" s="45">
        <v>179.95</v>
      </c>
      <c r="D34" s="137">
        <v>2</v>
      </c>
      <c r="E34" s="137">
        <v>6</v>
      </c>
      <c r="F34" s="186">
        <f>SUM(C34*D34*2)</f>
        <v>719.8</v>
      </c>
      <c r="G34" s="186">
        <f>SUM(F34/12)</f>
        <v>59.983333333333327</v>
      </c>
    </row>
    <row r="35" spans="1:7" ht="22.5" customHeight="1" x14ac:dyDescent="0.2">
      <c r="A35" s="5">
        <v>2</v>
      </c>
      <c r="B35" s="136" t="s">
        <v>222</v>
      </c>
      <c r="C35" s="45">
        <v>169</v>
      </c>
      <c r="D35" s="137">
        <v>2</v>
      </c>
      <c r="E35" s="137">
        <v>6</v>
      </c>
      <c r="F35" s="186">
        <f t="shared" ref="F35:F41" si="5">SUM(C35*D35*2)</f>
        <v>676</v>
      </c>
      <c r="G35" s="186">
        <f t="shared" ref="G35:G41" si="6">SUM(F35/12)</f>
        <v>56.333333333333336</v>
      </c>
    </row>
    <row r="36" spans="1:7" ht="22.5" customHeight="1" x14ac:dyDescent="0.2">
      <c r="A36" s="5">
        <v>3</v>
      </c>
      <c r="B36" s="136" t="s">
        <v>223</v>
      </c>
      <c r="C36" s="45">
        <v>69.95</v>
      </c>
      <c r="D36" s="137">
        <v>2</v>
      </c>
      <c r="E36" s="137">
        <v>6</v>
      </c>
      <c r="F36" s="186">
        <f t="shared" si="5"/>
        <v>279.8</v>
      </c>
      <c r="G36" s="186">
        <f t="shared" si="6"/>
        <v>23.316666666666666</v>
      </c>
    </row>
    <row r="37" spans="1:7" ht="22.5" customHeight="1" x14ac:dyDescent="0.2">
      <c r="A37" s="5">
        <v>4</v>
      </c>
      <c r="B37" s="136" t="s">
        <v>224</v>
      </c>
      <c r="C37" s="45">
        <v>72.900000000000006</v>
      </c>
      <c r="D37" s="137">
        <v>2</v>
      </c>
      <c r="E37" s="137">
        <v>6</v>
      </c>
      <c r="F37" s="186">
        <f t="shared" si="5"/>
        <v>291.60000000000002</v>
      </c>
      <c r="G37" s="186">
        <f t="shared" si="6"/>
        <v>24.3</v>
      </c>
    </row>
    <row r="38" spans="1:7" ht="22.5" customHeight="1" x14ac:dyDescent="0.2">
      <c r="A38" s="5">
        <v>5</v>
      </c>
      <c r="B38" s="136" t="s">
        <v>225</v>
      </c>
      <c r="C38" s="45">
        <v>49.99</v>
      </c>
      <c r="D38" s="137">
        <v>2</v>
      </c>
      <c r="E38" s="137">
        <v>6</v>
      </c>
      <c r="F38" s="186">
        <f t="shared" si="5"/>
        <v>199.96</v>
      </c>
      <c r="G38" s="186">
        <f t="shared" si="6"/>
        <v>16.663333333333334</v>
      </c>
    </row>
    <row r="39" spans="1:7" ht="22.5" customHeight="1" x14ac:dyDescent="0.2">
      <c r="A39" s="5">
        <v>6</v>
      </c>
      <c r="B39" s="136" t="s">
        <v>226</v>
      </c>
      <c r="C39" s="45">
        <v>148.99</v>
      </c>
      <c r="D39" s="137">
        <v>2</v>
      </c>
      <c r="E39" s="137">
        <v>6</v>
      </c>
      <c r="F39" s="186">
        <f t="shared" si="5"/>
        <v>595.96</v>
      </c>
      <c r="G39" s="186">
        <f t="shared" si="6"/>
        <v>49.663333333333334</v>
      </c>
    </row>
    <row r="40" spans="1:7" ht="22.5" customHeight="1" x14ac:dyDescent="0.2">
      <c r="A40" s="5">
        <v>7</v>
      </c>
      <c r="B40" s="136" t="s">
        <v>212</v>
      </c>
      <c r="C40" s="45">
        <v>63.23</v>
      </c>
      <c r="D40" s="137">
        <v>2</v>
      </c>
      <c r="E40" s="137">
        <v>6</v>
      </c>
      <c r="F40" s="186">
        <f t="shared" si="5"/>
        <v>252.92</v>
      </c>
      <c r="G40" s="186">
        <f t="shared" si="6"/>
        <v>21.076666666666664</v>
      </c>
    </row>
    <row r="41" spans="1:7" ht="22.5" customHeight="1" x14ac:dyDescent="0.2">
      <c r="A41" s="5">
        <v>8</v>
      </c>
      <c r="B41" s="136" t="s">
        <v>213</v>
      </c>
      <c r="C41" s="45">
        <v>139.96</v>
      </c>
      <c r="D41" s="137">
        <v>2</v>
      </c>
      <c r="E41" s="137">
        <v>6</v>
      </c>
      <c r="F41" s="186">
        <f t="shared" si="5"/>
        <v>559.84</v>
      </c>
      <c r="G41" s="186">
        <f t="shared" si="6"/>
        <v>46.653333333333336</v>
      </c>
    </row>
    <row r="42" spans="1:7" ht="22.5" customHeight="1" x14ac:dyDescent="0.2">
      <c r="B42" s="43"/>
      <c r="C42" s="44"/>
      <c r="D42" s="44"/>
      <c r="E42" s="271" t="s">
        <v>116</v>
      </c>
      <c r="F42" s="272"/>
      <c r="G42" s="41">
        <f>SUM(G34:G41)</f>
        <v>297.99</v>
      </c>
    </row>
    <row r="44" spans="1:7" ht="12" thickBot="1" x14ac:dyDescent="0.25"/>
    <row r="45" spans="1:7" ht="15" customHeight="1" thickBot="1" x14ac:dyDescent="0.25">
      <c r="A45" s="267" t="s">
        <v>227</v>
      </c>
      <c r="B45" s="268"/>
      <c r="C45" s="268"/>
      <c r="D45" s="268"/>
      <c r="E45" s="268"/>
      <c r="F45" s="268"/>
      <c r="G45" s="269"/>
    </row>
    <row r="46" spans="1:7" ht="33.75" x14ac:dyDescent="0.2">
      <c r="A46" s="270" t="s">
        <v>84</v>
      </c>
      <c r="B46" s="270"/>
      <c r="C46" s="40" t="s">
        <v>85</v>
      </c>
      <c r="D46" s="40" t="s">
        <v>117</v>
      </c>
      <c r="E46" s="40" t="s">
        <v>115</v>
      </c>
      <c r="F46" s="40" t="s">
        <v>118</v>
      </c>
      <c r="G46" s="40" t="s">
        <v>119</v>
      </c>
    </row>
    <row r="47" spans="1:7" ht="22.5" customHeight="1" x14ac:dyDescent="0.2">
      <c r="A47" s="5">
        <v>1</v>
      </c>
      <c r="B47" s="136" t="s">
        <v>228</v>
      </c>
      <c r="C47" s="45">
        <v>44.99</v>
      </c>
      <c r="D47" s="137">
        <v>1</v>
      </c>
      <c r="E47" s="137">
        <v>12</v>
      </c>
      <c r="F47" s="186">
        <f>SUM(C47*E47)</f>
        <v>539.88</v>
      </c>
      <c r="G47" s="186">
        <f>SUM(F47/12)</f>
        <v>44.99</v>
      </c>
    </row>
    <row r="48" spans="1:7" ht="22.5" customHeight="1" x14ac:dyDescent="0.2">
      <c r="A48" s="5">
        <v>2</v>
      </c>
      <c r="B48" s="136" t="s">
        <v>229</v>
      </c>
      <c r="C48" s="45">
        <v>998.55</v>
      </c>
      <c r="D48" s="137">
        <v>1</v>
      </c>
      <c r="E48" s="137">
        <v>12</v>
      </c>
      <c r="F48" s="186">
        <f>C48</f>
        <v>998.55</v>
      </c>
      <c r="G48" s="186">
        <f t="shared" ref="G48:G49" si="7">SUM(F48/12)</f>
        <v>83.212499999999991</v>
      </c>
    </row>
    <row r="49" spans="1:7" ht="22.5" customHeight="1" x14ac:dyDescent="0.2">
      <c r="A49" s="5">
        <v>3</v>
      </c>
      <c r="B49" s="136" t="s">
        <v>230</v>
      </c>
      <c r="C49" s="45">
        <v>290.58</v>
      </c>
      <c r="D49" s="137">
        <v>1</v>
      </c>
      <c r="E49" s="137">
        <v>12</v>
      </c>
      <c r="F49" s="186">
        <f>C49</f>
        <v>290.58</v>
      </c>
      <c r="G49" s="186">
        <f t="shared" si="7"/>
        <v>24.215</v>
      </c>
    </row>
    <row r="50" spans="1:7" ht="22.5" customHeight="1" x14ac:dyDescent="0.2">
      <c r="E50" s="271" t="s">
        <v>116</v>
      </c>
      <c r="F50" s="272"/>
      <c r="G50" s="41">
        <f>SUM(G42:G49)</f>
        <v>450.40749999999997</v>
      </c>
    </row>
  </sheetData>
  <mergeCells count="12">
    <mergeCell ref="A45:G45"/>
    <mergeCell ref="A46:B46"/>
    <mergeCell ref="E50:F50"/>
    <mergeCell ref="A2:G2"/>
    <mergeCell ref="A4:B4"/>
    <mergeCell ref="E11:F11"/>
    <mergeCell ref="A18:H18"/>
    <mergeCell ref="A20:B20"/>
    <mergeCell ref="E28:F28"/>
    <mergeCell ref="A31:G31"/>
    <mergeCell ref="A33:B33"/>
    <mergeCell ref="E42:F42"/>
  </mergeCells>
  <pageMargins left="0.511811024" right="0.511811024" top="0.78740157499999996" bottom="0.78740157499999996" header="0.31496062000000002" footer="0.31496062000000002"/>
  <pageSetup paperSize="9" scale="7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Quadro resumo</vt:lpstr>
      <vt:lpstr>Telefonista</vt:lpstr>
      <vt:lpstr>Recepcionista</vt:lpstr>
      <vt:lpstr>Mensageiro</vt:lpstr>
      <vt:lpstr>Insumos</vt:lpstr>
      <vt:lpstr>Insumos!Area_de_impressao</vt:lpstr>
      <vt:lpstr>Mensageiro!Area_de_impressao</vt:lpstr>
      <vt:lpstr>Recepcionista!Area_de_impressao</vt:lpstr>
      <vt:lpstr>Telefonista!Area_de_impressao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2023-06-23T15:11:13Z</cp:lastPrinted>
  <dcterms:created xsi:type="dcterms:W3CDTF">2010-12-08T17:56:29Z</dcterms:created>
  <dcterms:modified xsi:type="dcterms:W3CDTF">2023-11-09T15:37:28Z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