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3\Pregão\2 - Numerado\15 Mão de Obra RJ, SP e DF - 5387 5437 5699\fase externa\edital, relação de itens, aviso dou\"/>
    </mc:Choice>
  </mc:AlternateContent>
  <xr:revisionPtr revIDLastSave="0" documentId="13_ncr:1_{00BF6A5B-31FF-4CBA-943D-A0C316ADE86E}" xr6:coauthVersionLast="47" xr6:coauthVersionMax="47" xr10:uidLastSave="{00000000-0000-0000-0000-000000000000}"/>
  <bookViews>
    <workbookView xWindow="-120" yWindow="-120" windowWidth="20730" windowHeight="11040" tabRatio="877" activeTab="2" xr2:uid="{00000000-000D-0000-FFFF-FFFF00000000}"/>
  </bookViews>
  <sheets>
    <sheet name="Quadro resumo" sheetId="7" r:id="rId1"/>
    <sheet name="Técnico Secretariado" sheetId="29" r:id="rId2"/>
    <sheet name="Copeira" sheetId="27" r:id="rId3"/>
    <sheet name="Insumos" sheetId="23" r:id="rId4"/>
  </sheets>
  <definedNames>
    <definedName name="_xlnm.Print_Area" localSheetId="2">Copeira!$A$1:$I$150</definedName>
    <definedName name="_xlnm.Print_Area" localSheetId="1">'Técnico Secretariado'!$A$1:$I$152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8" i="27" l="1"/>
  <c r="F13" i="23"/>
  <c r="G13" i="23" s="1"/>
  <c r="F12" i="23"/>
  <c r="G12" i="23" s="1"/>
  <c r="F11" i="23"/>
  <c r="G11" i="23" s="1"/>
  <c r="F10" i="23"/>
  <c r="G10" i="23" s="1"/>
  <c r="F9" i="23"/>
  <c r="G9" i="23" s="1"/>
  <c r="F8" i="23"/>
  <c r="G8" i="23" s="1"/>
  <c r="F7" i="23"/>
  <c r="G7" i="23" s="1"/>
  <c r="H61" i="27"/>
  <c r="H60" i="27"/>
  <c r="H60" i="29"/>
  <c r="H61" i="29"/>
  <c r="G148" i="29"/>
  <c r="G147" i="29"/>
  <c r="G146" i="29"/>
  <c r="G121" i="29"/>
  <c r="G49" i="29"/>
  <c r="G56" i="29" s="1"/>
  <c r="G42" i="29"/>
  <c r="G41" i="29"/>
  <c r="H34" i="29"/>
  <c r="H30" i="29" s="1"/>
  <c r="H27" i="29"/>
  <c r="H26" i="29"/>
  <c r="H29" i="29" s="1"/>
  <c r="H34" i="27"/>
  <c r="G14" i="23" l="1"/>
  <c r="G43" i="29"/>
  <c r="H67" i="29"/>
  <c r="H73" i="29" s="1"/>
  <c r="H114" i="29"/>
  <c r="H135" i="29" s="1"/>
  <c r="H28" i="29"/>
  <c r="H32" i="29" s="1"/>
  <c r="H30" i="27"/>
  <c r="H42" i="29" l="1"/>
  <c r="H41" i="29"/>
  <c r="H131" i="29"/>
  <c r="G146" i="27"/>
  <c r="G145" i="27"/>
  <c r="G144" i="27"/>
  <c r="G119" i="27"/>
  <c r="G49" i="27"/>
  <c r="G56" i="27" s="1"/>
  <c r="G42" i="27"/>
  <c r="G41" i="27"/>
  <c r="H27" i="27"/>
  <c r="H26" i="27"/>
  <c r="H29" i="27" s="1"/>
  <c r="H43" i="29" l="1"/>
  <c r="H65" i="27"/>
  <c r="H71" i="27" s="1"/>
  <c r="H28" i="27"/>
  <c r="G43" i="27"/>
  <c r="H145" i="29" l="1"/>
  <c r="H71" i="29"/>
  <c r="H55" i="29"/>
  <c r="H53" i="29"/>
  <c r="H47" i="29"/>
  <c r="H54" i="29"/>
  <c r="H48" i="29"/>
  <c r="H49" i="29"/>
  <c r="H52" i="29"/>
  <c r="H51" i="29"/>
  <c r="H32" i="27"/>
  <c r="H42" i="27" s="1"/>
  <c r="H81" i="29" l="1"/>
  <c r="H83" i="29"/>
  <c r="H82" i="29" s="1"/>
  <c r="H56" i="29"/>
  <c r="H80" i="29"/>
  <c r="H129" i="27"/>
  <c r="H41" i="27"/>
  <c r="H43" i="27" s="1"/>
  <c r="H143" i="27" s="1"/>
  <c r="H79" i="29" l="1"/>
  <c r="H72" i="29"/>
  <c r="H74" i="29" s="1"/>
  <c r="H84" i="29"/>
  <c r="H85" i="29" s="1"/>
  <c r="H53" i="27"/>
  <c r="H52" i="27"/>
  <c r="H51" i="27"/>
  <c r="H55" i="27"/>
  <c r="H78" i="27" s="1"/>
  <c r="H48" i="27"/>
  <c r="H54" i="27"/>
  <c r="H49" i="27"/>
  <c r="H69" i="27"/>
  <c r="H47" i="27"/>
  <c r="H133" i="29" l="1"/>
  <c r="H132" i="29"/>
  <c r="H98" i="29"/>
  <c r="H99" i="29" s="1"/>
  <c r="H104" i="29" s="1"/>
  <c r="H93" i="29"/>
  <c r="H81" i="27"/>
  <c r="H80" i="27" s="1"/>
  <c r="H79" i="27"/>
  <c r="H77" i="27" s="1"/>
  <c r="H56" i="27"/>
  <c r="H82" i="27" s="1"/>
  <c r="H92" i="29" l="1"/>
  <c r="H91" i="29"/>
  <c r="H70" i="27"/>
  <c r="H72" i="27" s="1"/>
  <c r="H83" i="27"/>
  <c r="H94" i="29" l="1"/>
  <c r="H103" i="29" s="1"/>
  <c r="H144" i="29" s="1"/>
  <c r="H96" i="27"/>
  <c r="H97" i="27" s="1"/>
  <c r="H102" i="27" s="1"/>
  <c r="H130" i="27"/>
  <c r="H91" i="27"/>
  <c r="H90" i="27" s="1"/>
  <c r="H131" i="27"/>
  <c r="H105" i="29" l="1"/>
  <c r="H134" i="29" s="1"/>
  <c r="H136" i="29" s="1"/>
  <c r="H119" i="29" s="1"/>
  <c r="H146" i="29"/>
  <c r="H89" i="27"/>
  <c r="H92" i="27" s="1"/>
  <c r="H101" i="27" s="1"/>
  <c r="H120" i="29" l="1"/>
  <c r="H121" i="29" s="1"/>
  <c r="H147" i="29"/>
  <c r="H142" i="27"/>
  <c r="H144" i="27" s="1"/>
  <c r="H103" i="27"/>
  <c r="H132" i="27" s="1"/>
  <c r="H124" i="29" l="1"/>
  <c r="H123" i="29"/>
  <c r="H122" i="29"/>
  <c r="H148" i="29"/>
  <c r="H149" i="29" s="1"/>
  <c r="H145" i="27"/>
  <c r="H146" i="27" s="1"/>
  <c r="H125" i="29" l="1"/>
  <c r="H137" i="29" s="1"/>
  <c r="H138" i="29" s="1"/>
  <c r="H147" i="27"/>
  <c r="H143" i="29" l="1"/>
  <c r="H150" i="29" s="1"/>
  <c r="E9" i="7"/>
  <c r="H112" i="27" l="1"/>
  <c r="H133" i="27" s="1"/>
  <c r="H134" i="27" s="1"/>
  <c r="H117" i="27" l="1"/>
  <c r="H118" i="27" s="1"/>
  <c r="H119" i="27" l="1"/>
  <c r="H122" i="27" l="1"/>
  <c r="H120" i="27"/>
  <c r="H121" i="27"/>
  <c r="H123" i="27" l="1"/>
  <c r="H135" i="27" l="1"/>
  <c r="H136" i="27" l="1"/>
  <c r="E10" i="7" s="1"/>
  <c r="F10" i="7" s="1"/>
  <c r="G10" i="7" s="1"/>
  <c r="F9" i="7" l="1"/>
  <c r="G9" i="7" s="1"/>
  <c r="G11" i="7" s="1"/>
  <c r="H141" i="27"/>
  <c r="H148" i="27" l="1"/>
  <c r="G12" i="7"/>
  <c r="F1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02BE5207-5F06-4AF6-9A44-C6C7F23C80CA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CBED784B-BF54-401F-9AE5-02866B5C1FE1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34BE92B1-C6A8-48AD-9CB1-868AB74FA307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3B2A6A1E-0EBA-4D6A-9777-9E6EECC6C873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5D0EEC26-5742-41A9-A029-ADFB01625C1A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07DB291C-5321-4548-85E4-564E54704934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DACD82CA-5819-467B-8F7F-A40DAE0C3D16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1641E7C7-B807-4DB5-9901-53FC08A9E396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B5E6DDD0-3521-472E-8F03-C5F4CF0A2156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C5FE2EB5-0EAC-4FE4-87CA-D68DF912469F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9A20CC79-BEC5-4287-A057-3B0F512348F5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0CB2D953-3DAE-4D84-86CE-AEF759E27F69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F501FA83-29A8-4A86-81B6-D59DB209D925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63B68908-A4EA-4909-BA01-55DA01158C34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71BEFC30-8441-4E0A-9321-2CBED212F251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FA452184-CD7A-49A5-B9F5-00D63E1040E2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E8A3B90E-E597-49C0-B16F-DD87FA177D4A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B0DC060C-9FDF-4C72-A043-9C4868FCBC14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80" authorId="1" shapeId="0" xr:uid="{FE319415-5624-4887-AC89-BDD99A0B80A5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81" authorId="1" shapeId="0" xr:uid="{10898D68-D198-4589-8A6C-C2E1187DD499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2" authorId="1" shapeId="0" xr:uid="{033576B3-B25E-42C5-9670-0F6FC1D0203A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3" authorId="1" shapeId="0" xr:uid="{F4C09145-2718-401F-AA62-AF7B39E7109F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4" authorId="1" shapeId="0" xr:uid="{FA83401B-AB3D-4BCE-9C66-C7C44CA54397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4" authorId="1" shapeId="0" xr:uid="{0674FB0B-8D24-47AA-B41C-8FCF387AA6D4}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4" authorId="1" shapeId="0" xr:uid="{9BD7A048-4649-4926-9830-FA7CDF66B10D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8" authorId="0" shapeId="0" xr:uid="{F86095D0-9A89-479D-B8BC-713C7F8D1F09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90" authorId="0" shapeId="0" xr:uid="{0A122283-4D8E-492B-A00C-4770187C1808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91" authorId="1" shapeId="0" xr:uid="{3C159036-170D-4108-A193-1AEEEB2B8BFE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2" authorId="0" shapeId="0" xr:uid="{DC20638F-577F-46ED-926B-ECC20AE881CB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3" authorId="1" shapeId="0" xr:uid="{2CCD3638-824E-4411-9AD8-5D8FE61EF513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7" authorId="0" shapeId="0" xr:uid="{2CA0688A-B457-4012-AC12-356292D15049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8" authorId="0" shapeId="0" xr:uid="{DB2C3405-7ACB-4574-874F-C8D0E9DE0AA9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00000000-0006-0000-0100-000002000000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00000000-0006-0000-0100-000003000000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00000000-0006-0000-0100-000004000000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00000000-0006-0000-0100-000005000000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00000000-0006-0000-0100-000006000000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00000000-0006-0000-0100-000007000000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00000000-0006-0000-0100-000008000000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00000000-0006-0000-0100-000009000000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00000000-0006-0000-0100-00000A000000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00000000-0006-0000-0100-00000B000000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00000000-0006-0000-0100-00000C000000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00000000-0006-0000-0100-00000D000000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00000000-0006-0000-0100-00000E000000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00000000-0006-0000-0100-00000F000000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00000000-0006-0000-0100-000010000000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00000000-0006-0000-0100-000011000000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00000000-0006-0000-0100-000012000000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8" authorId="1" shapeId="0" xr:uid="{00000000-0006-0000-0100-000013000000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9" authorId="1" shapeId="0" xr:uid="{00000000-0006-0000-0100-00001400000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0" authorId="1" shapeId="0" xr:uid="{00000000-0006-0000-0100-000015000000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1" authorId="1" shapeId="0" xr:uid="{00000000-0006-0000-0100-00001600000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2" authorId="1" shapeId="0" xr:uid="{00000000-0006-0000-0100-000017000000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2" authorId="1" shapeId="0" xr:uid="{00000000-0006-0000-0100-000018000000}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2" authorId="1" shapeId="0" xr:uid="{00000000-0006-0000-0100-000019000000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6" authorId="0" shapeId="0" xr:uid="{00000000-0006-0000-0100-00001A000000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8" authorId="0" shapeId="0" xr:uid="{00000000-0006-0000-0100-00001B000000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9" authorId="1" shapeId="0" xr:uid="{00000000-0006-0000-0100-00001C000000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0" authorId="0" shapeId="0" xr:uid="{00000000-0006-0000-0100-00001D000000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1" authorId="1" shapeId="0" xr:uid="{00000000-0006-0000-0100-00001E000000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5" authorId="0" shapeId="0" xr:uid="{00000000-0006-0000-0100-00001F000000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6" authorId="0" shapeId="0" xr:uid="{00000000-0006-0000-0100-000020000000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sharedStrings.xml><?xml version="1.0" encoding="utf-8"?>
<sst xmlns="http://schemas.openxmlformats.org/spreadsheetml/2006/main" count="593" uniqueCount="222">
  <si>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</si>
  <si>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</si>
  <si>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</si>
  <si>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</si>
  <si>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</si>
  <si>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</si>
  <si>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</si>
  <si>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</si>
  <si>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</si>
  <si>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</si>
  <si>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</si>
  <si>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</si>
  <si>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</si>
  <si>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</si>
  <si>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4.1</t>
  </si>
  <si>
    <t>4.2</t>
  </si>
  <si>
    <t>Custos Indiretos</t>
  </si>
  <si>
    <t>Salário Base</t>
  </si>
  <si>
    <t>PIS</t>
  </si>
  <si>
    <t>COFINS</t>
  </si>
  <si>
    <t>ISS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</si>
  <si>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</si>
  <si>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</si>
  <si>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</si>
  <si>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</si>
  <si>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</si>
  <si>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</si>
  <si>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</si>
  <si>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</si>
  <si>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</si>
  <si>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</si>
  <si>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</si>
  <si>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</si>
  <si>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</si>
  <si>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</si>
  <si>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</si>
  <si>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</si>
  <si>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</si>
  <si>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</si>
  <si>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</si>
  <si>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</si>
  <si>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</si>
  <si>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</si>
  <si>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</si>
  <si>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</si>
  <si>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</si>
  <si>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</si>
  <si>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</si>
  <si>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</si>
  <si>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Valor (R$)</t>
  </si>
  <si>
    <t>PLANILHA DE CUSTOS E FORMAÇÃO DE PREÇOS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</si>
  <si>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</si>
  <si>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</si>
  <si>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</si>
  <si>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</si>
  <si>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</si>
  <si>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</si>
  <si>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Data-Base da Categoria (dia/mês/ano)</t>
  </si>
  <si>
    <t xml:space="preserve">Ano do Acordo, Convenção ou Dissídio Coletivo: </t>
  </si>
  <si>
    <t>Indicação dos sindicatos, acordos coletivos ou convenções coletivas</t>
  </si>
  <si>
    <t>Composição da Remuneração</t>
  </si>
  <si>
    <t>Total</t>
  </si>
  <si>
    <t>Provisão para Rescisão</t>
  </si>
  <si>
    <t>Insumos Diversos</t>
  </si>
  <si>
    <t>Custos Indiretos, Tributos e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</si>
  <si>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</si>
  <si>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</si>
  <si>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</si>
  <si>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</si>
  <si>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</si>
  <si>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</si>
  <si>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</si>
  <si>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Módulo 3 - PROVISÃO PARA RESCISÃO</t>
  </si>
  <si>
    <t>Módulo 4 -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</si>
  <si>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</si>
  <si>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</si>
  <si>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</si>
  <si>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</si>
  <si>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</si>
  <si>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</si>
  <si>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</si>
  <si>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</si>
  <si>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</si>
  <si>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</si>
  <si>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Item</t>
  </si>
  <si>
    <t>Custo Unitário</t>
  </si>
  <si>
    <t>Cargo</t>
  </si>
  <si>
    <t>Meses</t>
  </si>
  <si>
    <t>Valor Mensal</t>
  </si>
  <si>
    <t>Valor Total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</si>
  <si>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</si>
  <si>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</si>
  <si>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</si>
  <si>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</si>
  <si>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</si>
  <si>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</si>
  <si>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Valor Unitário</t>
  </si>
  <si>
    <t>API com Probabilidade</t>
  </si>
  <si>
    <t>Aviso Prévio Indenizado - API</t>
  </si>
  <si>
    <t>Multa do FGTS do API</t>
  </si>
  <si>
    <t>APT com Probabilidade</t>
  </si>
  <si>
    <t>Multa do FGTS do APT</t>
  </si>
  <si>
    <t xml:space="preserve">FAP </t>
  </si>
  <si>
    <t>SAT - GIIL/RAT</t>
  </si>
  <si>
    <t xml:space="preserve">RAT </t>
  </si>
  <si>
    <t>Dias</t>
  </si>
  <si>
    <t>Valor Total por Empregado</t>
  </si>
  <si>
    <t>Tributos</t>
  </si>
  <si>
    <t>Total Custo Variável (Pagamento pelo Fato Gerador)</t>
  </si>
  <si>
    <t>Adicional de Hora Extra</t>
  </si>
  <si>
    <t>Quant. h/mês</t>
  </si>
  <si>
    <t>Férias</t>
  </si>
  <si>
    <r>
      <t>13º (Décimo-terceiro) salário</t>
    </r>
    <r>
      <rPr>
        <sz val="9"/>
        <color indexed="10"/>
        <rFont val="Tahoma"/>
        <family val="2"/>
      </rPr>
      <t xml:space="preserve"> </t>
    </r>
  </si>
  <si>
    <t>Custo diário do substituto</t>
  </si>
  <si>
    <t>Vida Útil (meses)</t>
  </si>
  <si>
    <t>CUSTO TOTAL MENSAL</t>
  </si>
  <si>
    <t>Nº de Mudas por posto</t>
  </si>
  <si>
    <t>Custo anual por posto</t>
  </si>
  <si>
    <t>Custo mensal por posto</t>
  </si>
  <si>
    <t>BASE DE CÁLCULO DOS TRIBUTOS</t>
  </si>
  <si>
    <t>Mão de Obra vinculada à execução contratual (valor por posto)</t>
  </si>
  <si>
    <t>Memória de cálculo da hora extra</t>
  </si>
  <si>
    <t>VALOR TOTAL</t>
  </si>
  <si>
    <t>Valor da hora extra</t>
  </si>
  <si>
    <r>
      <t>Quantidade (</t>
    </r>
    <r>
      <rPr>
        <b/>
        <sz val="9"/>
        <color rgb="FFFF0000"/>
        <rFont val="Tahoma"/>
        <family val="2"/>
      </rPr>
      <t>Posto</t>
    </r>
    <r>
      <rPr>
        <b/>
        <sz val="9"/>
        <color theme="1"/>
        <rFont val="Tahoma"/>
        <family val="2"/>
      </rPr>
      <t xml:space="preserve">) </t>
    </r>
  </si>
  <si>
    <t>Anexo II</t>
  </si>
  <si>
    <r>
      <t xml:space="preserve">Ref.: Pregão eletrônico nº </t>
    </r>
    <r>
      <rPr>
        <b/>
        <sz val="9"/>
        <color rgb="FFFF0000"/>
        <rFont val="Tahoma"/>
        <family val="2"/>
      </rPr>
      <t>XX</t>
    </r>
    <r>
      <rPr>
        <b/>
        <sz val="9"/>
        <rFont val="Tahoma"/>
        <family val="2"/>
      </rPr>
      <t>/202</t>
    </r>
    <r>
      <rPr>
        <b/>
        <sz val="9"/>
        <color rgb="FFFF0000"/>
        <rFont val="Tahoma"/>
        <family val="2"/>
      </rPr>
      <t>X</t>
    </r>
  </si>
  <si>
    <t>Os valores destinados ao pagamento de férias, décimo terceiro salário, ausências legais e verbas rescisórias dos empregados da contratada que participarem da execução dos serviços contratados serão efetuados pela contratante à contratada somente na ocorrência do fato gerador</t>
  </si>
  <si>
    <t>Pagamento Mensal Sem Fato Gerador</t>
  </si>
  <si>
    <t>1.A x 30%</t>
  </si>
  <si>
    <t>Tot.1</t>
  </si>
  <si>
    <t>Tot.1 x 8,33%</t>
  </si>
  <si>
    <t>Tot.2.1</t>
  </si>
  <si>
    <t>Tot.1 x 11,11%</t>
  </si>
  <si>
    <t>(Tot.1 + Tot.2.1) x 20%</t>
  </si>
  <si>
    <t>(Tot.1 + Tot.2.1) x 2,5%</t>
  </si>
  <si>
    <t>(Tot.1 + Tot.2.1) x 1,5%</t>
  </si>
  <si>
    <t>(Tot.1 + Tot.2.1) x 1%</t>
  </si>
  <si>
    <t>(Tot.1 + Tot.2.1) x 0,6%</t>
  </si>
  <si>
    <t>(Tot.1 + Tot.2.1) x 0,2%</t>
  </si>
  <si>
    <t>(Tot.1 + Tot.2.1) x 8%</t>
  </si>
  <si>
    <t>(Tot.1 + Tot.2.1) x (RAT x FAP)</t>
  </si>
  <si>
    <t>Tot.2.2</t>
  </si>
  <si>
    <t>Tot.2.3</t>
  </si>
  <si>
    <t>Tot.2</t>
  </si>
  <si>
    <t>(VT diário x 22 d.u.) - (1.A x 6%)</t>
  </si>
  <si>
    <t>(VR/VA x 22 d.u.) - (Custo do empregado)</t>
  </si>
  <si>
    <t>(Tot.1 + Tot.2 + Tot.3) ÷ 30 dias</t>
  </si>
  <si>
    <t>Tot.3</t>
  </si>
  <si>
    <t>Tot.4.1</t>
  </si>
  <si>
    <t>Tot.4.2</t>
  </si>
  <si>
    <t>Tot.4</t>
  </si>
  <si>
    <t>Tot.5</t>
  </si>
  <si>
    <t>Tot.6</t>
  </si>
  <si>
    <t>(4.1.C x 30 dias) ÷ 12 meses</t>
  </si>
  <si>
    <t>6.A + 6.B + 6.C.1 + 6.C.2 + 6.C.3</t>
  </si>
  <si>
    <t>Tot.7</t>
  </si>
  <si>
    <t>Tot.8</t>
  </si>
  <si>
    <t>Provisão para férias, 13º salário , ausências legais, Rescisão</t>
  </si>
  <si>
    <t>Tot.2.1 + Tot.3 + Tot.4.1</t>
  </si>
  <si>
    <t>Outros (ausências legais, paternidade,  acidente de trabalho, maternidade, outros)</t>
  </si>
  <si>
    <r>
      <t xml:space="preserve">(3.B + 3.C)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</si>
  <si>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3.E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</si>
  <si>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(4.1.C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dias) ÷ 12 meses</t>
    </r>
  </si>
  <si>
    <r>
      <t xml:space="preserve">7.F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</si>
  <si>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</si>
  <si>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 + 6.B) ÷ </t>
    </r>
    <r>
      <rPr>
        <sz val="8"/>
        <color rgb="FFFF0000"/>
        <rFont val="Tahoma"/>
        <family val="2"/>
      </rPr>
      <t>XX</t>
    </r>
  </si>
  <si>
    <r>
      <t xml:space="preserve">6.C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</si>
  <si>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(8.B + 8.C)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</si>
  <si>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r>
      <t xml:space="preserve">(8.B + 8.C + 8.D)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</si>
  <si>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7.F + 7.G</t>
  </si>
  <si>
    <t>7.A + 7.B + 7.C + 7.D + 7.E</t>
  </si>
  <si>
    <r>
      <t xml:space="preserve">1.A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(10%, 20% ou 40%)</t>
    </r>
  </si>
  <si>
    <t>2.2.H x 40%</t>
  </si>
  <si>
    <r>
      <t xml:space="preserve">{[(Tot.1+Tot.2.1+Tot.2.2)÷30 dias]x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dias}÷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meses</t>
    </r>
  </si>
  <si>
    <t>Encargos Previdenciários, FGTS e outras contribuições</t>
  </si>
  <si>
    <t>8.A - 8.G</t>
  </si>
  <si>
    <r>
      <t xml:space="preserve">(8.B + 8.C + 8.D + 8.E)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</si>
  <si>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8.B + 8.C + 8.D + 8.E + 8.F</t>
  </si>
  <si>
    <t>Aviso Prévio - Lei nº 12.506/2011, Art. 1º</t>
  </si>
  <si>
    <t>[(1.A + 1.B) x 20%]/220h x 8h x nº dias trabalhados mês</t>
  </si>
  <si>
    <r>
      <t xml:space="preserve">{[(1.A + 1.B + 1.C) ÷ 220h]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h}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(50% ou 100%)</t>
    </r>
  </si>
  <si>
    <t>(Tot.1 + Tot.2.1 + 2.2.H + Tot.2.3 - 2.3.A) ÷ 12 meses</t>
  </si>
  <si>
    <t>Tot. 2.1 x Encargos % 2.2</t>
  </si>
  <si>
    <r>
      <t xml:space="preserve">(Tot.1 + Tot.2 + Tot.3) ÷ 220h x (1+50%)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</t>
    </r>
  </si>
  <si>
    <t>excluir, se for o caso</t>
  </si>
  <si>
    <r>
      <t>[Local]</t>
    </r>
    <r>
      <rPr>
        <sz val="9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</si>
  <si>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</si>
  <si>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</si>
  <si>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</si>
  <si>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</si>
  <si>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</si>
  <si>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RG: _____________________</t>
  </si>
  <si>
    <t>A contar do dia da sessão de recebimento da mesma (observar o subitem 5.5 do Edital).</t>
  </si>
  <si>
    <t>Preencher apenas as células em amarelo e substituir os caracteres em vermelho</t>
  </si>
  <si>
    <t>CUSTO POR EMPREGADO</t>
  </si>
  <si>
    <t>Módulo 7 - QUADRO-RESUMO DO CUSTO POR EMPREGADO</t>
  </si>
  <si>
    <t>PAGAMENTO MÍNIMO MENSAL SEM FATO GERADOR E/OU OUTRAS OCORRÊNCIAS</t>
  </si>
  <si>
    <t>Módulo 8- QUADRO-RESUMO DO PAGAMENTO MENSAL SEM FATO GERADOR E/OU OUTRAS OCORRÊNCIAS</t>
  </si>
  <si>
    <t>Contrato inicial</t>
  </si>
  <si>
    <t>Técnico Secretariado</t>
  </si>
  <si>
    <t xml:space="preserve">Auxílio Saúde </t>
  </si>
  <si>
    <t>Assistência Odontológica</t>
  </si>
  <si>
    <t>Contribuição de Custeio Patronal</t>
  </si>
  <si>
    <t>Seguro Vida</t>
  </si>
  <si>
    <t>Auxílio Creche</t>
  </si>
  <si>
    <t xml:space="preserve">Assistência Odontológica </t>
  </si>
  <si>
    <t xml:space="preserve">Seguro Vida </t>
  </si>
  <si>
    <t>DF000037/2023</t>
  </si>
  <si>
    <t xml:space="preserve">Copeira </t>
  </si>
  <si>
    <t>UNIFORMES COPEIRA</t>
  </si>
  <si>
    <t>Camisa Social Feminina</t>
  </si>
  <si>
    <t>Calça Social Feminina</t>
  </si>
  <si>
    <t>Cinto Feminino</t>
  </si>
  <si>
    <t>Avental</t>
  </si>
  <si>
    <t>Sapato</t>
  </si>
  <si>
    <t>Meia Social</t>
  </si>
  <si>
    <t>Blazer Feminino</t>
  </si>
  <si>
    <r>
      <t>OBJETO:</t>
    </r>
    <r>
      <rPr>
        <sz val="9"/>
        <rFont val="Tahoma"/>
        <family val="2"/>
      </rPr>
      <t xml:space="preserve"> </t>
    </r>
    <r>
      <rPr>
        <sz val="9"/>
        <color rgb="FFFF0000"/>
        <rFont val="Tahoma"/>
        <family val="2"/>
      </rPr>
      <t>1.1.	Contratação de empresa especializada na prestação de serviço continuado de telefonistas,
 recepcionistas, mensageiro interno e externo, técnico de secretariado e copeira.</t>
    </r>
  </si>
  <si>
    <t>Categoria Profissional</t>
  </si>
  <si>
    <t xml:space="preserve">Categoria Profissional </t>
  </si>
  <si>
    <t>Copeira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</si>
</sst>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_ ;\-#,##0.00\ "/>
    <numFmt numFmtId="166" formatCode="#,##0_ ;\-#,##0\ "/>
    <numFmt numFmtId="167" formatCode="&quot;R$&quot;\ #,##0.00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9"/>
      <color theme="3"/>
      <name val="Tahoma"/>
      <family val="2"/>
    </font>
    <font>
      <sz val="9"/>
      <color indexed="8"/>
      <name val="Tahoma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Tahoma"/>
      <family val="2"/>
    </font>
    <font>
      <b/>
      <sz val="8"/>
      <color theme="1"/>
      <name val="Tahoma"/>
      <family val="2"/>
    </font>
    <font>
      <sz val="7.5"/>
      <name val="Tahoma"/>
      <family val="2"/>
    </font>
    <font>
      <sz val="7.5"/>
      <color rgb="FFFF0000"/>
      <name val="Tahoma"/>
      <family val="2"/>
    </font>
    <font>
      <sz val="9"/>
      <color theme="3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0">
    <xf numFmtId="0" fontId="0" fillId="0" borderId="0" xfId="0"/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8" fontId="14" fillId="0" borderId="1" xfId="0" applyNumberFormat="1" applyFont="1" applyBorder="1" applyAlignment="1">
      <alignment vertical="center" wrapText="1"/>
    </xf>
    <xf numFmtId="8" fontId="14" fillId="5" borderId="1" xfId="0" applyNumberFormat="1" applyFont="1" applyFill="1" applyBorder="1" applyAlignment="1">
      <alignment horizontal="right" vertical="center" wrapText="1"/>
    </xf>
    <xf numFmtId="8" fontId="15" fillId="0" borderId="1" xfId="0" applyNumberFormat="1" applyFont="1" applyBorder="1" applyAlignment="1">
      <alignment vertical="center"/>
    </xf>
    <xf numFmtId="8" fontId="6" fillId="0" borderId="1" xfId="0" applyNumberFormat="1" applyFont="1" applyBorder="1" applyAlignment="1">
      <alignment vertical="center"/>
    </xf>
    <xf numFmtId="0" fontId="20" fillId="6" borderId="17" xfId="0" applyFont="1" applyFill="1" applyBorder="1" applyAlignment="1">
      <alignment horizontal="center" vertical="center"/>
    </xf>
    <xf numFmtId="165" fontId="14" fillId="5" borderId="1" xfId="0" applyNumberFormat="1" applyFont="1" applyFill="1" applyBorder="1" applyAlignment="1">
      <alignment vertical="center"/>
    </xf>
    <xf numFmtId="10" fontId="14" fillId="0" borderId="1" xfId="2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43" fontId="7" fillId="0" borderId="1" xfId="3" applyFont="1" applyBorder="1" applyAlignment="1">
      <alignment vertical="center"/>
    </xf>
    <xf numFmtId="43" fontId="6" fillId="3" borderId="1" xfId="3" applyFont="1" applyFill="1" applyBorder="1" applyAlignment="1">
      <alignment vertical="center"/>
    </xf>
    <xf numFmtId="43" fontId="6" fillId="0" borderId="0" xfId="3" applyFont="1" applyFill="1" applyBorder="1" applyAlignment="1">
      <alignment vertical="center"/>
    </xf>
    <xf numFmtId="10" fontId="7" fillId="0" borderId="1" xfId="0" applyNumberFormat="1" applyFont="1" applyBorder="1" applyAlignment="1">
      <alignment horizontal="center" vertical="center"/>
    </xf>
    <xf numFmtId="43" fontId="7" fillId="0" borderId="1" xfId="3" applyFont="1" applyFill="1" applyBorder="1" applyAlignment="1">
      <alignment vertical="center"/>
    </xf>
    <xf numFmtId="10" fontId="6" fillId="3" borderId="1" xfId="0" applyNumberFormat="1" applyFont="1" applyFill="1" applyBorder="1" applyAlignment="1">
      <alignment horizontal="center" vertical="center"/>
    </xf>
    <xf numFmtId="10" fontId="6" fillId="3" borderId="13" xfId="0" applyNumberFormat="1" applyFont="1" applyFill="1" applyBorder="1" applyAlignment="1">
      <alignment horizontal="center" vertical="center"/>
    </xf>
    <xf numFmtId="43" fontId="6" fillId="0" borderId="1" xfId="3" applyFont="1" applyFill="1" applyBorder="1" applyAlignment="1">
      <alignment vertical="center"/>
    </xf>
    <xf numFmtId="10" fontId="11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43" fontId="7" fillId="0" borderId="1" xfId="3" applyFont="1" applyFill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vertical="center"/>
    </xf>
    <xf numFmtId="164" fontId="6" fillId="3" borderId="1" xfId="1" applyFont="1" applyFill="1" applyBorder="1" applyAlignment="1">
      <alignment vertical="center"/>
    </xf>
    <xf numFmtId="2" fontId="5" fillId="0" borderId="0" xfId="0" applyNumberFormat="1" applyFont="1" applyAlignment="1">
      <alignment vertical="center"/>
    </xf>
    <xf numFmtId="165" fontId="15" fillId="2" borderId="1" xfId="0" applyNumberFormat="1" applyFont="1" applyFill="1" applyBorder="1" applyAlignment="1">
      <alignment vertical="center"/>
    </xf>
    <xf numFmtId="43" fontId="7" fillId="7" borderId="1" xfId="3" applyFont="1" applyFill="1" applyBorder="1" applyAlignment="1">
      <alignment vertical="center"/>
    </xf>
    <xf numFmtId="9" fontId="7" fillId="7" borderId="1" xfId="2" applyFont="1" applyFill="1" applyBorder="1" applyAlignment="1">
      <alignment horizontal="center" vertical="center"/>
    </xf>
    <xf numFmtId="10" fontId="7" fillId="7" borderId="1" xfId="2" applyNumberFormat="1" applyFont="1" applyFill="1" applyBorder="1" applyAlignment="1">
      <alignment horizontal="center" vertical="center"/>
    </xf>
    <xf numFmtId="43" fontId="7" fillId="0" borderId="1" xfId="0" applyNumberFormat="1" applyFont="1" applyBorder="1" applyAlignment="1">
      <alignment vertical="center"/>
    </xf>
    <xf numFmtId="9" fontId="7" fillId="7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43" fontId="7" fillId="7" borderId="1" xfId="3" applyFont="1" applyFill="1" applyBorder="1" applyAlignment="1">
      <alignment horizontal="right" vertical="center"/>
    </xf>
    <xf numFmtId="10" fontId="7" fillId="7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4" fontId="15" fillId="5" borderId="0" xfId="0" applyNumberFormat="1" applyFont="1" applyFill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10" fontId="7" fillId="7" borderId="1" xfId="0" applyNumberFormat="1" applyFont="1" applyFill="1" applyBorder="1" applyAlignment="1">
      <alignment horizontal="right" vertical="center"/>
    </xf>
    <xf numFmtId="10" fontId="7" fillId="7" borderId="1" xfId="2" applyNumberFormat="1" applyFont="1" applyFill="1" applyBorder="1" applyAlignment="1">
      <alignment horizontal="right" vertical="center"/>
    </xf>
    <xf numFmtId="0" fontId="7" fillId="3" borderId="1" xfId="2" applyNumberFormat="1" applyFont="1" applyFill="1" applyBorder="1" applyAlignment="1">
      <alignment horizontal="right" vertical="center"/>
    </xf>
    <xf numFmtId="43" fontId="7" fillId="0" borderId="1" xfId="3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66" fontId="14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8" fontId="7" fillId="0" borderId="0" xfId="0" applyNumberFormat="1" applyFont="1" applyAlignment="1">
      <alignment vertical="center"/>
    </xf>
    <xf numFmtId="8" fontId="6" fillId="2" borderId="1" xfId="0" applyNumberFormat="1" applyFont="1" applyFill="1" applyBorder="1" applyAlignment="1">
      <alignment vertical="center"/>
    </xf>
    <xf numFmtId="2" fontId="7" fillId="7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7" fillId="5" borderId="9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43" fontId="7" fillId="5" borderId="1" xfId="3" applyFont="1" applyFill="1" applyBorder="1" applyAlignment="1">
      <alignment vertical="center"/>
    </xf>
    <xf numFmtId="43" fontId="6" fillId="5" borderId="0" xfId="3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16" fillId="5" borderId="14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6" fillId="5" borderId="18" xfId="0" applyFont="1" applyFill="1" applyBorder="1" applyAlignment="1">
      <alignment horizontal="left" vertical="center" wrapText="1"/>
    </xf>
    <xf numFmtId="10" fontId="6" fillId="5" borderId="0" xfId="0" applyNumberFormat="1" applyFont="1" applyFill="1" applyAlignment="1">
      <alignment horizontal="center" vertical="center"/>
    </xf>
    <xf numFmtId="2" fontId="6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14" fillId="7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3" fontId="6" fillId="0" borderId="1" xfId="3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left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3" fontId="7" fillId="0" borderId="0" xfId="3" applyFont="1" applyBorder="1" applyAlignment="1">
      <alignment vertical="center"/>
    </xf>
    <xf numFmtId="43" fontId="7" fillId="5" borderId="0" xfId="3" applyFont="1" applyFill="1" applyBorder="1" applyAlignment="1">
      <alignment vertical="center"/>
    </xf>
    <xf numFmtId="43" fontId="7" fillId="0" borderId="0" xfId="3" applyFont="1" applyBorder="1" applyAlignment="1">
      <alignment horizontal="center" vertical="center"/>
    </xf>
    <xf numFmtId="43" fontId="7" fillId="0" borderId="0" xfId="0" applyNumberFormat="1" applyFont="1" applyAlignment="1">
      <alignment vertical="center"/>
    </xf>
    <xf numFmtId="43" fontId="7" fillId="0" borderId="0" xfId="3" applyFont="1" applyFill="1" applyBorder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43" fontId="6" fillId="0" borderId="0" xfId="3" applyFont="1" applyFill="1" applyBorder="1" applyAlignment="1">
      <alignment horizontal="center" vertical="center"/>
    </xf>
    <xf numFmtId="43" fontId="7" fillId="0" borderId="0" xfId="3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vertical="center"/>
    </xf>
    <xf numFmtId="165" fontId="11" fillId="0" borderId="0" xfId="1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5" fontId="14" fillId="0" borderId="1" xfId="0" applyNumberFormat="1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7" fillId="0" borderId="0" xfId="3" applyFont="1" applyFill="1" applyBorder="1" applyAlignment="1">
      <alignment horizontal="right" vertical="center"/>
    </xf>
    <xf numFmtId="164" fontId="6" fillId="0" borderId="0" xfId="1" applyFont="1" applyFill="1" applyBorder="1" applyAlignment="1">
      <alignment vertical="center"/>
    </xf>
    <xf numFmtId="165" fontId="15" fillId="0" borderId="0" xfId="0" applyNumberFormat="1" applyFont="1" applyAlignment="1">
      <alignment vertical="center"/>
    </xf>
    <xf numFmtId="43" fontId="6" fillId="0" borderId="0" xfId="0" applyNumberFormat="1" applyFont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/>
    </xf>
    <xf numFmtId="10" fontId="7" fillId="8" borderId="1" xfId="2" applyNumberFormat="1" applyFont="1" applyFill="1" applyBorder="1" applyAlignment="1">
      <alignment horizontal="center" vertical="center"/>
    </xf>
    <xf numFmtId="43" fontId="7" fillId="8" borderId="1" xfId="3" applyFont="1" applyFill="1" applyBorder="1" applyAlignment="1">
      <alignment vertical="center"/>
    </xf>
    <xf numFmtId="43" fontId="11" fillId="5" borderId="0" xfId="3" applyFont="1" applyFill="1" applyBorder="1" applyAlignment="1">
      <alignment vertical="center"/>
    </xf>
    <xf numFmtId="0" fontId="6" fillId="8" borderId="13" xfId="0" applyFont="1" applyFill="1" applyBorder="1" applyAlignment="1">
      <alignment horizontal="center" vertical="center"/>
    </xf>
    <xf numFmtId="10" fontId="7" fillId="8" borderId="1" xfId="2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165" fontId="28" fillId="0" borderId="1" xfId="1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6" fillId="5" borderId="0" xfId="0" applyFont="1" applyFill="1" applyAlignment="1">
      <alignment vertical="center"/>
    </xf>
    <xf numFmtId="0" fontId="28" fillId="0" borderId="11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vertical="center" wrapText="1"/>
    </xf>
    <xf numFmtId="0" fontId="6" fillId="5" borderId="16" xfId="0" applyFont="1" applyFill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/>
    </xf>
    <xf numFmtId="43" fontId="7" fillId="0" borderId="2" xfId="3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0" fontId="13" fillId="5" borderId="9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0" fontId="13" fillId="5" borderId="10" xfId="0" applyFont="1" applyFill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14" fillId="5" borderId="2" xfId="0" applyFont="1" applyFill="1" applyBorder="1" applyAlignment="1">
      <alignment vertical="center" wrapText="1"/>
    </xf>
    <xf numFmtId="0" fontId="13" fillId="5" borderId="16" xfId="0" applyFont="1" applyFill="1" applyBorder="1" applyAlignment="1">
      <alignment vertical="center"/>
    </xf>
    <xf numFmtId="165" fontId="14" fillId="5" borderId="2" xfId="0" applyNumberFormat="1" applyFont="1" applyFill="1" applyBorder="1" applyAlignment="1">
      <alignment vertical="center"/>
    </xf>
    <xf numFmtId="0" fontId="25" fillId="2" borderId="10" xfId="0" applyFont="1" applyFill="1" applyBorder="1" applyAlignment="1">
      <alignment vertical="center"/>
    </xf>
    <xf numFmtId="0" fontId="21" fillId="3" borderId="3" xfId="0" applyFont="1" applyFill="1" applyBorder="1" applyAlignment="1">
      <alignment vertical="center"/>
    </xf>
    <xf numFmtId="0" fontId="21" fillId="3" borderId="10" xfId="0" applyFont="1" applyFill="1" applyBorder="1" applyAlignment="1">
      <alignment vertical="center"/>
    </xf>
    <xf numFmtId="0" fontId="6" fillId="5" borderId="18" xfId="0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21" fillId="0" borderId="9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9" xfId="0" applyFont="1" applyFill="1" applyBorder="1" applyAlignment="1">
      <alignment vertical="center"/>
    </xf>
    <xf numFmtId="8" fontId="14" fillId="0" borderId="10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167" fontId="14" fillId="7" borderId="1" xfId="0" applyNumberFormat="1" applyFont="1" applyFill="1" applyBorder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left" vertical="center"/>
    </xf>
    <xf numFmtId="0" fontId="16" fillId="8" borderId="3" xfId="0" applyFont="1" applyFill="1" applyBorder="1" applyAlignment="1">
      <alignment horizontal="left" vertical="center"/>
    </xf>
    <xf numFmtId="0" fontId="16" fillId="8" borderId="10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10" fontId="7" fillId="0" borderId="15" xfId="0" applyNumberFormat="1" applyFont="1" applyBorder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43" fontId="7" fillId="0" borderId="1" xfId="3" applyFont="1" applyFill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21" fillId="3" borderId="3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5" fillId="2" borderId="9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28" fillId="0" borderId="9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3" fillId="5" borderId="9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</cellXfs>
  <cellStyles count="14">
    <cellStyle name="Moeda" xfId="1" builtinId="4"/>
    <cellStyle name="Moeda 2" xfId="6" xr:uid="{00000000-0005-0000-0000-000001000000}"/>
    <cellStyle name="Moeda 3" xfId="11" xr:uid="{00000000-0005-0000-0000-000002000000}"/>
    <cellStyle name="Normal" xfId="0" builtinId="0"/>
    <cellStyle name="Normal 2" xfId="5" xr:uid="{00000000-0005-0000-0000-000004000000}"/>
    <cellStyle name="Normal 3" xfId="4" xr:uid="{00000000-0005-0000-0000-000005000000}"/>
    <cellStyle name="Normal 4" xfId="12" xr:uid="{00000000-0005-0000-0000-000006000000}"/>
    <cellStyle name="Porcentagem" xfId="2" builtinId="5"/>
    <cellStyle name="Porcentagem 2" xfId="7" xr:uid="{00000000-0005-0000-0000-000008000000}"/>
    <cellStyle name="Porcentagem 3" xfId="10" xr:uid="{00000000-0005-0000-0000-000009000000}"/>
    <cellStyle name="Vírgula" xfId="3" builtinId="3"/>
    <cellStyle name="Vírgula 2" xfId="8" xr:uid="{00000000-0005-0000-0000-00000B000000}"/>
    <cellStyle name="Vírgula 3" xfId="9" xr:uid="{00000000-0005-0000-0000-00000C000000}"/>
    <cellStyle name="Vírgula 4" xfId="13" xr:uid="{00000000-0005-0000-0000-00000D000000}"/>
  </cellStyles>
  <dxfs count="0"/>
  <tableStyles count="0" defaultTableStyle="TableStyleMedium9" defaultPivotStyle="PivotStyleLight16"/>
  <colors>
    <mruColors>
      <color rgb="FFFFFF99"/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B1:H25"/>
  <sheetViews>
    <sheetView showGridLines="0" zoomScaleNormal="100" workbookViewId="0">
      <selection activeCell="B6" sqref="B6:G25"/>
    </sheetView>
  </sheetViews>
  <sheetFormatPr defaultColWidth="9.140625" defaultRowHeight="22.5" customHeight="1" x14ac:dyDescent="0.2"/>
  <cols>
    <col min="1" max="1" width="3.28515625" style="58" customWidth="1"/>
    <col min="2" max="2" width="20.85546875" style="58" customWidth="1"/>
    <col min="3" max="4" width="13.28515625" style="58" customWidth="1"/>
    <col min="5" max="5" width="14.28515625" style="58" customWidth="1"/>
    <col min="6" max="6" width="13.7109375" style="58" customWidth="1"/>
    <col min="7" max="7" width="16.140625" style="58" bestFit="1" customWidth="1"/>
    <col min="8" max="8" width="14.7109375" style="58" bestFit="1" customWidth="1"/>
    <col min="9" max="16384" width="9.140625" style="58"/>
  </cols>
  <sheetData>
    <row r="1" spans="2:8" ht="22.5" customHeight="1" x14ac:dyDescent="0.2">
      <c r="B1" s="188" t="s">
        <v>125</v>
      </c>
      <c r="C1" s="188"/>
      <c r="D1" s="188"/>
      <c r="E1" s="188"/>
      <c r="F1" s="188"/>
      <c r="G1" s="188"/>
    </row>
    <row r="3" spans="2:8" ht="22.5" customHeight="1" x14ac:dyDescent="0.2">
      <c r="B3" s="62" t="s">
        <v>126</v>
      </c>
    </row>
    <row r="4" spans="2:8" ht="22.5" customHeight="1" x14ac:dyDescent="0.2">
      <c r="B4" s="189" t="s">
        <v>218</v>
      </c>
      <c r="C4" s="190"/>
      <c r="D4" s="190"/>
      <c r="E4" s="190"/>
      <c r="F4" s="190"/>
      <c r="G4" s="190"/>
      <c r="H4" s="59"/>
    </row>
    <row r="5" spans="2:8" ht="22.5" customHeight="1" thickBot="1" x14ac:dyDescent="0.25"/>
    <row r="6" spans="2:8" ht="22.5" customHeight="1" thickBot="1" x14ac:dyDescent="0.25">
      <c r="B6" s="182" t="s">
        <v>90</v>
      </c>
      <c r="C6" s="183"/>
      <c r="D6" s="183"/>
      <c r="E6" s="183"/>
      <c r="F6" s="183"/>
      <c r="G6" s="184"/>
    </row>
    <row r="7" spans="2:8" ht="22.5" customHeight="1" x14ac:dyDescent="0.2">
      <c r="B7" s="13"/>
      <c r="C7" s="13"/>
      <c r="D7" s="13"/>
      <c r="E7" s="13"/>
      <c r="F7" s="13"/>
      <c r="G7" s="13"/>
    </row>
    <row r="8" spans="2:8" ht="22.5" customHeight="1" x14ac:dyDescent="0.2">
      <c r="B8" s="44" t="s">
        <v>86</v>
      </c>
      <c r="C8" s="44" t="s">
        <v>124</v>
      </c>
      <c r="D8" s="44" t="s">
        <v>87</v>
      </c>
      <c r="E8" s="44" t="s">
        <v>96</v>
      </c>
      <c r="F8" s="44" t="s">
        <v>88</v>
      </c>
      <c r="G8" s="44" t="s">
        <v>89</v>
      </c>
    </row>
    <row r="9" spans="2:8" ht="22.5" customHeight="1" x14ac:dyDescent="0.2">
      <c r="B9" s="180" t="s">
        <v>200</v>
      </c>
      <c r="C9" s="57">
        <v>1</v>
      </c>
      <c r="D9" s="5">
        <v>30</v>
      </c>
      <c r="E9" s="6">
        <f>'Técnico Secretariado'!H138</f>
        <v>9573.7000000000007</v>
      </c>
      <c r="F9" s="7">
        <f>E9*C9</f>
        <v>9573.7000000000007</v>
      </c>
      <c r="G9" s="7">
        <f>F9*D9</f>
        <v>287211</v>
      </c>
    </row>
    <row r="10" spans="2:8" ht="22.5" customHeight="1" x14ac:dyDescent="0.2">
      <c r="B10" s="180" t="s">
        <v>209</v>
      </c>
      <c r="C10" s="57">
        <v>1</v>
      </c>
      <c r="D10" s="5">
        <v>30</v>
      </c>
      <c r="E10" s="179">
        <f>Copeira!H136</f>
        <v>6410.3333333333339</v>
      </c>
      <c r="F10" s="7">
        <f>E10*C10</f>
        <v>6410.3333333333339</v>
      </c>
      <c r="G10" s="7">
        <f>F10*D10</f>
        <v>192310.00000000003</v>
      </c>
    </row>
    <row r="11" spans="2:8" ht="22.5" customHeight="1" x14ac:dyDescent="0.2">
      <c r="B11" s="16" t="s">
        <v>61</v>
      </c>
      <c r="C11" s="57">
        <v>2</v>
      </c>
      <c r="D11" s="186"/>
      <c r="E11" s="187"/>
      <c r="F11" s="9">
        <f>SUM(F9:F9)</f>
        <v>9573.7000000000007</v>
      </c>
      <c r="G11" s="8">
        <f>SUM(G9:G10)</f>
        <v>479521</v>
      </c>
    </row>
    <row r="12" spans="2:8" ht="22.5" customHeight="1" x14ac:dyDescent="0.2">
      <c r="B12" s="185" t="s">
        <v>122</v>
      </c>
      <c r="C12" s="185"/>
      <c r="D12" s="185"/>
      <c r="E12" s="185"/>
      <c r="F12" s="185"/>
      <c r="G12" s="60">
        <f>G11</f>
        <v>479521</v>
      </c>
    </row>
    <row r="13" spans="2:8" ht="22.5" customHeight="1" x14ac:dyDescent="0.2">
      <c r="F13" s="1"/>
    </row>
    <row r="14" spans="2:8" ht="22.5" customHeight="1" x14ac:dyDescent="0.2">
      <c r="F14" s="1"/>
    </row>
    <row r="15" spans="2:8" ht="22.5" customHeight="1" x14ac:dyDescent="0.2">
      <c r="B15" s="2" t="s">
        <v>53</v>
      </c>
      <c r="C15" s="3"/>
      <c r="D15" s="81"/>
      <c r="E15" s="1" t="s">
        <v>54</v>
      </c>
      <c r="F15" s="1"/>
    </row>
    <row r="16" spans="2:8" ht="22.5" customHeight="1" x14ac:dyDescent="0.2">
      <c r="B16" s="58" t="s">
        <v>193</v>
      </c>
      <c r="F16" s="1"/>
    </row>
    <row r="17" spans="5:6" ht="22.5" customHeight="1" x14ac:dyDescent="0.2">
      <c r="F17" s="1"/>
    </row>
    <row r="18" spans="5:6" ht="22.5" customHeight="1" x14ac:dyDescent="0.2">
      <c r="E18" s="131" t="s">
        <v>186</v>
      </c>
      <c r="F18" s="1"/>
    </row>
    <row r="19" spans="5:6" ht="22.5" customHeight="1" x14ac:dyDescent="0.2">
      <c r="E19" s="132"/>
    </row>
    <row r="20" spans="5:6" ht="22.5" customHeight="1" x14ac:dyDescent="0.2">
      <c r="E20" s="132" t="s">
        <v>187</v>
      </c>
    </row>
    <row r="21" spans="5:6" ht="22.5" customHeight="1" x14ac:dyDescent="0.2">
      <c r="E21" s="132" t="s">
        <v>188</v>
      </c>
    </row>
    <row r="22" spans="5:6" ht="22.5" customHeight="1" x14ac:dyDescent="0.2">
      <c r="E22" s="132" t="s">
        <v>189</v>
      </c>
    </row>
    <row r="23" spans="5:6" ht="22.5" customHeight="1" x14ac:dyDescent="0.2">
      <c r="E23" s="132" t="s">
        <v>190</v>
      </c>
    </row>
    <row r="24" spans="5:6" ht="22.5" customHeight="1" x14ac:dyDescent="0.2">
      <c r="E24" s="132" t="s">
        <v>191</v>
      </c>
    </row>
    <row r="25" spans="5:6" ht="22.5" customHeight="1" x14ac:dyDescent="0.2">
      <c r="E25" s="132" t="s">
        <v>192</v>
      </c>
    </row>
  </sheetData>
  <mergeCells count="5">
    <mergeCell ref="B6:G6"/>
    <mergeCell ref="B12:F12"/>
    <mergeCell ref="D11:E11"/>
    <mergeCell ref="B1:G1"/>
    <mergeCell ref="B4:G4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0AC05-E866-4514-BF06-E31FF1F33FB2}">
  <sheetPr>
    <tabColor theme="9"/>
  </sheetPr>
  <dimension ref="B1:I151"/>
  <sheetViews>
    <sheetView showGridLines="0" topLeftCell="B117" zoomScaleNormal="100" workbookViewId="0">
      <selection activeCell="G123" sqref="G123"/>
    </sheetView>
  </sheetViews>
  <sheetFormatPr defaultColWidth="9.140625" defaultRowHeight="12.75" x14ac:dyDescent="0.2"/>
  <cols>
    <col min="1" max="1" width="3.5703125" style="63" customWidth="1"/>
    <col min="2" max="2" width="8.28515625" style="63" customWidth="1"/>
    <col min="3" max="3" width="39.140625" style="63" customWidth="1"/>
    <col min="4" max="4" width="29.140625" style="63" customWidth="1"/>
    <col min="5" max="6" width="8.140625" style="63" customWidth="1"/>
    <col min="7" max="7" width="9.140625" style="63" customWidth="1"/>
    <col min="8" max="9" width="15.28515625" style="63" customWidth="1"/>
    <col min="10" max="16384" width="9.140625" style="63"/>
  </cols>
  <sheetData>
    <row r="1" spans="2:9" x14ac:dyDescent="0.2">
      <c r="C1" s="114"/>
      <c r="D1" s="14"/>
      <c r="E1" s="14"/>
      <c r="F1" s="14"/>
      <c r="G1" s="14"/>
      <c r="H1" s="14"/>
      <c r="I1" s="14"/>
    </row>
    <row r="2" spans="2:9" x14ac:dyDescent="0.2">
      <c r="B2" s="195" t="s">
        <v>50</v>
      </c>
      <c r="C2" s="195"/>
      <c r="D2" s="195"/>
      <c r="E2" s="195"/>
      <c r="F2" s="195"/>
      <c r="G2" s="195"/>
      <c r="H2" s="195"/>
      <c r="I2" s="100"/>
    </row>
    <row r="3" spans="2:9" x14ac:dyDescent="0.2">
      <c r="B3" s="196"/>
      <c r="C3" s="196"/>
      <c r="D3" s="196"/>
      <c r="E3" s="196"/>
      <c r="F3" s="196"/>
      <c r="G3" s="196"/>
      <c r="H3" s="196"/>
      <c r="I3" s="102"/>
    </row>
    <row r="4" spans="2:9" x14ac:dyDescent="0.2">
      <c r="B4" s="65"/>
      <c r="C4" s="65"/>
      <c r="D4" s="65"/>
      <c r="E4" s="65"/>
      <c r="F4" s="65"/>
      <c r="G4" s="65"/>
      <c r="H4" s="65"/>
      <c r="I4" s="65"/>
    </row>
    <row r="5" spans="2:9" x14ac:dyDescent="0.2">
      <c r="B5" s="65"/>
      <c r="C5" s="65"/>
      <c r="D5" s="65"/>
      <c r="E5" s="65"/>
      <c r="F5" s="65"/>
      <c r="G5" s="65"/>
      <c r="H5" s="65"/>
      <c r="I5" s="65"/>
    </row>
    <row r="6" spans="2:9" x14ac:dyDescent="0.2">
      <c r="B6" s="139" t="s">
        <v>219</v>
      </c>
      <c r="C6" s="139"/>
      <c r="D6" s="197" t="s">
        <v>200</v>
      </c>
      <c r="E6" s="198"/>
      <c r="F6" s="199"/>
      <c r="I6" s="15"/>
    </row>
    <row r="7" spans="2:9" x14ac:dyDescent="0.2">
      <c r="B7" s="65"/>
      <c r="C7" s="65"/>
      <c r="D7" s="65"/>
      <c r="E7" s="65"/>
      <c r="F7" s="65"/>
      <c r="G7" s="65"/>
      <c r="H7" s="65"/>
      <c r="I7" s="14"/>
    </row>
    <row r="8" spans="2:9" x14ac:dyDescent="0.2">
      <c r="B8" s="200" t="s">
        <v>51</v>
      </c>
      <c r="C8" s="200"/>
      <c r="D8" s="200"/>
      <c r="E8" s="200"/>
      <c r="F8" s="200"/>
      <c r="G8" s="140"/>
      <c r="H8" s="140"/>
      <c r="I8" s="64"/>
    </row>
    <row r="9" spans="2:9" x14ac:dyDescent="0.2">
      <c r="B9" s="191">
        <v>1</v>
      </c>
      <c r="C9" s="192" t="s">
        <v>52</v>
      </c>
      <c r="D9" s="192"/>
      <c r="E9" s="192"/>
      <c r="F9" s="192"/>
      <c r="G9" s="140"/>
      <c r="H9" s="140"/>
      <c r="I9" s="64"/>
    </row>
    <row r="10" spans="2:9" x14ac:dyDescent="0.2">
      <c r="B10" s="191"/>
      <c r="C10" s="193"/>
      <c r="D10" s="193"/>
      <c r="E10" s="193"/>
      <c r="F10" s="193"/>
      <c r="G10" s="140"/>
      <c r="H10" s="140"/>
      <c r="I10" s="64"/>
    </row>
    <row r="11" spans="2:9" x14ac:dyDescent="0.2">
      <c r="B11" s="191">
        <v>2</v>
      </c>
      <c r="C11" s="192" t="s">
        <v>55</v>
      </c>
      <c r="D11" s="192"/>
      <c r="E11" s="192"/>
      <c r="F11" s="192"/>
      <c r="G11" s="140"/>
      <c r="H11" s="140"/>
      <c r="I11" s="64"/>
    </row>
    <row r="12" spans="2:9" x14ac:dyDescent="0.2">
      <c r="B12" s="191"/>
      <c r="C12" s="193"/>
      <c r="D12" s="193"/>
      <c r="E12" s="193"/>
      <c r="F12" s="193"/>
      <c r="G12" s="140"/>
      <c r="H12" s="140"/>
      <c r="I12" s="64"/>
    </row>
    <row r="13" spans="2:9" x14ac:dyDescent="0.2">
      <c r="B13" s="191">
        <v>3</v>
      </c>
      <c r="C13" s="192" t="s">
        <v>56</v>
      </c>
      <c r="D13" s="192"/>
      <c r="E13" s="192"/>
      <c r="F13" s="192"/>
      <c r="G13" s="140"/>
      <c r="H13" s="140"/>
      <c r="I13" s="64"/>
    </row>
    <row r="14" spans="2:9" x14ac:dyDescent="0.2">
      <c r="B14" s="191"/>
      <c r="C14" s="194"/>
      <c r="D14" s="194"/>
      <c r="E14" s="194"/>
      <c r="F14" s="194"/>
      <c r="G14" s="140"/>
      <c r="H14" s="140"/>
      <c r="I14" s="64"/>
    </row>
    <row r="15" spans="2:9" x14ac:dyDescent="0.2">
      <c r="B15" s="191">
        <v>4</v>
      </c>
      <c r="C15" s="192" t="s">
        <v>57</v>
      </c>
      <c r="D15" s="192"/>
      <c r="E15" s="192"/>
      <c r="F15" s="192"/>
      <c r="G15" s="140"/>
      <c r="H15" s="140"/>
      <c r="I15" s="64"/>
    </row>
    <row r="16" spans="2:9" x14ac:dyDescent="0.2">
      <c r="B16" s="191"/>
      <c r="C16" s="193"/>
      <c r="D16" s="193"/>
      <c r="E16" s="193"/>
      <c r="F16" s="193"/>
      <c r="G16" s="140"/>
      <c r="H16" s="140"/>
      <c r="I16" s="64"/>
    </row>
    <row r="17" spans="2:9" x14ac:dyDescent="0.2">
      <c r="B17" s="191">
        <v>5</v>
      </c>
      <c r="C17" s="192" t="s">
        <v>58</v>
      </c>
      <c r="D17" s="192"/>
      <c r="E17" s="192"/>
      <c r="F17" s="192"/>
      <c r="G17" s="140"/>
      <c r="H17" s="140"/>
      <c r="I17" s="64"/>
    </row>
    <row r="18" spans="2:9" x14ac:dyDescent="0.2">
      <c r="B18" s="191"/>
      <c r="C18" s="193"/>
      <c r="D18" s="193"/>
      <c r="E18" s="193"/>
      <c r="F18" s="193"/>
      <c r="G18" s="140"/>
      <c r="H18" s="140"/>
      <c r="I18" s="64"/>
    </row>
    <row r="19" spans="2:9" x14ac:dyDescent="0.2">
      <c r="B19" s="191">
        <v>6</v>
      </c>
      <c r="C19" s="192" t="s">
        <v>59</v>
      </c>
      <c r="D19" s="192"/>
      <c r="E19" s="192"/>
      <c r="F19" s="192"/>
      <c r="G19" s="140"/>
      <c r="H19" s="140"/>
      <c r="I19" s="64"/>
    </row>
    <row r="20" spans="2:9" x14ac:dyDescent="0.2">
      <c r="B20" s="191"/>
      <c r="C20" s="193"/>
      <c r="D20" s="193"/>
      <c r="E20" s="193"/>
      <c r="F20" s="193"/>
      <c r="G20" s="140"/>
      <c r="H20" s="140"/>
      <c r="I20" s="64"/>
    </row>
    <row r="21" spans="2:9" x14ac:dyDescent="0.2">
      <c r="B21" s="66"/>
      <c r="C21" s="66"/>
      <c r="D21" s="66"/>
      <c r="E21" s="66"/>
      <c r="F21" s="66"/>
      <c r="G21" s="67"/>
      <c r="H21" s="67"/>
      <c r="I21" s="64"/>
    </row>
    <row r="22" spans="2:9" x14ac:dyDescent="0.2">
      <c r="B22" s="68"/>
      <c r="C22" s="68"/>
      <c r="D22" s="68"/>
      <c r="E22" s="68"/>
      <c r="F22" s="68"/>
      <c r="G22" s="68"/>
      <c r="H22" s="145" t="s">
        <v>199</v>
      </c>
    </row>
    <row r="23" spans="2:9" x14ac:dyDescent="0.2">
      <c r="B23" s="201" t="s">
        <v>66</v>
      </c>
      <c r="C23" s="202"/>
      <c r="D23" s="202"/>
      <c r="E23" s="202"/>
      <c r="F23" s="202"/>
      <c r="G23" s="143"/>
      <c r="H23" s="144"/>
      <c r="I23" s="101"/>
    </row>
    <row r="24" spans="2:9" x14ac:dyDescent="0.2">
      <c r="B24" s="96">
        <v>1</v>
      </c>
      <c r="C24" s="186" t="s">
        <v>60</v>
      </c>
      <c r="D24" s="203"/>
      <c r="E24" s="203"/>
      <c r="F24" s="187"/>
      <c r="G24" s="142" t="s">
        <v>1</v>
      </c>
      <c r="H24" s="142" t="s">
        <v>49</v>
      </c>
      <c r="I24" s="101"/>
    </row>
    <row r="25" spans="2:9" ht="12.75" customHeight="1" x14ac:dyDescent="0.2">
      <c r="B25" s="16" t="s">
        <v>4</v>
      </c>
      <c r="C25" s="94" t="s">
        <v>17</v>
      </c>
      <c r="D25" s="204"/>
      <c r="E25" s="205"/>
      <c r="F25" s="206"/>
      <c r="G25" s="17"/>
      <c r="H25" s="34">
        <v>2689.56</v>
      </c>
      <c r="I25" s="107"/>
    </row>
    <row r="26" spans="2:9" x14ac:dyDescent="0.2">
      <c r="B26" s="16" t="s">
        <v>5</v>
      </c>
      <c r="C26" s="94" t="s">
        <v>24</v>
      </c>
      <c r="D26" s="204" t="s">
        <v>129</v>
      </c>
      <c r="E26" s="205"/>
      <c r="F26" s="206"/>
      <c r="G26" s="35"/>
      <c r="H26" s="18">
        <f>TRUNC(H$25*$G26,2)</f>
        <v>0</v>
      </c>
      <c r="I26" s="103"/>
    </row>
    <row r="27" spans="2:9" x14ac:dyDescent="0.2">
      <c r="B27" s="16" t="s">
        <v>6</v>
      </c>
      <c r="C27" s="95" t="s">
        <v>25</v>
      </c>
      <c r="D27" s="204" t="s">
        <v>172</v>
      </c>
      <c r="E27" s="205"/>
      <c r="F27" s="206"/>
      <c r="G27" s="35"/>
      <c r="H27" s="18">
        <f>TRUNC(H$25*$G27,2)</f>
        <v>0</v>
      </c>
      <c r="I27" s="103"/>
    </row>
    <row r="28" spans="2:9" x14ac:dyDescent="0.2">
      <c r="B28" s="16" t="s">
        <v>7</v>
      </c>
      <c r="C28" s="95" t="s">
        <v>0</v>
      </c>
      <c r="D28" s="204" t="s">
        <v>180</v>
      </c>
      <c r="E28" s="205"/>
      <c r="F28" s="206"/>
      <c r="G28" s="36"/>
      <c r="H28" s="72">
        <f>TRUNC(((H$25+H26)*$G28)/220*8*15,2)</f>
        <v>0</v>
      </c>
      <c r="I28" s="104"/>
    </row>
    <row r="29" spans="2:9" x14ac:dyDescent="0.2">
      <c r="B29" s="124" t="s">
        <v>8</v>
      </c>
      <c r="C29" s="125" t="s">
        <v>26</v>
      </c>
      <c r="D29" s="214" t="s">
        <v>180</v>
      </c>
      <c r="E29" s="215"/>
      <c r="F29" s="216"/>
      <c r="G29" s="126"/>
      <c r="H29" s="127">
        <f>TRUNC(((H25+H26)*$G29)/220*1*15,2)</f>
        <v>0</v>
      </c>
      <c r="I29" s="128" t="s">
        <v>185</v>
      </c>
    </row>
    <row r="30" spans="2:9" x14ac:dyDescent="0.2">
      <c r="B30" s="129" t="s">
        <v>9</v>
      </c>
      <c r="C30" s="125" t="s">
        <v>109</v>
      </c>
      <c r="D30" s="214" t="s">
        <v>181</v>
      </c>
      <c r="E30" s="215"/>
      <c r="F30" s="216"/>
      <c r="G30" s="130"/>
      <c r="H30" s="127">
        <f>TRUNC($G$34*H34*(1+$G$30),2)</f>
        <v>0</v>
      </c>
      <c r="I30" s="128" t="s">
        <v>185</v>
      </c>
    </row>
    <row r="31" spans="2:9" x14ac:dyDescent="0.2">
      <c r="B31" s="16" t="s">
        <v>10</v>
      </c>
      <c r="C31" s="95" t="s">
        <v>2</v>
      </c>
      <c r="D31" s="204"/>
      <c r="E31" s="205"/>
      <c r="F31" s="206"/>
      <c r="G31" s="36"/>
      <c r="H31" s="53"/>
      <c r="I31" s="105"/>
    </row>
    <row r="32" spans="2:9" x14ac:dyDescent="0.2">
      <c r="B32" s="16" t="s">
        <v>130</v>
      </c>
      <c r="C32" s="186" t="s">
        <v>61</v>
      </c>
      <c r="D32" s="203"/>
      <c r="E32" s="203"/>
      <c r="F32" s="187"/>
      <c r="G32" s="30"/>
      <c r="H32" s="19">
        <f>SUM(H25:H31)</f>
        <v>2689.56</v>
      </c>
      <c r="I32" s="20"/>
    </row>
    <row r="33" spans="2:9" ht="22.5" x14ac:dyDescent="0.2">
      <c r="B33" s="100"/>
      <c r="C33" s="207" t="s">
        <v>121</v>
      </c>
      <c r="D33" s="207"/>
      <c r="E33" s="207"/>
      <c r="F33" s="207"/>
      <c r="G33" s="56" t="s">
        <v>110</v>
      </c>
      <c r="H33" s="55" t="s">
        <v>123</v>
      </c>
      <c r="I33" s="4"/>
    </row>
    <row r="34" spans="2:9" x14ac:dyDescent="0.2">
      <c r="B34" s="100"/>
      <c r="C34" s="207"/>
      <c r="D34" s="207"/>
      <c r="E34" s="207"/>
      <c r="F34" s="207"/>
      <c r="G34" s="54"/>
      <c r="H34" s="37">
        <f>IF($G$34="",0,TRUNC((H25+H26+H27)/220,2))</f>
        <v>0</v>
      </c>
      <c r="I34" s="106"/>
    </row>
    <row r="35" spans="2:9" x14ac:dyDescent="0.2">
      <c r="B35" s="100"/>
      <c r="C35" s="100"/>
      <c r="D35" s="100"/>
      <c r="E35" s="100"/>
      <c r="F35" s="100"/>
      <c r="G35" s="100"/>
      <c r="H35" s="73"/>
      <c r="I35" s="20"/>
    </row>
    <row r="36" spans="2:9" x14ac:dyDescent="0.2">
      <c r="B36" s="100"/>
      <c r="C36" s="100"/>
      <c r="D36" s="100"/>
      <c r="E36" s="100"/>
      <c r="F36" s="100"/>
      <c r="G36" s="100"/>
      <c r="H36" s="73"/>
      <c r="I36" s="20"/>
    </row>
    <row r="37" spans="2:9" ht="12.75" customHeight="1" x14ac:dyDescent="0.2">
      <c r="B37" s="201" t="s">
        <v>67</v>
      </c>
      <c r="C37" s="202"/>
      <c r="D37" s="202"/>
      <c r="E37" s="202"/>
      <c r="F37" s="202"/>
      <c r="G37" s="143"/>
      <c r="H37" s="144"/>
      <c r="I37" s="101"/>
    </row>
    <row r="38" spans="2:9" x14ac:dyDescent="0.2">
      <c r="B38" s="208"/>
      <c r="C38" s="209"/>
      <c r="D38" s="209"/>
      <c r="E38" s="209"/>
      <c r="F38" s="209"/>
      <c r="G38" s="62"/>
      <c r="H38" s="62"/>
      <c r="I38" s="101"/>
    </row>
    <row r="39" spans="2:9" x14ac:dyDescent="0.2">
      <c r="B39" s="210" t="s">
        <v>36</v>
      </c>
      <c r="C39" s="210"/>
      <c r="D39" s="210"/>
      <c r="E39" s="210"/>
      <c r="F39" s="210"/>
      <c r="G39" s="62"/>
      <c r="H39" s="62"/>
      <c r="I39" s="101"/>
    </row>
    <row r="40" spans="2:9" x14ac:dyDescent="0.2">
      <c r="B40" s="142" t="s">
        <v>38</v>
      </c>
      <c r="C40" s="211" t="s">
        <v>27</v>
      </c>
      <c r="D40" s="212"/>
      <c r="E40" s="212"/>
      <c r="F40" s="213"/>
      <c r="G40" s="96" t="s">
        <v>1</v>
      </c>
      <c r="H40" s="96" t="s">
        <v>49</v>
      </c>
      <c r="I40" s="101"/>
    </row>
    <row r="41" spans="2:9" x14ac:dyDescent="0.2">
      <c r="B41" s="16" t="s">
        <v>4</v>
      </c>
      <c r="C41" s="94" t="s">
        <v>112</v>
      </c>
      <c r="D41" s="204" t="s">
        <v>131</v>
      </c>
      <c r="E41" s="205"/>
      <c r="F41" s="206"/>
      <c r="G41" s="148">
        <f>1/12</f>
        <v>8.3333333333333329E-2</v>
      </c>
      <c r="H41" s="149">
        <f>TRUNC((H$32*$G41),2)</f>
        <v>224.13</v>
      </c>
      <c r="I41" s="107"/>
    </row>
    <row r="42" spans="2:9" x14ac:dyDescent="0.2">
      <c r="B42" s="16" t="s">
        <v>5</v>
      </c>
      <c r="C42" s="94" t="s">
        <v>65</v>
      </c>
      <c r="D42" s="204" t="s">
        <v>133</v>
      </c>
      <c r="E42" s="205"/>
      <c r="F42" s="206"/>
      <c r="G42" s="21">
        <f>(1/12)+(1/3/12)</f>
        <v>0.1111111111111111</v>
      </c>
      <c r="H42" s="22">
        <f>TRUNC((H$32*$G42),2)</f>
        <v>298.83999999999997</v>
      </c>
      <c r="I42" s="107"/>
    </row>
    <row r="43" spans="2:9" x14ac:dyDescent="0.2">
      <c r="B43" s="16" t="s">
        <v>132</v>
      </c>
      <c r="C43" s="186" t="s">
        <v>61</v>
      </c>
      <c r="D43" s="203"/>
      <c r="E43" s="203"/>
      <c r="F43" s="187"/>
      <c r="G43" s="23">
        <f>TRUNC(SUM(G41:G42),4)</f>
        <v>0.19439999999999999</v>
      </c>
      <c r="H43" s="19">
        <f>SUM(H41:H42)</f>
        <v>522.97</v>
      </c>
      <c r="I43" s="20"/>
    </row>
    <row r="44" spans="2:9" x14ac:dyDescent="0.2">
      <c r="B44" s="224"/>
      <c r="C44" s="225"/>
      <c r="D44" s="225"/>
      <c r="E44" s="225"/>
      <c r="F44" s="225"/>
      <c r="G44" s="225"/>
      <c r="H44" s="226"/>
      <c r="I44" s="100"/>
    </row>
    <row r="45" spans="2:9" ht="30" customHeight="1" x14ac:dyDescent="0.2">
      <c r="B45" s="227" t="s">
        <v>68</v>
      </c>
      <c r="C45" s="228"/>
      <c r="D45" s="228"/>
      <c r="E45" s="228"/>
      <c r="F45" s="229"/>
      <c r="G45" s="146"/>
      <c r="H45" s="147"/>
      <c r="I45" s="108"/>
    </row>
    <row r="46" spans="2:9" x14ac:dyDescent="0.2">
      <c r="B46" s="96" t="s">
        <v>39</v>
      </c>
      <c r="C46" s="186" t="s">
        <v>69</v>
      </c>
      <c r="D46" s="203"/>
      <c r="E46" s="203"/>
      <c r="F46" s="187"/>
      <c r="G46" s="96" t="s">
        <v>1</v>
      </c>
      <c r="H46" s="96" t="s">
        <v>49</v>
      </c>
      <c r="I46" s="101"/>
    </row>
    <row r="47" spans="2:9" x14ac:dyDescent="0.2">
      <c r="B47" s="16" t="s">
        <v>4</v>
      </c>
      <c r="C47" s="94" t="s">
        <v>30</v>
      </c>
      <c r="D47" s="204" t="s">
        <v>134</v>
      </c>
      <c r="E47" s="205"/>
      <c r="F47" s="206"/>
      <c r="G47" s="21">
        <v>0.2</v>
      </c>
      <c r="H47" s="22">
        <f>TRUNC((H$32+H$43)*$G47,2)</f>
        <v>642.5</v>
      </c>
      <c r="I47" s="107"/>
    </row>
    <row r="48" spans="2:9" x14ac:dyDescent="0.2">
      <c r="B48" s="16" t="s">
        <v>5</v>
      </c>
      <c r="C48" s="82" t="s">
        <v>31</v>
      </c>
      <c r="D48" s="204" t="s">
        <v>135</v>
      </c>
      <c r="E48" s="205"/>
      <c r="F48" s="206"/>
      <c r="G48" s="21">
        <v>2.5000000000000001E-2</v>
      </c>
      <c r="H48" s="22">
        <f>TRUNC((H$32+H$43)*$G48,2)</f>
        <v>80.31</v>
      </c>
      <c r="I48" s="107"/>
    </row>
    <row r="49" spans="2:9" x14ac:dyDescent="0.2">
      <c r="B49" s="217" t="s">
        <v>6</v>
      </c>
      <c r="C49" s="219" t="s">
        <v>103</v>
      </c>
      <c r="D49" s="221" t="s">
        <v>141</v>
      </c>
      <c r="E49" s="10" t="s">
        <v>104</v>
      </c>
      <c r="F49" s="10" t="s">
        <v>102</v>
      </c>
      <c r="G49" s="222">
        <f>E50*F50</f>
        <v>0.03</v>
      </c>
      <c r="H49" s="233">
        <f>TRUNC((H$32+H$43)*$G49,2)</f>
        <v>96.37</v>
      </c>
      <c r="I49" s="110"/>
    </row>
    <row r="50" spans="2:9" x14ac:dyDescent="0.2">
      <c r="B50" s="218"/>
      <c r="C50" s="220"/>
      <c r="D50" s="221"/>
      <c r="E50" s="38">
        <v>0.03</v>
      </c>
      <c r="F50" s="39">
        <v>1</v>
      </c>
      <c r="G50" s="223"/>
      <c r="H50" s="233"/>
      <c r="I50" s="110"/>
    </row>
    <row r="51" spans="2:9" x14ac:dyDescent="0.2">
      <c r="B51" s="16" t="s">
        <v>7</v>
      </c>
      <c r="C51" s="94" t="s">
        <v>29</v>
      </c>
      <c r="D51" s="204" t="s">
        <v>136</v>
      </c>
      <c r="E51" s="205"/>
      <c r="F51" s="206"/>
      <c r="G51" s="21">
        <v>1.4999999999999999E-2</v>
      </c>
      <c r="H51" s="22">
        <f>TRUNC((H$32+H$43)*$G51,2)</f>
        <v>48.18</v>
      </c>
      <c r="I51" s="107"/>
    </row>
    <row r="52" spans="2:9" x14ac:dyDescent="0.2">
      <c r="B52" s="16" t="s">
        <v>8</v>
      </c>
      <c r="C52" s="94" t="s">
        <v>32</v>
      </c>
      <c r="D52" s="204" t="s">
        <v>137</v>
      </c>
      <c r="E52" s="205"/>
      <c r="F52" s="206"/>
      <c r="G52" s="21">
        <v>0.01</v>
      </c>
      <c r="H52" s="22">
        <f>TRUNC((H$32+H$43)*$G52,2)</f>
        <v>32.119999999999997</v>
      </c>
      <c r="I52" s="107"/>
    </row>
    <row r="53" spans="2:9" x14ac:dyDescent="0.2">
      <c r="B53" s="16" t="s">
        <v>9</v>
      </c>
      <c r="C53" s="94" t="s">
        <v>33</v>
      </c>
      <c r="D53" s="204" t="s">
        <v>138</v>
      </c>
      <c r="E53" s="205"/>
      <c r="F53" s="206"/>
      <c r="G53" s="21">
        <v>6.0000000000000001E-3</v>
      </c>
      <c r="H53" s="22">
        <f>TRUNC((H$32+H$43)*$G53,2)</f>
        <v>19.27</v>
      </c>
      <c r="I53" s="107"/>
    </row>
    <row r="54" spans="2:9" x14ac:dyDescent="0.2">
      <c r="B54" s="16" t="s">
        <v>10</v>
      </c>
      <c r="C54" s="94" t="s">
        <v>34</v>
      </c>
      <c r="D54" s="204" t="s">
        <v>139</v>
      </c>
      <c r="E54" s="205"/>
      <c r="F54" s="206"/>
      <c r="G54" s="21">
        <v>2E-3</v>
      </c>
      <c r="H54" s="22">
        <f>TRUNC((H$32+H$43)*$G54,2)</f>
        <v>6.42</v>
      </c>
      <c r="I54" s="107"/>
    </row>
    <row r="55" spans="2:9" x14ac:dyDescent="0.2">
      <c r="B55" s="16" t="s">
        <v>11</v>
      </c>
      <c r="C55" s="94" t="s">
        <v>35</v>
      </c>
      <c r="D55" s="204" t="s">
        <v>140</v>
      </c>
      <c r="E55" s="205"/>
      <c r="F55" s="206"/>
      <c r="G55" s="21">
        <v>0.08</v>
      </c>
      <c r="H55" s="22">
        <f>TRUNC((H$32+H$43)*$G55,2)</f>
        <v>257</v>
      </c>
      <c r="I55" s="107"/>
    </row>
    <row r="56" spans="2:9" x14ac:dyDescent="0.2">
      <c r="B56" s="16" t="s">
        <v>142</v>
      </c>
      <c r="C56" s="186" t="s">
        <v>61</v>
      </c>
      <c r="D56" s="203"/>
      <c r="E56" s="203"/>
      <c r="F56" s="187"/>
      <c r="G56" s="24">
        <f>SUM(G47:G55)</f>
        <v>0.36800000000000005</v>
      </c>
      <c r="H56" s="19">
        <f>SUM(H47:H55)</f>
        <v>1182.1699999999998</v>
      </c>
      <c r="I56" s="20"/>
    </row>
    <row r="57" spans="2:9" x14ac:dyDescent="0.2">
      <c r="B57" s="230"/>
      <c r="C57" s="231"/>
      <c r="D57" s="231"/>
      <c r="E57" s="231"/>
      <c r="F57" s="231"/>
      <c r="G57" s="231"/>
      <c r="H57" s="232"/>
      <c r="I57" s="119"/>
    </row>
    <row r="58" spans="2:9" ht="12.75" customHeight="1" x14ac:dyDescent="0.2">
      <c r="B58" s="227" t="s">
        <v>37</v>
      </c>
      <c r="C58" s="228"/>
      <c r="D58" s="228"/>
      <c r="E58" s="228"/>
      <c r="F58" s="229"/>
      <c r="G58" s="146"/>
      <c r="H58" s="147"/>
      <c r="I58" s="119"/>
    </row>
    <row r="59" spans="2:9" x14ac:dyDescent="0.2">
      <c r="B59" s="96" t="s">
        <v>40</v>
      </c>
      <c r="C59" s="186" t="s">
        <v>41</v>
      </c>
      <c r="D59" s="203"/>
      <c r="E59" s="203"/>
      <c r="F59" s="203"/>
      <c r="G59" s="83"/>
      <c r="H59" s="96" t="s">
        <v>49</v>
      </c>
      <c r="I59" s="101"/>
    </row>
    <row r="60" spans="2:9" ht="12.75" customHeight="1" x14ac:dyDescent="0.2">
      <c r="B60" s="16" t="s">
        <v>4</v>
      </c>
      <c r="C60" s="94" t="s">
        <v>47</v>
      </c>
      <c r="D60" s="169" t="s">
        <v>145</v>
      </c>
      <c r="E60" s="170"/>
      <c r="F60" s="170"/>
      <c r="G60" s="171"/>
      <c r="H60" s="40">
        <f>TRUNC((5.5*2*22)-(H$25*6%),2)</f>
        <v>80.62</v>
      </c>
      <c r="I60" s="120"/>
    </row>
    <row r="61" spans="2:9" ht="12.75" customHeight="1" x14ac:dyDescent="0.2">
      <c r="B61" s="16" t="s">
        <v>5</v>
      </c>
      <c r="C61" s="94" t="s">
        <v>48</v>
      </c>
      <c r="D61" s="169" t="s">
        <v>146</v>
      </c>
      <c r="E61" s="170"/>
      <c r="F61" s="170"/>
      <c r="G61" s="171"/>
      <c r="H61" s="40">
        <f>40.55*22</f>
        <v>892.09999999999991</v>
      </c>
      <c r="I61" s="120"/>
    </row>
    <row r="62" spans="2:9" x14ac:dyDescent="0.2">
      <c r="B62" s="16" t="s">
        <v>6</v>
      </c>
      <c r="C62" s="94" t="s">
        <v>201</v>
      </c>
      <c r="D62" s="169"/>
      <c r="E62" s="170"/>
      <c r="F62" s="170"/>
      <c r="G62" s="171"/>
      <c r="H62" s="40">
        <v>170</v>
      </c>
      <c r="I62" s="120"/>
    </row>
    <row r="63" spans="2:9" x14ac:dyDescent="0.2">
      <c r="B63" s="16" t="s">
        <v>7</v>
      </c>
      <c r="C63" s="94" t="s">
        <v>203</v>
      </c>
      <c r="D63" s="169"/>
      <c r="E63" s="170"/>
      <c r="F63" s="170"/>
      <c r="G63" s="171"/>
      <c r="H63" s="40">
        <v>12</v>
      </c>
      <c r="I63" s="120"/>
    </row>
    <row r="64" spans="2:9" x14ac:dyDescent="0.2">
      <c r="B64" s="16"/>
      <c r="C64" s="94" t="s">
        <v>204</v>
      </c>
      <c r="D64" s="169"/>
      <c r="E64" s="170"/>
      <c r="F64" s="170"/>
      <c r="G64" s="171"/>
      <c r="H64" s="40">
        <v>2.75</v>
      </c>
      <c r="I64" s="120"/>
    </row>
    <row r="65" spans="2:9" x14ac:dyDescent="0.2">
      <c r="B65" s="16"/>
      <c r="C65" s="94" t="s">
        <v>205</v>
      </c>
      <c r="D65" s="169"/>
      <c r="E65" s="170"/>
      <c r="F65" s="170"/>
      <c r="G65" s="171"/>
      <c r="H65" s="40">
        <v>224.3</v>
      </c>
      <c r="I65" s="120"/>
    </row>
    <row r="66" spans="2:9" s="74" customFormat="1" x14ac:dyDescent="0.2">
      <c r="B66" s="16" t="s">
        <v>8</v>
      </c>
      <c r="C66" s="94" t="s">
        <v>202</v>
      </c>
      <c r="D66" s="169"/>
      <c r="E66" s="170"/>
      <c r="F66" s="170"/>
      <c r="G66" s="171"/>
      <c r="H66" s="40">
        <v>11.92</v>
      </c>
      <c r="I66" s="120"/>
    </row>
    <row r="67" spans="2:9" x14ac:dyDescent="0.2">
      <c r="B67" s="16" t="s">
        <v>143</v>
      </c>
      <c r="C67" s="186" t="s">
        <v>61</v>
      </c>
      <c r="D67" s="203"/>
      <c r="E67" s="203"/>
      <c r="F67" s="203"/>
      <c r="G67" s="83"/>
      <c r="H67" s="19">
        <f>SUM(H60:H66)</f>
        <v>1393.6899999999998</v>
      </c>
      <c r="I67" s="20"/>
    </row>
    <row r="68" spans="2:9" x14ac:dyDescent="0.2">
      <c r="B68" s="224"/>
      <c r="C68" s="225"/>
      <c r="D68" s="225"/>
      <c r="E68" s="225"/>
      <c r="F68" s="225"/>
      <c r="G68" s="225"/>
      <c r="H68" s="226"/>
      <c r="I68" s="100"/>
    </row>
    <row r="69" spans="2:9" x14ac:dyDescent="0.2">
      <c r="B69" s="239" t="s">
        <v>71</v>
      </c>
      <c r="C69" s="240"/>
      <c r="D69" s="240"/>
      <c r="E69" s="240"/>
      <c r="F69" s="240"/>
      <c r="G69" s="150"/>
      <c r="H69" s="150"/>
      <c r="I69" s="100"/>
    </row>
    <row r="70" spans="2:9" x14ac:dyDescent="0.2">
      <c r="B70" s="96">
        <v>2</v>
      </c>
      <c r="C70" s="186" t="s">
        <v>70</v>
      </c>
      <c r="D70" s="203"/>
      <c r="E70" s="203"/>
      <c r="F70" s="203"/>
      <c r="G70" s="83"/>
      <c r="H70" s="96" t="s">
        <v>49</v>
      </c>
      <c r="I70" s="101"/>
    </row>
    <row r="71" spans="2:9" x14ac:dyDescent="0.2">
      <c r="B71" s="16" t="s">
        <v>38</v>
      </c>
      <c r="C71" s="84" t="s">
        <v>27</v>
      </c>
      <c r="D71" s="169" t="s">
        <v>132</v>
      </c>
      <c r="E71" s="170"/>
      <c r="F71" s="170"/>
      <c r="G71" s="171"/>
      <c r="H71" s="22">
        <f>H43</f>
        <v>522.97</v>
      </c>
      <c r="I71" s="107"/>
    </row>
    <row r="72" spans="2:9" x14ac:dyDescent="0.2">
      <c r="B72" s="16" t="s">
        <v>39</v>
      </c>
      <c r="C72" s="84" t="s">
        <v>28</v>
      </c>
      <c r="D72" s="169" t="s">
        <v>142</v>
      </c>
      <c r="E72" s="170"/>
      <c r="F72" s="170"/>
      <c r="G72" s="171"/>
      <c r="H72" s="22">
        <f>H56</f>
        <v>1182.1699999999998</v>
      </c>
      <c r="I72" s="107"/>
    </row>
    <row r="73" spans="2:9" x14ac:dyDescent="0.2">
      <c r="B73" s="16" t="s">
        <v>40</v>
      </c>
      <c r="C73" s="84" t="s">
        <v>41</v>
      </c>
      <c r="D73" s="169" t="s">
        <v>143</v>
      </c>
      <c r="E73" s="170"/>
      <c r="F73" s="170"/>
      <c r="G73" s="171"/>
      <c r="H73" s="22">
        <f>H67</f>
        <v>1393.6899999999998</v>
      </c>
      <c r="I73" s="107"/>
    </row>
    <row r="74" spans="2:9" x14ac:dyDescent="0.2">
      <c r="B74" s="16" t="s">
        <v>144</v>
      </c>
      <c r="C74" s="186" t="s">
        <v>61</v>
      </c>
      <c r="D74" s="203"/>
      <c r="E74" s="203"/>
      <c r="F74" s="203"/>
      <c r="G74" s="83"/>
      <c r="H74" s="19">
        <f>SUM(H71:H73)</f>
        <v>3098.83</v>
      </c>
      <c r="I74" s="20"/>
    </row>
    <row r="75" spans="2:9" x14ac:dyDescent="0.2">
      <c r="B75" s="225"/>
      <c r="C75" s="225"/>
      <c r="D75" s="225"/>
      <c r="E75" s="225"/>
      <c r="F75" s="225"/>
      <c r="G75" s="225"/>
      <c r="H75" s="225"/>
      <c r="I75" s="101"/>
    </row>
    <row r="76" spans="2:9" x14ac:dyDescent="0.2">
      <c r="B76" s="100"/>
      <c r="C76" s="100"/>
      <c r="D76" s="100"/>
      <c r="E76" s="100"/>
      <c r="F76" s="100"/>
      <c r="G76" s="100"/>
      <c r="H76" s="100"/>
      <c r="I76" s="101"/>
    </row>
    <row r="77" spans="2:9" x14ac:dyDescent="0.2">
      <c r="B77" s="201" t="s">
        <v>72</v>
      </c>
      <c r="C77" s="202"/>
      <c r="D77" s="202"/>
      <c r="E77" s="202"/>
      <c r="F77" s="236"/>
      <c r="G77" s="143"/>
      <c r="H77" s="144"/>
      <c r="I77" s="101"/>
    </row>
    <row r="78" spans="2:9" x14ac:dyDescent="0.2">
      <c r="B78" s="96">
        <v>3</v>
      </c>
      <c r="C78" s="186" t="s">
        <v>62</v>
      </c>
      <c r="D78" s="203"/>
      <c r="E78" s="203"/>
      <c r="F78" s="187"/>
      <c r="G78" s="96" t="s">
        <v>1</v>
      </c>
      <c r="H78" s="96" t="s">
        <v>49</v>
      </c>
      <c r="I78" s="101"/>
    </row>
    <row r="79" spans="2:9" x14ac:dyDescent="0.2">
      <c r="B79" s="16" t="s">
        <v>4</v>
      </c>
      <c r="C79" s="85" t="s">
        <v>97</v>
      </c>
      <c r="D79" s="169" t="s">
        <v>161</v>
      </c>
      <c r="E79" s="170"/>
      <c r="F79" s="171"/>
      <c r="G79" s="41">
        <v>1</v>
      </c>
      <c r="H79" s="25">
        <f>TRUNC((H$80+H$81)*$G79,2)</f>
        <v>501.35</v>
      </c>
      <c r="I79" s="20"/>
    </row>
    <row r="80" spans="2:9" x14ac:dyDescent="0.2">
      <c r="B80" s="16" t="s">
        <v>5</v>
      </c>
      <c r="C80" s="94" t="s">
        <v>98</v>
      </c>
      <c r="D80" s="169" t="s">
        <v>182</v>
      </c>
      <c r="E80" s="170"/>
      <c r="F80" s="171"/>
      <c r="G80" s="26"/>
      <c r="H80" s="22">
        <f>TRUNC((H$32+H$43+H$55+H$67-H60)/12,2)</f>
        <v>398.55</v>
      </c>
      <c r="I80" s="107"/>
    </row>
    <row r="81" spans="2:9" x14ac:dyDescent="0.2">
      <c r="B81" s="16" t="s">
        <v>6</v>
      </c>
      <c r="C81" s="94" t="s">
        <v>99</v>
      </c>
      <c r="D81" s="204" t="s">
        <v>173</v>
      </c>
      <c r="E81" s="206"/>
      <c r="F81" s="43">
        <v>0.4</v>
      </c>
      <c r="G81" s="26"/>
      <c r="H81" s="22">
        <f>TRUNC(H$55*$F81,2)</f>
        <v>102.8</v>
      </c>
      <c r="I81" s="107"/>
    </row>
    <row r="82" spans="2:9" x14ac:dyDescent="0.2">
      <c r="B82" s="16" t="s">
        <v>7</v>
      </c>
      <c r="C82" s="85" t="s">
        <v>100</v>
      </c>
      <c r="D82" s="169" t="s">
        <v>162</v>
      </c>
      <c r="E82" s="170"/>
      <c r="F82" s="171"/>
      <c r="G82" s="41">
        <v>1</v>
      </c>
      <c r="H82" s="88">
        <f>IF($G82&gt;=1,(TRUNC(H$83*$G82,2)),"ERRO")</f>
        <v>102.8</v>
      </c>
      <c r="I82" s="109"/>
    </row>
    <row r="83" spans="2:9" x14ac:dyDescent="0.2">
      <c r="B83" s="16" t="s">
        <v>8</v>
      </c>
      <c r="C83" s="94" t="s">
        <v>101</v>
      </c>
      <c r="D83" s="204" t="s">
        <v>173</v>
      </c>
      <c r="E83" s="206"/>
      <c r="F83" s="43">
        <v>0.4</v>
      </c>
      <c r="G83" s="26"/>
      <c r="H83" s="22">
        <f>TRUNC(H$55*$F83,2)</f>
        <v>102.8</v>
      </c>
      <c r="I83" s="107"/>
    </row>
    <row r="84" spans="2:9" x14ac:dyDescent="0.2">
      <c r="B84" s="16" t="s">
        <v>9</v>
      </c>
      <c r="C84" s="85" t="s">
        <v>179</v>
      </c>
      <c r="D84" s="234" t="s">
        <v>174</v>
      </c>
      <c r="E84" s="235"/>
      <c r="F84" s="42">
        <v>12</v>
      </c>
      <c r="G84" s="42">
        <v>3</v>
      </c>
      <c r="H84" s="22">
        <f>TRUNC(((H$32+H$43+H$56)/30)*$G84/$F84,2)</f>
        <v>36.619999999999997</v>
      </c>
      <c r="I84" s="107"/>
    </row>
    <row r="85" spans="2:9" x14ac:dyDescent="0.2">
      <c r="B85" s="16" t="s">
        <v>148</v>
      </c>
      <c r="C85" s="186" t="s">
        <v>61</v>
      </c>
      <c r="D85" s="203"/>
      <c r="E85" s="203"/>
      <c r="F85" s="203"/>
      <c r="G85" s="83"/>
      <c r="H85" s="19">
        <f>H$79+H$82+H$84</f>
        <v>640.77</v>
      </c>
      <c r="I85" s="20"/>
    </row>
    <row r="86" spans="2:9" x14ac:dyDescent="0.2">
      <c r="B86" s="97"/>
      <c r="C86" s="97"/>
      <c r="D86" s="97"/>
      <c r="E86" s="97"/>
      <c r="F86" s="97"/>
      <c r="G86" s="97"/>
      <c r="H86" s="97"/>
      <c r="I86" s="97"/>
    </row>
    <row r="87" spans="2:9" x14ac:dyDescent="0.2">
      <c r="B87" s="100"/>
      <c r="C87" s="100"/>
      <c r="D87" s="100"/>
      <c r="E87" s="100"/>
      <c r="F87" s="100"/>
      <c r="G87" s="100"/>
      <c r="H87" s="100"/>
      <c r="I87" s="101"/>
    </row>
    <row r="88" spans="2:9" x14ac:dyDescent="0.2">
      <c r="B88" s="201" t="s">
        <v>73</v>
      </c>
      <c r="C88" s="202"/>
      <c r="D88" s="202"/>
      <c r="E88" s="202"/>
      <c r="F88" s="236"/>
      <c r="G88" s="143"/>
      <c r="H88" s="144"/>
      <c r="I88" s="101"/>
    </row>
    <row r="89" spans="2:9" x14ac:dyDescent="0.2">
      <c r="B89" s="237" t="s">
        <v>91</v>
      </c>
      <c r="C89" s="238"/>
      <c r="D89" s="238"/>
      <c r="E89" s="238"/>
      <c r="F89" s="238"/>
      <c r="G89" s="151"/>
      <c r="H89" s="152"/>
      <c r="I89" s="101"/>
    </row>
    <row r="90" spans="2:9" x14ac:dyDescent="0.2">
      <c r="B90" s="96" t="s">
        <v>14</v>
      </c>
      <c r="C90" s="186" t="s">
        <v>92</v>
      </c>
      <c r="D90" s="203"/>
      <c r="E90" s="203"/>
      <c r="F90" s="187"/>
      <c r="G90" s="96" t="s">
        <v>105</v>
      </c>
      <c r="H90" s="96" t="s">
        <v>49</v>
      </c>
      <c r="I90" s="101"/>
    </row>
    <row r="91" spans="2:9" x14ac:dyDescent="0.2">
      <c r="B91" s="16" t="s">
        <v>4</v>
      </c>
      <c r="C91" s="94" t="s">
        <v>111</v>
      </c>
      <c r="D91" s="169" t="s">
        <v>154</v>
      </c>
      <c r="E91" s="170"/>
      <c r="F91" s="171"/>
      <c r="G91" s="42">
        <v>30</v>
      </c>
      <c r="H91" s="22">
        <f>TRUNC((H$93*$G91)/12,2)</f>
        <v>535.75</v>
      </c>
      <c r="I91" s="107"/>
    </row>
    <row r="92" spans="2:9" ht="22.5" x14ac:dyDescent="0.2">
      <c r="B92" s="16" t="s">
        <v>5</v>
      </c>
      <c r="C92" s="86" t="s">
        <v>160</v>
      </c>
      <c r="D92" s="172" t="s">
        <v>163</v>
      </c>
      <c r="E92" s="173"/>
      <c r="F92" s="174"/>
      <c r="G92" s="61">
        <v>8</v>
      </c>
      <c r="H92" s="22">
        <f>TRUNC((H$93*$G92)/12,2)</f>
        <v>142.86000000000001</v>
      </c>
      <c r="I92" s="107"/>
    </row>
    <row r="93" spans="2:9" x14ac:dyDescent="0.2">
      <c r="B93" s="16" t="s">
        <v>6</v>
      </c>
      <c r="C93" s="94" t="s">
        <v>113</v>
      </c>
      <c r="D93" s="169" t="s">
        <v>147</v>
      </c>
      <c r="E93" s="170"/>
      <c r="F93" s="170"/>
      <c r="G93" s="171"/>
      <c r="H93" s="22">
        <f>TRUNC((H$32+H$74+H$85)/30,2)</f>
        <v>214.3</v>
      </c>
      <c r="I93" s="107"/>
    </row>
    <row r="94" spans="2:9" x14ac:dyDescent="0.2">
      <c r="B94" s="16" t="s">
        <v>149</v>
      </c>
      <c r="C94" s="186" t="s">
        <v>61</v>
      </c>
      <c r="D94" s="203"/>
      <c r="E94" s="203"/>
      <c r="F94" s="203"/>
      <c r="G94" s="83"/>
      <c r="H94" s="19">
        <f>TRUNC(H$91+H$92,2)</f>
        <v>678.61</v>
      </c>
      <c r="I94" s="20"/>
    </row>
    <row r="95" spans="2:9" x14ac:dyDescent="0.2">
      <c r="B95" s="75"/>
      <c r="C95" s="76"/>
      <c r="D95" s="76"/>
      <c r="E95" s="76"/>
      <c r="F95" s="76"/>
      <c r="G95" s="76"/>
      <c r="H95" s="77"/>
      <c r="I95" s="27"/>
    </row>
    <row r="96" spans="2:9" x14ac:dyDescent="0.2">
      <c r="B96" s="239" t="s">
        <v>93</v>
      </c>
      <c r="C96" s="240"/>
      <c r="D96" s="240"/>
      <c r="E96" s="240"/>
      <c r="F96" s="240"/>
      <c r="G96" s="153"/>
      <c r="H96" s="154"/>
      <c r="I96" s="101"/>
    </row>
    <row r="97" spans="2:9" x14ac:dyDescent="0.2">
      <c r="B97" s="96" t="s">
        <v>15</v>
      </c>
      <c r="C97" s="186" t="s">
        <v>94</v>
      </c>
      <c r="D97" s="203"/>
      <c r="E97" s="203"/>
      <c r="F97" s="187"/>
      <c r="G97" s="96" t="s">
        <v>105</v>
      </c>
      <c r="H97" s="96" t="s">
        <v>49</v>
      </c>
      <c r="I97" s="101"/>
    </row>
    <row r="98" spans="2:9" ht="22.5" x14ac:dyDescent="0.2">
      <c r="B98" s="16" t="s">
        <v>4</v>
      </c>
      <c r="C98" s="86" t="s">
        <v>95</v>
      </c>
      <c r="D98" s="169" t="s">
        <v>184</v>
      </c>
      <c r="E98" s="170"/>
      <c r="F98" s="170"/>
      <c r="G98" s="42"/>
      <c r="H98" s="22">
        <f>TRUNC(((H$32+H74+H85)/220)*(1+50%)*G98,2)</f>
        <v>0</v>
      </c>
      <c r="I98" s="107"/>
    </row>
    <row r="99" spans="2:9" x14ac:dyDescent="0.2">
      <c r="B99" s="16" t="s">
        <v>150</v>
      </c>
      <c r="C99" s="186" t="s">
        <v>61</v>
      </c>
      <c r="D99" s="203"/>
      <c r="E99" s="203"/>
      <c r="F99" s="203"/>
      <c r="G99" s="133"/>
      <c r="H99" s="19">
        <f>H98</f>
        <v>0</v>
      </c>
      <c r="I99" s="107"/>
    </row>
    <row r="100" spans="2:9" x14ac:dyDescent="0.2">
      <c r="B100" s="99"/>
      <c r="C100" s="98"/>
      <c r="D100" s="98"/>
      <c r="E100" s="98"/>
      <c r="F100" s="98"/>
      <c r="G100" s="100"/>
      <c r="H100" s="168"/>
      <c r="I100" s="123"/>
    </row>
    <row r="101" spans="2:9" x14ac:dyDescent="0.2">
      <c r="B101" s="239" t="s">
        <v>74</v>
      </c>
      <c r="C101" s="240"/>
      <c r="D101" s="240"/>
      <c r="E101" s="240"/>
      <c r="F101" s="240"/>
      <c r="G101" s="153"/>
      <c r="H101" s="154"/>
      <c r="I101" s="101"/>
    </row>
    <row r="102" spans="2:9" x14ac:dyDescent="0.2">
      <c r="B102" s="96">
        <v>4</v>
      </c>
      <c r="C102" s="186" t="s">
        <v>75</v>
      </c>
      <c r="D102" s="203"/>
      <c r="E102" s="203"/>
      <c r="F102" s="203"/>
      <c r="G102" s="187"/>
      <c r="H102" s="96" t="s">
        <v>49</v>
      </c>
      <c r="I102" s="101"/>
    </row>
    <row r="103" spans="2:9" x14ac:dyDescent="0.2">
      <c r="B103" s="16" t="s">
        <v>14</v>
      </c>
      <c r="C103" s="94" t="s">
        <v>42</v>
      </c>
      <c r="D103" s="169" t="s">
        <v>149</v>
      </c>
      <c r="E103" s="170"/>
      <c r="F103" s="170"/>
      <c r="G103" s="171"/>
      <c r="H103" s="22">
        <f>H94</f>
        <v>678.61</v>
      </c>
      <c r="I103" s="107"/>
    </row>
    <row r="104" spans="2:9" x14ac:dyDescent="0.2">
      <c r="B104" s="16" t="s">
        <v>15</v>
      </c>
      <c r="C104" s="94" t="s">
        <v>44</v>
      </c>
      <c r="D104" s="169" t="s">
        <v>150</v>
      </c>
      <c r="E104" s="170"/>
      <c r="F104" s="170"/>
      <c r="G104" s="171"/>
      <c r="H104" s="22">
        <f>H99</f>
        <v>0</v>
      </c>
      <c r="I104" s="107"/>
    </row>
    <row r="105" spans="2:9" x14ac:dyDescent="0.2">
      <c r="B105" s="16" t="s">
        <v>151</v>
      </c>
      <c r="C105" s="186" t="s">
        <v>61</v>
      </c>
      <c r="D105" s="203"/>
      <c r="E105" s="203"/>
      <c r="F105" s="203"/>
      <c r="G105" s="83"/>
      <c r="H105" s="19">
        <f>SUM(H103:H104)</f>
        <v>678.61</v>
      </c>
      <c r="I105" s="20"/>
    </row>
    <row r="106" spans="2:9" x14ac:dyDescent="0.2">
      <c r="B106" s="100"/>
      <c r="C106" s="100"/>
      <c r="D106" s="100"/>
      <c r="E106" s="100"/>
      <c r="F106" s="100"/>
      <c r="G106" s="100"/>
      <c r="H106" s="100"/>
      <c r="I106" s="101"/>
    </row>
    <row r="107" spans="2:9" x14ac:dyDescent="0.2">
      <c r="B107" s="100"/>
      <c r="C107" s="100"/>
      <c r="D107" s="100"/>
      <c r="E107" s="100"/>
      <c r="F107" s="100"/>
      <c r="G107" s="100"/>
      <c r="H107" s="100"/>
      <c r="I107" s="101"/>
    </row>
    <row r="108" spans="2:9" x14ac:dyDescent="0.2">
      <c r="B108" s="201" t="s">
        <v>76</v>
      </c>
      <c r="C108" s="202"/>
      <c r="D108" s="202"/>
      <c r="E108" s="202"/>
      <c r="F108" s="236"/>
      <c r="G108" s="143"/>
      <c r="H108" s="144"/>
      <c r="I108" s="101"/>
    </row>
    <row r="109" spans="2:9" x14ac:dyDescent="0.2">
      <c r="B109" s="96">
        <v>5</v>
      </c>
      <c r="C109" s="241" t="s">
        <v>63</v>
      </c>
      <c r="D109" s="242"/>
      <c r="E109" s="242"/>
      <c r="F109" s="242"/>
      <c r="G109" s="243"/>
      <c r="H109" s="96" t="s">
        <v>49</v>
      </c>
      <c r="I109" s="101"/>
    </row>
    <row r="110" spans="2:9" x14ac:dyDescent="0.2">
      <c r="B110" s="16" t="s">
        <v>4</v>
      </c>
      <c r="C110" s="69" t="s">
        <v>45</v>
      </c>
      <c r="D110" s="70"/>
      <c r="E110" s="70"/>
      <c r="F110" s="70"/>
      <c r="G110" s="71"/>
      <c r="H110" s="72"/>
      <c r="I110" s="107"/>
    </row>
    <row r="111" spans="2:9" x14ac:dyDescent="0.2">
      <c r="B111" s="16" t="s">
        <v>5</v>
      </c>
      <c r="C111" s="69" t="s">
        <v>12</v>
      </c>
      <c r="D111" s="70"/>
      <c r="E111" s="70"/>
      <c r="F111" s="70"/>
      <c r="G111" s="71"/>
      <c r="H111" s="72"/>
      <c r="I111" s="107"/>
    </row>
    <row r="112" spans="2:9" x14ac:dyDescent="0.2">
      <c r="B112" s="16" t="s">
        <v>6</v>
      </c>
      <c r="C112" s="69" t="s">
        <v>13</v>
      </c>
      <c r="D112" s="70"/>
      <c r="E112" s="70"/>
      <c r="F112" s="70"/>
      <c r="G112" s="71"/>
      <c r="H112" s="72"/>
      <c r="I112" s="107"/>
    </row>
    <row r="113" spans="2:9" x14ac:dyDescent="0.2">
      <c r="B113" s="16" t="s">
        <v>7</v>
      </c>
      <c r="C113" s="69" t="s">
        <v>2</v>
      </c>
      <c r="D113" s="70"/>
      <c r="E113" s="70"/>
      <c r="F113" s="70"/>
      <c r="G113" s="71"/>
      <c r="H113" s="72"/>
      <c r="I113" s="107"/>
    </row>
    <row r="114" spans="2:9" x14ac:dyDescent="0.2">
      <c r="B114" s="16" t="s">
        <v>152</v>
      </c>
      <c r="C114" s="186" t="s">
        <v>61</v>
      </c>
      <c r="D114" s="203"/>
      <c r="E114" s="203"/>
      <c r="F114" s="203"/>
      <c r="G114" s="83"/>
      <c r="H114" s="19">
        <f>SUM(H110:H113)</f>
        <v>0</v>
      </c>
      <c r="I114" s="20"/>
    </row>
    <row r="115" spans="2:9" x14ac:dyDescent="0.2">
      <c r="B115" s="100"/>
      <c r="C115" s="100"/>
      <c r="D115" s="100"/>
      <c r="E115" s="100"/>
      <c r="F115" s="100"/>
      <c r="G115" s="78"/>
      <c r="H115" s="73"/>
      <c r="I115" s="20"/>
    </row>
    <row r="116" spans="2:9" x14ac:dyDescent="0.2">
      <c r="B116" s="100"/>
      <c r="C116" s="100"/>
      <c r="D116" s="100"/>
      <c r="E116" s="100"/>
      <c r="F116" s="100"/>
      <c r="G116" s="100"/>
      <c r="H116" s="100"/>
      <c r="I116" s="101"/>
    </row>
    <row r="117" spans="2:9" x14ac:dyDescent="0.2">
      <c r="B117" s="201" t="s">
        <v>77</v>
      </c>
      <c r="C117" s="202"/>
      <c r="D117" s="202"/>
      <c r="E117" s="202"/>
      <c r="F117" s="236"/>
      <c r="G117" s="143"/>
      <c r="H117" s="144"/>
      <c r="I117" s="101"/>
    </row>
    <row r="118" spans="2:9" x14ac:dyDescent="0.2">
      <c r="B118" s="96">
        <v>6</v>
      </c>
      <c r="C118" s="186" t="s">
        <v>64</v>
      </c>
      <c r="D118" s="203"/>
      <c r="E118" s="203"/>
      <c r="F118" s="187"/>
      <c r="G118" s="96" t="s">
        <v>1</v>
      </c>
      <c r="H118" s="96" t="s">
        <v>49</v>
      </c>
      <c r="I118" s="101"/>
    </row>
    <row r="119" spans="2:9" x14ac:dyDescent="0.2">
      <c r="B119" s="16" t="s">
        <v>4</v>
      </c>
      <c r="C119" s="94" t="s">
        <v>16</v>
      </c>
      <c r="D119" s="204" t="s">
        <v>164</v>
      </c>
      <c r="E119" s="205"/>
      <c r="F119" s="206"/>
      <c r="G119" s="50">
        <v>0.05</v>
      </c>
      <c r="H119" s="22">
        <f>TRUNC(H$136*$G119,2)</f>
        <v>355.38</v>
      </c>
      <c r="I119" s="107"/>
    </row>
    <row r="120" spans="2:9" x14ac:dyDescent="0.2">
      <c r="B120" s="16" t="s">
        <v>5</v>
      </c>
      <c r="C120" s="94" t="s">
        <v>3</v>
      </c>
      <c r="D120" s="204" t="s">
        <v>165</v>
      </c>
      <c r="E120" s="205"/>
      <c r="F120" s="206"/>
      <c r="G120" s="50">
        <v>0.1</v>
      </c>
      <c r="H120" s="22">
        <f>TRUNC((H$136+H$119)*$G120,2)</f>
        <v>746.31</v>
      </c>
      <c r="I120" s="107"/>
    </row>
    <row r="121" spans="2:9" x14ac:dyDescent="0.2">
      <c r="B121" s="16" t="s">
        <v>6</v>
      </c>
      <c r="C121" s="94" t="s">
        <v>119</v>
      </c>
      <c r="D121" s="204" t="s">
        <v>166</v>
      </c>
      <c r="E121" s="205"/>
      <c r="F121" s="206"/>
      <c r="G121" s="52">
        <f>1-(G122+G123+G124)</f>
        <v>0.85749999999999993</v>
      </c>
      <c r="H121" s="28">
        <f>TRUNC(((H$136+H$119+H$120)/$G121),2)</f>
        <v>9573.7099999999991</v>
      </c>
      <c r="I121" s="110"/>
    </row>
    <row r="122" spans="2:9" x14ac:dyDescent="0.2">
      <c r="B122" s="16" t="s">
        <v>21</v>
      </c>
      <c r="C122" s="94" t="s">
        <v>18</v>
      </c>
      <c r="D122" s="204" t="s">
        <v>167</v>
      </c>
      <c r="E122" s="205"/>
      <c r="F122" s="206"/>
      <c r="G122" s="51">
        <v>1.6500000000000001E-2</v>
      </c>
      <c r="H122" s="22">
        <f>TRUNC(H$121*$G122,2)</f>
        <v>157.96</v>
      </c>
      <c r="I122" s="107"/>
    </row>
    <row r="123" spans="2:9" x14ac:dyDescent="0.2">
      <c r="B123" s="16" t="s">
        <v>22</v>
      </c>
      <c r="C123" s="94" t="s">
        <v>19</v>
      </c>
      <c r="D123" s="204" t="s">
        <v>167</v>
      </c>
      <c r="E123" s="205"/>
      <c r="F123" s="206"/>
      <c r="G123" s="51">
        <v>7.5999999999999998E-2</v>
      </c>
      <c r="H123" s="22">
        <f>TRUNC(H$121*$G123,2)</f>
        <v>727.6</v>
      </c>
      <c r="I123" s="107"/>
    </row>
    <row r="124" spans="2:9" x14ac:dyDescent="0.2">
      <c r="B124" s="16" t="s">
        <v>23</v>
      </c>
      <c r="C124" s="94" t="s">
        <v>20</v>
      </c>
      <c r="D124" s="204" t="s">
        <v>167</v>
      </c>
      <c r="E124" s="205"/>
      <c r="F124" s="206"/>
      <c r="G124" s="51">
        <v>0.05</v>
      </c>
      <c r="H124" s="22">
        <f>TRUNC(H$121*$G124,2)</f>
        <v>478.68</v>
      </c>
      <c r="I124" s="107"/>
    </row>
    <row r="125" spans="2:9" x14ac:dyDescent="0.2">
      <c r="B125" s="16" t="s">
        <v>153</v>
      </c>
      <c r="C125" s="90" t="s">
        <v>61</v>
      </c>
      <c r="D125" s="244" t="s">
        <v>155</v>
      </c>
      <c r="E125" s="244"/>
      <c r="F125" s="244"/>
      <c r="G125" s="167"/>
      <c r="H125" s="19">
        <f>SUM(H119:H124)-H121</f>
        <v>2465.9300000000003</v>
      </c>
      <c r="I125" s="20"/>
    </row>
    <row r="126" spans="2:9" x14ac:dyDescent="0.2">
      <c r="B126" s="67"/>
      <c r="C126" s="67"/>
      <c r="D126" s="67"/>
      <c r="E126" s="67"/>
      <c r="F126" s="67"/>
      <c r="G126" s="67"/>
      <c r="H126" s="79"/>
      <c r="I126" s="29"/>
    </row>
    <row r="127" spans="2:9" x14ac:dyDescent="0.2">
      <c r="B127" s="245" t="s">
        <v>195</v>
      </c>
      <c r="C127" s="245"/>
      <c r="D127" s="245"/>
      <c r="E127" s="245"/>
      <c r="F127" s="245"/>
      <c r="G127" s="245"/>
      <c r="H127" s="245"/>
      <c r="I127" s="117"/>
    </row>
    <row r="128" spans="2:9" x14ac:dyDescent="0.2">
      <c r="B128" s="93"/>
      <c r="C128" s="93"/>
      <c r="D128" s="93"/>
      <c r="E128" s="93"/>
      <c r="F128" s="93"/>
      <c r="G128" s="93"/>
      <c r="H128" s="93"/>
      <c r="I128" s="117"/>
    </row>
    <row r="129" spans="2:9" x14ac:dyDescent="0.2">
      <c r="B129" s="201" t="s">
        <v>196</v>
      </c>
      <c r="C129" s="202"/>
      <c r="D129" s="202"/>
      <c r="E129" s="202"/>
      <c r="F129" s="202"/>
      <c r="G129" s="161"/>
      <c r="H129" s="144"/>
      <c r="I129" s="101"/>
    </row>
    <row r="130" spans="2:9" ht="12.75" customHeight="1" x14ac:dyDescent="0.2">
      <c r="B130" s="159"/>
      <c r="C130" s="246" t="s">
        <v>120</v>
      </c>
      <c r="D130" s="247"/>
      <c r="E130" s="247"/>
      <c r="F130" s="247"/>
      <c r="G130" s="160"/>
      <c r="H130" s="142" t="s">
        <v>49</v>
      </c>
      <c r="I130" s="101"/>
    </row>
    <row r="131" spans="2:9" x14ac:dyDescent="0.2">
      <c r="B131" s="16" t="s">
        <v>4</v>
      </c>
      <c r="C131" s="86" t="s">
        <v>79</v>
      </c>
      <c r="D131" s="169" t="s">
        <v>130</v>
      </c>
      <c r="E131" s="170"/>
      <c r="F131" s="170"/>
      <c r="G131" s="171"/>
      <c r="H131" s="22">
        <f>H32</f>
        <v>2689.56</v>
      </c>
      <c r="I131" s="107"/>
    </row>
    <row r="132" spans="2:9" ht="22.5" x14ac:dyDescent="0.2">
      <c r="B132" s="16" t="s">
        <v>5</v>
      </c>
      <c r="C132" s="86" t="s">
        <v>80</v>
      </c>
      <c r="D132" s="169" t="s">
        <v>144</v>
      </c>
      <c r="E132" s="170"/>
      <c r="F132" s="170"/>
      <c r="G132" s="171"/>
      <c r="H132" s="22">
        <f>H74</f>
        <v>3098.83</v>
      </c>
      <c r="I132" s="107"/>
    </row>
    <row r="133" spans="2:9" x14ac:dyDescent="0.2">
      <c r="B133" s="16" t="s">
        <v>6</v>
      </c>
      <c r="C133" s="86" t="s">
        <v>81</v>
      </c>
      <c r="D133" s="169" t="s">
        <v>148</v>
      </c>
      <c r="E133" s="170"/>
      <c r="F133" s="170"/>
      <c r="G133" s="171"/>
      <c r="H133" s="22">
        <f>H85</f>
        <v>640.77</v>
      </c>
      <c r="I133" s="107"/>
    </row>
    <row r="134" spans="2:9" ht="22.5" x14ac:dyDescent="0.2">
      <c r="B134" s="16" t="s">
        <v>7</v>
      </c>
      <c r="C134" s="86" t="s">
        <v>43</v>
      </c>
      <c r="D134" s="169" t="s">
        <v>151</v>
      </c>
      <c r="E134" s="170"/>
      <c r="F134" s="170"/>
      <c r="G134" s="171"/>
      <c r="H134" s="22">
        <f>H105</f>
        <v>678.61</v>
      </c>
      <c r="I134" s="107"/>
    </row>
    <row r="135" spans="2:9" x14ac:dyDescent="0.2">
      <c r="B135" s="16" t="s">
        <v>8</v>
      </c>
      <c r="C135" s="86" t="s">
        <v>82</v>
      </c>
      <c r="D135" s="169" t="s">
        <v>152</v>
      </c>
      <c r="E135" s="170"/>
      <c r="F135" s="170"/>
      <c r="G135" s="171"/>
      <c r="H135" s="22">
        <f>H114</f>
        <v>0</v>
      </c>
      <c r="I135" s="107"/>
    </row>
    <row r="136" spans="2:9" x14ac:dyDescent="0.2">
      <c r="B136" s="92" t="s">
        <v>9</v>
      </c>
      <c r="C136" s="85" t="s">
        <v>46</v>
      </c>
      <c r="D136" s="175" t="s">
        <v>171</v>
      </c>
      <c r="E136" s="176"/>
      <c r="F136" s="176"/>
      <c r="G136" s="177"/>
      <c r="H136" s="25">
        <f>SUM(H131:H135)</f>
        <v>7107.7699999999995</v>
      </c>
      <c r="I136" s="20"/>
    </row>
    <row r="137" spans="2:9" x14ac:dyDescent="0.2">
      <c r="B137" s="16" t="s">
        <v>10</v>
      </c>
      <c r="C137" s="94" t="s">
        <v>83</v>
      </c>
      <c r="D137" s="169" t="s">
        <v>153</v>
      </c>
      <c r="E137" s="170"/>
      <c r="F137" s="170"/>
      <c r="G137" s="171"/>
      <c r="H137" s="22">
        <f>H125</f>
        <v>2465.9300000000003</v>
      </c>
      <c r="I137" s="107"/>
    </row>
    <row r="138" spans="2:9" x14ac:dyDescent="0.2">
      <c r="B138" s="16" t="s">
        <v>156</v>
      </c>
      <c r="C138" s="89" t="s">
        <v>78</v>
      </c>
      <c r="D138" s="178" t="s">
        <v>170</v>
      </c>
      <c r="E138" s="166"/>
      <c r="F138" s="166"/>
      <c r="G138" s="167"/>
      <c r="H138" s="31">
        <f>SUM(H136:H137)</f>
        <v>9573.7000000000007</v>
      </c>
      <c r="I138" s="121"/>
    </row>
    <row r="139" spans="2:9" ht="12.75" customHeight="1" x14ac:dyDescent="0.2">
      <c r="B139" s="14"/>
      <c r="C139" s="14"/>
      <c r="D139" s="14"/>
      <c r="E139" s="14"/>
      <c r="F139" s="14"/>
      <c r="G139" s="14"/>
      <c r="H139" s="32"/>
      <c r="I139" s="32"/>
    </row>
    <row r="140" spans="2:9" x14ac:dyDescent="0.2">
      <c r="B140" s="245" t="s">
        <v>197</v>
      </c>
      <c r="C140" s="245"/>
      <c r="D140" s="245"/>
      <c r="E140" s="245"/>
      <c r="F140" s="245"/>
      <c r="I140" s="14"/>
    </row>
    <row r="141" spans="2:9" x14ac:dyDescent="0.2">
      <c r="B141" s="80"/>
      <c r="C141" s="80"/>
      <c r="D141" s="80"/>
      <c r="E141" s="74"/>
      <c r="F141" s="74"/>
      <c r="I141" s="14"/>
    </row>
    <row r="142" spans="2:9" x14ac:dyDescent="0.2">
      <c r="B142" s="256" t="s">
        <v>198</v>
      </c>
      <c r="C142" s="257"/>
      <c r="D142" s="257"/>
      <c r="E142" s="257"/>
      <c r="F142" s="257"/>
      <c r="G142" s="161"/>
      <c r="H142" s="144"/>
      <c r="I142" s="118"/>
    </row>
    <row r="143" spans="2:9" x14ac:dyDescent="0.2">
      <c r="B143" s="134" t="s">
        <v>4</v>
      </c>
      <c r="C143" s="162" t="s">
        <v>106</v>
      </c>
      <c r="D143" s="258" t="s">
        <v>156</v>
      </c>
      <c r="E143" s="259"/>
      <c r="F143" s="259"/>
      <c r="G143" s="163"/>
      <c r="H143" s="164">
        <f>H138</f>
        <v>9573.7000000000007</v>
      </c>
      <c r="I143" s="116"/>
    </row>
    <row r="144" spans="2:9" ht="22.5" x14ac:dyDescent="0.2">
      <c r="B144" s="16" t="s">
        <v>5</v>
      </c>
      <c r="C144" s="87" t="s">
        <v>158</v>
      </c>
      <c r="D144" s="260" t="s">
        <v>159</v>
      </c>
      <c r="E144" s="261"/>
      <c r="F144" s="261"/>
      <c r="G144" s="157"/>
      <c r="H144" s="11">
        <f>H43+H85+H103</f>
        <v>1842.35</v>
      </c>
      <c r="I144" s="111"/>
    </row>
    <row r="145" spans="2:9" ht="22.5" x14ac:dyDescent="0.2">
      <c r="B145" s="16" t="s">
        <v>6</v>
      </c>
      <c r="C145" s="87" t="s">
        <v>175</v>
      </c>
      <c r="D145" s="260" t="s">
        <v>183</v>
      </c>
      <c r="E145" s="261"/>
      <c r="F145" s="261"/>
      <c r="G145" s="158"/>
      <c r="H145" s="115">
        <f>TRUNC((H$43*$G56),2)</f>
        <v>192.45</v>
      </c>
      <c r="I145" s="116"/>
    </row>
    <row r="146" spans="2:9" ht="12.75" customHeight="1" x14ac:dyDescent="0.2">
      <c r="B146" s="16" t="s">
        <v>7</v>
      </c>
      <c r="C146" s="87" t="s">
        <v>16</v>
      </c>
      <c r="D146" s="248" t="s">
        <v>168</v>
      </c>
      <c r="E146" s="249"/>
      <c r="F146" s="250"/>
      <c r="G146" s="12">
        <f>G119</f>
        <v>0.05</v>
      </c>
      <c r="H146" s="11">
        <f>TRUNC((H$144+H$145)*$G146,2)</f>
        <v>101.74</v>
      </c>
      <c r="I146" s="111"/>
    </row>
    <row r="147" spans="2:9" ht="12.75" customHeight="1" x14ac:dyDescent="0.2">
      <c r="B147" s="16" t="s">
        <v>8</v>
      </c>
      <c r="C147" s="87" t="s">
        <v>3</v>
      </c>
      <c r="D147" s="248" t="s">
        <v>169</v>
      </c>
      <c r="E147" s="249"/>
      <c r="F147" s="250"/>
      <c r="G147" s="12">
        <f>G120</f>
        <v>0.1</v>
      </c>
      <c r="H147" s="11">
        <f>TRUNC((H$144+H$145+H$146)*$G147,2)</f>
        <v>213.65</v>
      </c>
      <c r="I147" s="111"/>
    </row>
    <row r="148" spans="2:9" ht="12.75" customHeight="1" x14ac:dyDescent="0.2">
      <c r="B148" s="16" t="s">
        <v>9</v>
      </c>
      <c r="C148" s="87" t="s">
        <v>107</v>
      </c>
      <c r="D148" s="248" t="s">
        <v>177</v>
      </c>
      <c r="E148" s="249"/>
      <c r="F148" s="250"/>
      <c r="G148" s="12">
        <f>G122+G123+G124</f>
        <v>0.14250000000000002</v>
      </c>
      <c r="H148" s="11">
        <f>TRUNC((H$144+H$145+H$146+H$147)/(1-$G148)-(H$144+H$145+H$146+H$147),2)</f>
        <v>390.55</v>
      </c>
      <c r="I148" s="111"/>
    </row>
    <row r="149" spans="2:9" ht="22.5" x14ac:dyDescent="0.2">
      <c r="B149" s="16" t="s">
        <v>10</v>
      </c>
      <c r="C149" s="135" t="s">
        <v>108</v>
      </c>
      <c r="D149" s="155" t="s">
        <v>178</v>
      </c>
      <c r="E149" s="156"/>
      <c r="F149" s="156"/>
      <c r="G149" s="157"/>
      <c r="H149" s="136">
        <f>SUM(H144:H148)</f>
        <v>2740.7400000000002</v>
      </c>
      <c r="I149" s="112"/>
    </row>
    <row r="150" spans="2:9" x14ac:dyDescent="0.2">
      <c r="B150" s="16" t="s">
        <v>157</v>
      </c>
      <c r="C150" s="91" t="s">
        <v>128</v>
      </c>
      <c r="D150" s="251" t="s">
        <v>176</v>
      </c>
      <c r="E150" s="252"/>
      <c r="F150" s="252"/>
      <c r="G150" s="165"/>
      <c r="H150" s="33">
        <f>H143-H149</f>
        <v>6832.9600000000009</v>
      </c>
      <c r="I150" s="122"/>
    </row>
    <row r="151" spans="2:9" ht="45" customHeight="1" x14ac:dyDescent="0.2">
      <c r="B151" s="253" t="s">
        <v>127</v>
      </c>
      <c r="C151" s="254"/>
      <c r="D151" s="254"/>
      <c r="E151" s="254"/>
      <c r="F151" s="254"/>
      <c r="G151" s="255"/>
      <c r="H151" s="141"/>
      <c r="I151" s="113"/>
    </row>
  </sheetData>
  <mergeCells count="106">
    <mergeCell ref="D148:F148"/>
    <mergeCell ref="D150:F150"/>
    <mergeCell ref="B151:G151"/>
    <mergeCell ref="B142:F142"/>
    <mergeCell ref="D143:F143"/>
    <mergeCell ref="D144:F144"/>
    <mergeCell ref="D145:F145"/>
    <mergeCell ref="D146:F146"/>
    <mergeCell ref="D147:F147"/>
    <mergeCell ref="D124:F124"/>
    <mergeCell ref="D125:F125"/>
    <mergeCell ref="B127:H127"/>
    <mergeCell ref="B129:F129"/>
    <mergeCell ref="C130:F130"/>
    <mergeCell ref="B140:F140"/>
    <mergeCell ref="C118:F118"/>
    <mergeCell ref="D119:F119"/>
    <mergeCell ref="D120:F120"/>
    <mergeCell ref="D121:F121"/>
    <mergeCell ref="D122:F122"/>
    <mergeCell ref="D123:F123"/>
    <mergeCell ref="C102:G102"/>
    <mergeCell ref="C105:F105"/>
    <mergeCell ref="B108:F108"/>
    <mergeCell ref="C109:G109"/>
    <mergeCell ref="C114:F114"/>
    <mergeCell ref="B117:F117"/>
    <mergeCell ref="C90:F90"/>
    <mergeCell ref="C94:F94"/>
    <mergeCell ref="B96:F96"/>
    <mergeCell ref="C97:F97"/>
    <mergeCell ref="C99:F99"/>
    <mergeCell ref="B101:F101"/>
    <mergeCell ref="D81:E81"/>
    <mergeCell ref="D83:E83"/>
    <mergeCell ref="D84:E84"/>
    <mergeCell ref="C85:F85"/>
    <mergeCell ref="B88:F88"/>
    <mergeCell ref="B89:F89"/>
    <mergeCell ref="B69:F69"/>
    <mergeCell ref="C70:F70"/>
    <mergeCell ref="C74:F74"/>
    <mergeCell ref="B75:H75"/>
    <mergeCell ref="B77:F77"/>
    <mergeCell ref="C78:F78"/>
    <mergeCell ref="C56:F56"/>
    <mergeCell ref="B57:H57"/>
    <mergeCell ref="B58:F58"/>
    <mergeCell ref="C59:F59"/>
    <mergeCell ref="C67:F67"/>
    <mergeCell ref="B68:H68"/>
    <mergeCell ref="H49:H50"/>
    <mergeCell ref="D51:F51"/>
    <mergeCell ref="D52:F52"/>
    <mergeCell ref="D53:F53"/>
    <mergeCell ref="D54:F54"/>
    <mergeCell ref="D55:F55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F45"/>
    <mergeCell ref="C46:F46"/>
    <mergeCell ref="C32:F32"/>
    <mergeCell ref="C33:F34"/>
    <mergeCell ref="B37:F37"/>
    <mergeCell ref="B38:F38"/>
    <mergeCell ref="B39:F39"/>
    <mergeCell ref="C40:F40"/>
    <mergeCell ref="D26:F26"/>
    <mergeCell ref="D27:F27"/>
    <mergeCell ref="D28:F28"/>
    <mergeCell ref="D29:F29"/>
    <mergeCell ref="D30:F30"/>
    <mergeCell ref="D31:F31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</mergeCells>
  <dataValidations count="9">
    <dataValidation type="list" allowBlank="1" showInputMessage="1" showErrorMessage="1" sqref="G26" xr:uid="{7B6F7A95-512E-47CE-A3B2-8E0C95A50C55}">
      <formula1>"0%, 30%"</formula1>
    </dataValidation>
    <dataValidation type="list" allowBlank="1" showInputMessage="1" showErrorMessage="1" sqref="G27" xr:uid="{E26AC4AF-840C-432C-9831-165AF6081B46}">
      <formula1>"0%, 10%, 20%, 40%"</formula1>
    </dataValidation>
    <dataValidation type="list" allowBlank="1" showInputMessage="1" showErrorMessage="1" sqref="E50" xr:uid="{9611CFF4-3CC0-474D-B8B2-F68CC0A884C4}">
      <formula1>"1%, 2%, 3%"</formula1>
    </dataValidation>
    <dataValidation type="list" allowBlank="1" showInputMessage="1" showErrorMessage="1" sqref="G28:G29" xr:uid="{6C66897C-0A66-4D75-BA6A-8723CDDA18B8}">
      <formula1>"0, 20%"</formula1>
    </dataValidation>
    <dataValidation type="list" allowBlank="1" showInputMessage="1" showErrorMessage="1" sqref="G30" xr:uid="{71768222-C12C-4EAC-B645-98FEA501E7BF}">
      <formula1>"0, 50%, 100%"</formula1>
    </dataValidation>
    <dataValidation type="whole" allowBlank="1" showInputMessage="1" showErrorMessage="1" errorTitle="Valor errado" error="Quantidade fixa de dias. Prencher com 30" sqref="G91" xr:uid="{0045CF1F-242E-46D3-B119-F4EB77D8F1C1}">
      <formula1>30</formula1>
      <formula2>30</formula2>
    </dataValidation>
    <dataValidation type="list" operator="equal" allowBlank="1" showInputMessage="1" showErrorMessage="1" errorTitle="Valor errado" error="Percentual fixo. Preencher com 40%." sqref="F81 F83" xr:uid="{8A1C4A36-686A-4696-9C0B-798B6B890C91}">
      <formula1>"40%"</formula1>
    </dataValidation>
    <dataValidation type="custom" allowBlank="1" showInputMessage="1" showErrorMessage="1" sqref="G121" xr:uid="{CED21440-897B-4F1E-A8D8-E705DC096DDA}">
      <formula1>1-(G122+G123+G124)</formula1>
    </dataValidation>
    <dataValidation type="list" allowBlank="1" showInputMessage="1" showErrorMessage="1" sqref="G84" xr:uid="{F2684CFD-989E-4229-B8E7-9BD05D4171A5}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75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B1:I149"/>
  <sheetViews>
    <sheetView showGridLines="0" tabSelected="1" topLeftCell="B115" zoomScaleNormal="100" workbookViewId="0">
      <selection activeCell="J126" sqref="J126"/>
    </sheetView>
  </sheetViews>
  <sheetFormatPr defaultColWidth="9.140625" defaultRowHeight="12.75" x14ac:dyDescent="0.2"/>
  <cols>
    <col min="1" max="1" width="3.5703125" style="63" customWidth="1"/>
    <col min="2" max="2" width="8.28515625" style="63" customWidth="1"/>
    <col min="3" max="3" width="39.140625" style="63" customWidth="1"/>
    <col min="4" max="4" width="29.140625" style="63" customWidth="1"/>
    <col min="5" max="6" width="8.140625" style="63" customWidth="1"/>
    <col min="7" max="7" width="9.140625" style="63" customWidth="1"/>
    <col min="8" max="9" width="15.28515625" style="63" customWidth="1"/>
    <col min="10" max="16384" width="9.140625" style="63"/>
  </cols>
  <sheetData>
    <row r="1" spans="2:9" x14ac:dyDescent="0.2">
      <c r="C1" s="114"/>
      <c r="D1" s="14"/>
      <c r="E1" s="14"/>
      <c r="F1" s="14"/>
      <c r="G1" s="14"/>
      <c r="H1" s="14"/>
      <c r="I1" s="14"/>
    </row>
    <row r="2" spans="2:9" x14ac:dyDescent="0.2">
      <c r="B2" s="195" t="s">
        <v>50</v>
      </c>
      <c r="C2" s="195"/>
      <c r="D2" s="195"/>
      <c r="E2" s="195"/>
      <c r="F2" s="195"/>
      <c r="G2" s="195"/>
      <c r="H2" s="195"/>
      <c r="I2" s="100"/>
    </row>
    <row r="3" spans="2:9" x14ac:dyDescent="0.2">
      <c r="B3" s="196" t="s">
        <v>194</v>
      </c>
      <c r="C3" s="196"/>
      <c r="D3" s="196"/>
      <c r="E3" s="196"/>
      <c r="F3" s="196"/>
      <c r="G3" s="196"/>
      <c r="H3" s="196"/>
      <c r="I3" s="102"/>
    </row>
    <row r="4" spans="2:9" x14ac:dyDescent="0.2">
      <c r="B4" s="65"/>
      <c r="C4" s="65"/>
      <c r="D4" s="65"/>
      <c r="E4" s="65"/>
      <c r="F4" s="65"/>
      <c r="G4" s="65"/>
      <c r="H4" s="65"/>
      <c r="I4" s="65"/>
    </row>
    <row r="5" spans="2:9" x14ac:dyDescent="0.2">
      <c r="B5" s="65"/>
      <c r="C5" s="65"/>
      <c r="D5" s="65"/>
      <c r="E5" s="65"/>
      <c r="F5" s="65"/>
      <c r="G5" s="65"/>
      <c r="H5" s="65"/>
      <c r="I5" s="65"/>
    </row>
    <row r="6" spans="2:9" x14ac:dyDescent="0.2">
      <c r="B6" s="139" t="s">
        <v>220</v>
      </c>
      <c r="C6" s="139"/>
      <c r="D6" s="197" t="s">
        <v>221</v>
      </c>
      <c r="E6" s="262"/>
      <c r="F6" s="263"/>
      <c r="I6" s="15"/>
    </row>
    <row r="7" spans="2:9" x14ac:dyDescent="0.2">
      <c r="B7" s="65"/>
      <c r="C7" s="65"/>
      <c r="D7" s="65"/>
      <c r="E7" s="65"/>
      <c r="F7" s="65"/>
      <c r="G7" s="65"/>
      <c r="H7" s="65"/>
      <c r="I7" s="14"/>
    </row>
    <row r="8" spans="2:9" x14ac:dyDescent="0.2">
      <c r="B8" s="200" t="s">
        <v>51</v>
      </c>
      <c r="C8" s="200"/>
      <c r="D8" s="200"/>
      <c r="E8" s="200"/>
      <c r="F8" s="200"/>
      <c r="G8" s="140"/>
      <c r="H8" s="140"/>
      <c r="I8" s="64"/>
    </row>
    <row r="9" spans="2:9" x14ac:dyDescent="0.2">
      <c r="B9" s="191">
        <v>1</v>
      </c>
      <c r="C9" s="192" t="s">
        <v>52</v>
      </c>
      <c r="D9" s="192"/>
      <c r="E9" s="192"/>
      <c r="F9" s="192"/>
      <c r="G9" s="140"/>
      <c r="H9" s="140"/>
      <c r="I9" s="64"/>
    </row>
    <row r="10" spans="2:9" x14ac:dyDescent="0.2">
      <c r="B10" s="191"/>
      <c r="C10" s="193"/>
      <c r="D10" s="193"/>
      <c r="E10" s="193"/>
      <c r="F10" s="193"/>
      <c r="G10" s="140"/>
      <c r="H10" s="140"/>
      <c r="I10" s="64"/>
    </row>
    <row r="11" spans="2:9" x14ac:dyDescent="0.2">
      <c r="B11" s="191">
        <v>2</v>
      </c>
      <c r="C11" s="192" t="s">
        <v>55</v>
      </c>
      <c r="D11" s="192"/>
      <c r="E11" s="192"/>
      <c r="F11" s="192"/>
      <c r="G11" s="140"/>
      <c r="H11" s="140"/>
      <c r="I11" s="64"/>
    </row>
    <row r="12" spans="2:9" x14ac:dyDescent="0.2">
      <c r="B12" s="191"/>
      <c r="C12" s="193"/>
      <c r="D12" s="193"/>
      <c r="E12" s="193"/>
      <c r="F12" s="193"/>
      <c r="G12" s="140"/>
      <c r="H12" s="140"/>
      <c r="I12" s="64"/>
    </row>
    <row r="13" spans="2:9" x14ac:dyDescent="0.2">
      <c r="B13" s="191">
        <v>3</v>
      </c>
      <c r="C13" s="192" t="s">
        <v>56</v>
      </c>
      <c r="D13" s="192"/>
      <c r="E13" s="192"/>
      <c r="F13" s="192"/>
      <c r="G13" s="140"/>
      <c r="H13" s="140"/>
      <c r="I13" s="64"/>
    </row>
    <row r="14" spans="2:9" x14ac:dyDescent="0.2">
      <c r="B14" s="191"/>
      <c r="C14" s="194"/>
      <c r="D14" s="194"/>
      <c r="E14" s="194"/>
      <c r="F14" s="194"/>
      <c r="G14" s="140"/>
      <c r="H14" s="140"/>
      <c r="I14" s="64"/>
    </row>
    <row r="15" spans="2:9" x14ac:dyDescent="0.2">
      <c r="B15" s="191">
        <v>4</v>
      </c>
      <c r="C15" s="192" t="s">
        <v>57</v>
      </c>
      <c r="D15" s="192"/>
      <c r="E15" s="192"/>
      <c r="F15" s="192"/>
      <c r="G15" s="140"/>
      <c r="H15" s="140"/>
      <c r="I15" s="64"/>
    </row>
    <row r="16" spans="2:9" x14ac:dyDescent="0.2">
      <c r="B16" s="191"/>
      <c r="C16" s="193"/>
      <c r="D16" s="193"/>
      <c r="E16" s="193"/>
      <c r="F16" s="193"/>
      <c r="G16" s="140"/>
      <c r="H16" s="140"/>
      <c r="I16" s="64"/>
    </row>
    <row r="17" spans="2:9" x14ac:dyDescent="0.2">
      <c r="B17" s="191">
        <v>5</v>
      </c>
      <c r="C17" s="192" t="s">
        <v>58</v>
      </c>
      <c r="D17" s="192"/>
      <c r="E17" s="192"/>
      <c r="F17" s="192"/>
      <c r="G17" s="140"/>
      <c r="H17" s="140"/>
      <c r="I17" s="64"/>
    </row>
    <row r="18" spans="2:9" x14ac:dyDescent="0.2">
      <c r="B18" s="191"/>
      <c r="C18" s="193"/>
      <c r="D18" s="193"/>
      <c r="E18" s="193"/>
      <c r="F18" s="193"/>
      <c r="G18" s="140"/>
      <c r="H18" s="140"/>
      <c r="I18" s="64"/>
    </row>
    <row r="19" spans="2:9" x14ac:dyDescent="0.2">
      <c r="B19" s="191">
        <v>6</v>
      </c>
      <c r="C19" s="192" t="s">
        <v>59</v>
      </c>
      <c r="D19" s="192"/>
      <c r="E19" s="192"/>
      <c r="F19" s="192"/>
      <c r="G19" s="140"/>
      <c r="H19" s="140"/>
      <c r="I19" s="64"/>
    </row>
    <row r="20" spans="2:9" x14ac:dyDescent="0.2">
      <c r="B20" s="191"/>
      <c r="C20" s="193"/>
      <c r="D20" s="193"/>
      <c r="E20" s="193"/>
      <c r="F20" s="193"/>
      <c r="G20" s="140"/>
      <c r="H20" s="140"/>
      <c r="I20" s="64"/>
    </row>
    <row r="21" spans="2:9" x14ac:dyDescent="0.2">
      <c r="B21" s="66"/>
      <c r="C21" s="66"/>
      <c r="D21" s="66"/>
      <c r="E21" s="66"/>
      <c r="F21" s="66"/>
      <c r="G21" s="67"/>
      <c r="H21" s="67"/>
      <c r="I21" s="64"/>
    </row>
    <row r="22" spans="2:9" x14ac:dyDescent="0.2">
      <c r="B22" s="68"/>
      <c r="C22" s="68"/>
      <c r="D22" s="68"/>
      <c r="E22" s="68"/>
      <c r="F22" s="68"/>
      <c r="G22" s="68"/>
      <c r="H22" s="145" t="s">
        <v>199</v>
      </c>
    </row>
    <row r="23" spans="2:9" x14ac:dyDescent="0.2">
      <c r="B23" s="201" t="s">
        <v>66</v>
      </c>
      <c r="C23" s="202"/>
      <c r="D23" s="202"/>
      <c r="E23" s="202"/>
      <c r="F23" s="202"/>
      <c r="G23" s="143"/>
      <c r="H23" s="144" t="s">
        <v>208</v>
      </c>
      <c r="I23" s="101"/>
    </row>
    <row r="24" spans="2:9" x14ac:dyDescent="0.2">
      <c r="B24" s="96">
        <v>1</v>
      </c>
      <c r="C24" s="186" t="s">
        <v>60</v>
      </c>
      <c r="D24" s="203"/>
      <c r="E24" s="203"/>
      <c r="F24" s="187"/>
      <c r="G24" s="142" t="s">
        <v>1</v>
      </c>
      <c r="H24" s="142" t="s">
        <v>49</v>
      </c>
      <c r="I24" s="101"/>
    </row>
    <row r="25" spans="2:9" ht="12.75" customHeight="1" x14ac:dyDescent="0.2">
      <c r="B25" s="16" t="s">
        <v>4</v>
      </c>
      <c r="C25" s="94" t="s">
        <v>17</v>
      </c>
      <c r="D25" s="204"/>
      <c r="E25" s="205"/>
      <c r="F25" s="206"/>
      <c r="G25" s="17"/>
      <c r="H25" s="34">
        <v>1515.92</v>
      </c>
      <c r="I25" s="107"/>
    </row>
    <row r="26" spans="2:9" x14ac:dyDescent="0.2">
      <c r="B26" s="16" t="s">
        <v>5</v>
      </c>
      <c r="C26" s="94" t="s">
        <v>24</v>
      </c>
      <c r="D26" s="204" t="s">
        <v>129</v>
      </c>
      <c r="E26" s="205"/>
      <c r="F26" s="206"/>
      <c r="G26" s="35"/>
      <c r="H26" s="18">
        <f>TRUNC(H$25*$G26,2)</f>
        <v>0</v>
      </c>
      <c r="I26" s="103"/>
    </row>
    <row r="27" spans="2:9" x14ac:dyDescent="0.2">
      <c r="B27" s="16" t="s">
        <v>6</v>
      </c>
      <c r="C27" s="95" t="s">
        <v>25</v>
      </c>
      <c r="D27" s="204" t="s">
        <v>172</v>
      </c>
      <c r="E27" s="205"/>
      <c r="F27" s="206"/>
      <c r="G27" s="35"/>
      <c r="H27" s="18">
        <f>TRUNC(H$25*$G27,2)</f>
        <v>0</v>
      </c>
      <c r="I27" s="103"/>
    </row>
    <row r="28" spans="2:9" x14ac:dyDescent="0.2">
      <c r="B28" s="16" t="s">
        <v>7</v>
      </c>
      <c r="C28" s="95" t="s">
        <v>0</v>
      </c>
      <c r="D28" s="204" t="s">
        <v>180</v>
      </c>
      <c r="E28" s="205"/>
      <c r="F28" s="206"/>
      <c r="G28" s="36"/>
      <c r="H28" s="72">
        <f>TRUNC(((H$25+H26)*$G28)/220*8*15,2)</f>
        <v>0</v>
      </c>
      <c r="I28" s="104"/>
    </row>
    <row r="29" spans="2:9" x14ac:dyDescent="0.2">
      <c r="B29" s="124" t="s">
        <v>8</v>
      </c>
      <c r="C29" s="125" t="s">
        <v>26</v>
      </c>
      <c r="D29" s="214" t="s">
        <v>180</v>
      </c>
      <c r="E29" s="215"/>
      <c r="F29" s="216"/>
      <c r="G29" s="126"/>
      <c r="H29" s="127">
        <f>TRUNC(((H25+H26)*$G29)/220*1*15,2)</f>
        <v>0</v>
      </c>
      <c r="I29" s="128" t="s">
        <v>185</v>
      </c>
    </row>
    <row r="30" spans="2:9" x14ac:dyDescent="0.2">
      <c r="B30" s="129" t="s">
        <v>9</v>
      </c>
      <c r="C30" s="125" t="s">
        <v>109</v>
      </c>
      <c r="D30" s="214" t="s">
        <v>181</v>
      </c>
      <c r="E30" s="215"/>
      <c r="F30" s="216"/>
      <c r="G30" s="130"/>
      <c r="H30" s="127">
        <f>TRUNC($G$34*H34*(1+$G$30),2)</f>
        <v>0</v>
      </c>
      <c r="I30" s="128" t="s">
        <v>185</v>
      </c>
    </row>
    <row r="31" spans="2:9" x14ac:dyDescent="0.2">
      <c r="B31" s="16" t="s">
        <v>10</v>
      </c>
      <c r="C31" s="95" t="s">
        <v>2</v>
      </c>
      <c r="D31" s="204"/>
      <c r="E31" s="205"/>
      <c r="F31" s="206"/>
      <c r="G31" s="36"/>
      <c r="H31" s="53"/>
      <c r="I31" s="105"/>
    </row>
    <row r="32" spans="2:9" x14ac:dyDescent="0.2">
      <c r="B32" s="16" t="s">
        <v>130</v>
      </c>
      <c r="C32" s="186" t="s">
        <v>61</v>
      </c>
      <c r="D32" s="203"/>
      <c r="E32" s="203"/>
      <c r="F32" s="187"/>
      <c r="G32" s="30"/>
      <c r="H32" s="19">
        <f>SUM(H25:H31)</f>
        <v>1515.92</v>
      </c>
      <c r="I32" s="20"/>
    </row>
    <row r="33" spans="2:9" ht="22.5" x14ac:dyDescent="0.2">
      <c r="B33" s="100"/>
      <c r="C33" s="207" t="s">
        <v>121</v>
      </c>
      <c r="D33" s="207"/>
      <c r="E33" s="207"/>
      <c r="F33" s="207"/>
      <c r="G33" s="56" t="s">
        <v>110</v>
      </c>
      <c r="H33" s="55" t="s">
        <v>123</v>
      </c>
      <c r="I33" s="4"/>
    </row>
    <row r="34" spans="2:9" x14ac:dyDescent="0.2">
      <c r="B34" s="100"/>
      <c r="C34" s="207"/>
      <c r="D34" s="207"/>
      <c r="E34" s="207"/>
      <c r="F34" s="207"/>
      <c r="G34" s="54"/>
      <c r="H34" s="37">
        <f>IF($G$34="",0,TRUNC((H25+H26+H27)/220,2))</f>
        <v>0</v>
      </c>
      <c r="I34" s="106"/>
    </row>
    <row r="35" spans="2:9" x14ac:dyDescent="0.2">
      <c r="B35" s="100"/>
      <c r="C35" s="100"/>
      <c r="D35" s="100"/>
      <c r="E35" s="100"/>
      <c r="F35" s="100"/>
      <c r="G35" s="100"/>
      <c r="H35" s="73"/>
      <c r="I35" s="20"/>
    </row>
    <row r="36" spans="2:9" x14ac:dyDescent="0.2">
      <c r="B36" s="100"/>
      <c r="C36" s="100"/>
      <c r="D36" s="100"/>
      <c r="E36" s="100"/>
      <c r="F36" s="100"/>
      <c r="G36" s="100"/>
      <c r="H36" s="73"/>
      <c r="I36" s="20"/>
    </row>
    <row r="37" spans="2:9" ht="12.75" customHeight="1" x14ac:dyDescent="0.2">
      <c r="B37" s="201" t="s">
        <v>67</v>
      </c>
      <c r="C37" s="202"/>
      <c r="D37" s="202"/>
      <c r="E37" s="202"/>
      <c r="F37" s="202"/>
      <c r="G37" s="143"/>
      <c r="H37" s="144"/>
      <c r="I37" s="101"/>
    </row>
    <row r="38" spans="2:9" x14ac:dyDescent="0.2">
      <c r="B38" s="208"/>
      <c r="C38" s="209"/>
      <c r="D38" s="209"/>
      <c r="E38" s="209"/>
      <c r="F38" s="209"/>
      <c r="G38" s="62"/>
      <c r="H38" s="62"/>
      <c r="I38" s="101"/>
    </row>
    <row r="39" spans="2:9" x14ac:dyDescent="0.2">
      <c r="B39" s="210" t="s">
        <v>36</v>
      </c>
      <c r="C39" s="210"/>
      <c r="D39" s="210"/>
      <c r="E39" s="210"/>
      <c r="F39" s="210"/>
      <c r="G39" s="62"/>
      <c r="H39" s="62"/>
      <c r="I39" s="101"/>
    </row>
    <row r="40" spans="2:9" x14ac:dyDescent="0.2">
      <c r="B40" s="142" t="s">
        <v>38</v>
      </c>
      <c r="C40" s="211" t="s">
        <v>27</v>
      </c>
      <c r="D40" s="212"/>
      <c r="E40" s="212"/>
      <c r="F40" s="213"/>
      <c r="G40" s="96" t="s">
        <v>1</v>
      </c>
      <c r="H40" s="96" t="s">
        <v>49</v>
      </c>
      <c r="I40" s="101"/>
    </row>
    <row r="41" spans="2:9" x14ac:dyDescent="0.2">
      <c r="B41" s="16" t="s">
        <v>4</v>
      </c>
      <c r="C41" s="94" t="s">
        <v>112</v>
      </c>
      <c r="D41" s="204" t="s">
        <v>131</v>
      </c>
      <c r="E41" s="205"/>
      <c r="F41" s="206"/>
      <c r="G41" s="148">
        <f>1/12</f>
        <v>8.3333333333333329E-2</v>
      </c>
      <c r="H41" s="149">
        <f>TRUNC((H$32*$G41),2)</f>
        <v>126.32</v>
      </c>
      <c r="I41" s="107"/>
    </row>
    <row r="42" spans="2:9" x14ac:dyDescent="0.2">
      <c r="B42" s="16" t="s">
        <v>5</v>
      </c>
      <c r="C42" s="94" t="s">
        <v>65</v>
      </c>
      <c r="D42" s="204" t="s">
        <v>133</v>
      </c>
      <c r="E42" s="205"/>
      <c r="F42" s="206"/>
      <c r="G42" s="21">
        <f>(1/12)+(1/3/12)</f>
        <v>0.1111111111111111</v>
      </c>
      <c r="H42" s="22">
        <f>TRUNC((H$32*$G42),2)</f>
        <v>168.43</v>
      </c>
      <c r="I42" s="107"/>
    </row>
    <row r="43" spans="2:9" x14ac:dyDescent="0.2">
      <c r="B43" s="16" t="s">
        <v>132</v>
      </c>
      <c r="C43" s="186" t="s">
        <v>61</v>
      </c>
      <c r="D43" s="203"/>
      <c r="E43" s="203"/>
      <c r="F43" s="187"/>
      <c r="G43" s="23">
        <f>TRUNC(SUM(G41:G42),4)</f>
        <v>0.19439999999999999</v>
      </c>
      <c r="H43" s="19">
        <f>SUM(H41:H42)</f>
        <v>294.75</v>
      </c>
      <c r="I43" s="20"/>
    </row>
    <row r="44" spans="2:9" x14ac:dyDescent="0.2">
      <c r="B44" s="224"/>
      <c r="C44" s="225"/>
      <c r="D44" s="225"/>
      <c r="E44" s="225"/>
      <c r="F44" s="225"/>
      <c r="G44" s="225"/>
      <c r="H44" s="226"/>
      <c r="I44" s="100"/>
    </row>
    <row r="45" spans="2:9" ht="30" customHeight="1" x14ac:dyDescent="0.2">
      <c r="B45" s="227" t="s">
        <v>68</v>
      </c>
      <c r="C45" s="228"/>
      <c r="D45" s="228"/>
      <c r="E45" s="228"/>
      <c r="F45" s="229"/>
      <c r="G45" s="146"/>
      <c r="H45" s="147"/>
      <c r="I45" s="108"/>
    </row>
    <row r="46" spans="2:9" x14ac:dyDescent="0.2">
      <c r="B46" s="96" t="s">
        <v>39</v>
      </c>
      <c r="C46" s="186" t="s">
        <v>69</v>
      </c>
      <c r="D46" s="203"/>
      <c r="E46" s="203"/>
      <c r="F46" s="187"/>
      <c r="G46" s="96" t="s">
        <v>1</v>
      </c>
      <c r="H46" s="96" t="s">
        <v>49</v>
      </c>
      <c r="I46" s="101"/>
    </row>
    <row r="47" spans="2:9" x14ac:dyDescent="0.2">
      <c r="B47" s="16" t="s">
        <v>4</v>
      </c>
      <c r="C47" s="94" t="s">
        <v>30</v>
      </c>
      <c r="D47" s="204" t="s">
        <v>134</v>
      </c>
      <c r="E47" s="205"/>
      <c r="F47" s="206"/>
      <c r="G47" s="21">
        <v>0.2</v>
      </c>
      <c r="H47" s="22">
        <f>TRUNC((H$32+H$43)*$G47,2)</f>
        <v>362.13</v>
      </c>
      <c r="I47" s="107"/>
    </row>
    <row r="48" spans="2:9" x14ac:dyDescent="0.2">
      <c r="B48" s="16" t="s">
        <v>5</v>
      </c>
      <c r="C48" s="82" t="s">
        <v>31</v>
      </c>
      <c r="D48" s="204" t="s">
        <v>135</v>
      </c>
      <c r="E48" s="205"/>
      <c r="F48" s="206"/>
      <c r="G48" s="21">
        <v>2.5000000000000001E-2</v>
      </c>
      <c r="H48" s="22">
        <f>TRUNC((H$32+H$43)*$G48,2)</f>
        <v>45.26</v>
      </c>
      <c r="I48" s="107"/>
    </row>
    <row r="49" spans="2:9" x14ac:dyDescent="0.2">
      <c r="B49" s="217" t="s">
        <v>6</v>
      </c>
      <c r="C49" s="219" t="s">
        <v>103</v>
      </c>
      <c r="D49" s="221" t="s">
        <v>141</v>
      </c>
      <c r="E49" s="10" t="s">
        <v>104</v>
      </c>
      <c r="F49" s="10" t="s">
        <v>102</v>
      </c>
      <c r="G49" s="222">
        <f>E50*F50</f>
        <v>0.03</v>
      </c>
      <c r="H49" s="233">
        <f>TRUNC((H$32+H$43)*$G49,2)</f>
        <v>54.32</v>
      </c>
      <c r="I49" s="110"/>
    </row>
    <row r="50" spans="2:9" x14ac:dyDescent="0.2">
      <c r="B50" s="218"/>
      <c r="C50" s="220"/>
      <c r="D50" s="221"/>
      <c r="E50" s="38">
        <v>0.03</v>
      </c>
      <c r="F50" s="39">
        <v>1</v>
      </c>
      <c r="G50" s="223"/>
      <c r="H50" s="233"/>
      <c r="I50" s="110"/>
    </row>
    <row r="51" spans="2:9" x14ac:dyDescent="0.2">
      <c r="B51" s="16" t="s">
        <v>7</v>
      </c>
      <c r="C51" s="94" t="s">
        <v>29</v>
      </c>
      <c r="D51" s="204" t="s">
        <v>136</v>
      </c>
      <c r="E51" s="205"/>
      <c r="F51" s="206"/>
      <c r="G51" s="21">
        <v>1.4999999999999999E-2</v>
      </c>
      <c r="H51" s="22">
        <f>TRUNC((H$32+H$43)*$G51,2)</f>
        <v>27.16</v>
      </c>
      <c r="I51" s="107"/>
    </row>
    <row r="52" spans="2:9" x14ac:dyDescent="0.2">
      <c r="B52" s="16" t="s">
        <v>8</v>
      </c>
      <c r="C52" s="94" t="s">
        <v>32</v>
      </c>
      <c r="D52" s="204" t="s">
        <v>137</v>
      </c>
      <c r="E52" s="205"/>
      <c r="F52" s="206"/>
      <c r="G52" s="21">
        <v>0.01</v>
      </c>
      <c r="H52" s="22">
        <f>TRUNC((H$32+H$43)*$G52,2)</f>
        <v>18.100000000000001</v>
      </c>
      <c r="I52" s="107"/>
    </row>
    <row r="53" spans="2:9" x14ac:dyDescent="0.2">
      <c r="B53" s="16" t="s">
        <v>9</v>
      </c>
      <c r="C53" s="94" t="s">
        <v>33</v>
      </c>
      <c r="D53" s="204" t="s">
        <v>138</v>
      </c>
      <c r="E53" s="205"/>
      <c r="F53" s="206"/>
      <c r="G53" s="21">
        <v>6.0000000000000001E-3</v>
      </c>
      <c r="H53" s="22">
        <f>TRUNC((H$32+H$43)*$G53,2)</f>
        <v>10.86</v>
      </c>
      <c r="I53" s="107"/>
    </row>
    <row r="54" spans="2:9" x14ac:dyDescent="0.2">
      <c r="B54" s="16" t="s">
        <v>10</v>
      </c>
      <c r="C54" s="94" t="s">
        <v>34</v>
      </c>
      <c r="D54" s="204" t="s">
        <v>139</v>
      </c>
      <c r="E54" s="205"/>
      <c r="F54" s="206"/>
      <c r="G54" s="21">
        <v>2E-3</v>
      </c>
      <c r="H54" s="22">
        <f>TRUNC((H$32+H$43)*$G54,2)</f>
        <v>3.62</v>
      </c>
      <c r="I54" s="107"/>
    </row>
    <row r="55" spans="2:9" x14ac:dyDescent="0.2">
      <c r="B55" s="16" t="s">
        <v>11</v>
      </c>
      <c r="C55" s="94" t="s">
        <v>35</v>
      </c>
      <c r="D55" s="204" t="s">
        <v>140</v>
      </c>
      <c r="E55" s="205"/>
      <c r="F55" s="206"/>
      <c r="G55" s="21">
        <v>0.08</v>
      </c>
      <c r="H55" s="22">
        <f>TRUNC((H$32+H$43)*$G55,2)</f>
        <v>144.85</v>
      </c>
      <c r="I55" s="107"/>
    </row>
    <row r="56" spans="2:9" x14ac:dyDescent="0.2">
      <c r="B56" s="16" t="s">
        <v>142</v>
      </c>
      <c r="C56" s="186" t="s">
        <v>61</v>
      </c>
      <c r="D56" s="203"/>
      <c r="E56" s="203"/>
      <c r="F56" s="187"/>
      <c r="G56" s="24">
        <f>SUM(G47:G55)</f>
        <v>0.36800000000000005</v>
      </c>
      <c r="H56" s="19">
        <f>SUM(H47:H55)</f>
        <v>666.30000000000007</v>
      </c>
      <c r="I56" s="20"/>
    </row>
    <row r="57" spans="2:9" x14ac:dyDescent="0.2">
      <c r="B57" s="230"/>
      <c r="C57" s="231"/>
      <c r="D57" s="231"/>
      <c r="E57" s="231"/>
      <c r="F57" s="231"/>
      <c r="G57" s="231"/>
      <c r="H57" s="232"/>
      <c r="I57" s="119"/>
    </row>
    <row r="58" spans="2:9" ht="12.75" customHeight="1" x14ac:dyDescent="0.2">
      <c r="B58" s="227" t="s">
        <v>37</v>
      </c>
      <c r="C58" s="228"/>
      <c r="D58" s="228"/>
      <c r="E58" s="228"/>
      <c r="F58" s="229"/>
      <c r="G58" s="146"/>
      <c r="H58" s="147"/>
      <c r="I58" s="119"/>
    </row>
    <row r="59" spans="2:9" x14ac:dyDescent="0.2">
      <c r="B59" s="96" t="s">
        <v>40</v>
      </c>
      <c r="C59" s="186" t="s">
        <v>41</v>
      </c>
      <c r="D59" s="203"/>
      <c r="E59" s="203"/>
      <c r="F59" s="203"/>
      <c r="G59" s="83"/>
      <c r="H59" s="96" t="s">
        <v>49</v>
      </c>
      <c r="I59" s="101"/>
    </row>
    <row r="60" spans="2:9" ht="12.75" customHeight="1" x14ac:dyDescent="0.2">
      <c r="B60" s="16" t="s">
        <v>4</v>
      </c>
      <c r="C60" s="94" t="s">
        <v>47</v>
      </c>
      <c r="D60" s="169" t="s">
        <v>145</v>
      </c>
      <c r="E60" s="170"/>
      <c r="F60" s="170"/>
      <c r="G60" s="171"/>
      <c r="H60" s="40">
        <f>TRUNC((5.5*2*22)-(H$25*6%),2)</f>
        <v>151.04</v>
      </c>
      <c r="I60" s="120"/>
    </row>
    <row r="61" spans="2:9" ht="12.75" customHeight="1" x14ac:dyDescent="0.2">
      <c r="B61" s="16" t="s">
        <v>5</v>
      </c>
      <c r="C61" s="94" t="s">
        <v>48</v>
      </c>
      <c r="D61" s="169" t="s">
        <v>146</v>
      </c>
      <c r="E61" s="170"/>
      <c r="F61" s="170"/>
      <c r="G61" s="171"/>
      <c r="H61" s="40">
        <f>40.5*22</f>
        <v>891</v>
      </c>
      <c r="I61" s="120"/>
    </row>
    <row r="62" spans="2:9" s="74" customFormat="1" x14ac:dyDescent="0.2">
      <c r="B62" s="16" t="s">
        <v>6</v>
      </c>
      <c r="C62" s="94" t="s">
        <v>201</v>
      </c>
      <c r="D62" s="169"/>
      <c r="E62" s="170"/>
      <c r="F62" s="170"/>
      <c r="G62" s="171"/>
      <c r="H62" s="40">
        <v>175.76</v>
      </c>
      <c r="I62" s="120"/>
    </row>
    <row r="63" spans="2:9" s="74" customFormat="1" x14ac:dyDescent="0.2">
      <c r="B63" s="16" t="s">
        <v>7</v>
      </c>
      <c r="C63" s="94" t="s">
        <v>206</v>
      </c>
      <c r="D63" s="170"/>
      <c r="E63" s="170"/>
      <c r="F63" s="170"/>
      <c r="G63" s="171"/>
      <c r="H63" s="40">
        <v>11.92</v>
      </c>
      <c r="I63" s="120"/>
    </row>
    <row r="64" spans="2:9" s="74" customFormat="1" x14ac:dyDescent="0.2">
      <c r="B64" s="16" t="s">
        <v>8</v>
      </c>
      <c r="C64" s="94" t="s">
        <v>207</v>
      </c>
      <c r="D64" s="170"/>
      <c r="E64" s="170"/>
      <c r="F64" s="170"/>
      <c r="G64" s="171"/>
      <c r="H64" s="40">
        <v>2.75</v>
      </c>
      <c r="I64" s="120"/>
    </row>
    <row r="65" spans="2:9" x14ac:dyDescent="0.2">
      <c r="B65" s="16" t="s">
        <v>143</v>
      </c>
      <c r="C65" s="186" t="s">
        <v>61</v>
      </c>
      <c r="D65" s="203"/>
      <c r="E65" s="203"/>
      <c r="F65" s="203"/>
      <c r="G65" s="83"/>
      <c r="H65" s="19">
        <f>SUM(H60:H62)</f>
        <v>1217.8</v>
      </c>
      <c r="I65" s="20"/>
    </row>
    <row r="66" spans="2:9" x14ac:dyDescent="0.2">
      <c r="B66" s="224"/>
      <c r="C66" s="225"/>
      <c r="D66" s="225"/>
      <c r="E66" s="225"/>
      <c r="F66" s="225"/>
      <c r="G66" s="225"/>
      <c r="H66" s="226"/>
      <c r="I66" s="100"/>
    </row>
    <row r="67" spans="2:9" x14ac:dyDescent="0.2">
      <c r="B67" s="239" t="s">
        <v>71</v>
      </c>
      <c r="C67" s="240"/>
      <c r="D67" s="240"/>
      <c r="E67" s="240"/>
      <c r="F67" s="240"/>
      <c r="G67" s="150"/>
      <c r="H67" s="150"/>
      <c r="I67" s="100"/>
    </row>
    <row r="68" spans="2:9" x14ac:dyDescent="0.2">
      <c r="B68" s="96">
        <v>2</v>
      </c>
      <c r="C68" s="186" t="s">
        <v>70</v>
      </c>
      <c r="D68" s="203"/>
      <c r="E68" s="203"/>
      <c r="F68" s="203"/>
      <c r="G68" s="83"/>
      <c r="H68" s="96" t="s">
        <v>49</v>
      </c>
      <c r="I68" s="101"/>
    </row>
    <row r="69" spans="2:9" x14ac:dyDescent="0.2">
      <c r="B69" s="16" t="s">
        <v>38</v>
      </c>
      <c r="C69" s="84" t="s">
        <v>27</v>
      </c>
      <c r="D69" s="169" t="s">
        <v>132</v>
      </c>
      <c r="E69" s="170"/>
      <c r="F69" s="170"/>
      <c r="G69" s="171"/>
      <c r="H69" s="22">
        <f>H43</f>
        <v>294.75</v>
      </c>
      <c r="I69" s="107"/>
    </row>
    <row r="70" spans="2:9" x14ac:dyDescent="0.2">
      <c r="B70" s="16" t="s">
        <v>39</v>
      </c>
      <c r="C70" s="84" t="s">
        <v>28</v>
      </c>
      <c r="D70" s="169" t="s">
        <v>142</v>
      </c>
      <c r="E70" s="170"/>
      <c r="F70" s="170"/>
      <c r="G70" s="171"/>
      <c r="H70" s="22">
        <f>H56</f>
        <v>666.30000000000007</v>
      </c>
      <c r="I70" s="107"/>
    </row>
    <row r="71" spans="2:9" x14ac:dyDescent="0.2">
      <c r="B71" s="16" t="s">
        <v>40</v>
      </c>
      <c r="C71" s="84" t="s">
        <v>41</v>
      </c>
      <c r="D71" s="169" t="s">
        <v>143</v>
      </c>
      <c r="E71" s="170"/>
      <c r="F71" s="170"/>
      <c r="G71" s="171"/>
      <c r="H71" s="22">
        <f>H65</f>
        <v>1217.8</v>
      </c>
      <c r="I71" s="107"/>
    </row>
    <row r="72" spans="2:9" x14ac:dyDescent="0.2">
      <c r="B72" s="16" t="s">
        <v>144</v>
      </c>
      <c r="C72" s="186" t="s">
        <v>61</v>
      </c>
      <c r="D72" s="203"/>
      <c r="E72" s="203"/>
      <c r="F72" s="203"/>
      <c r="G72" s="83"/>
      <c r="H72" s="19">
        <f>SUM(H69:H71)</f>
        <v>2178.85</v>
      </c>
      <c r="I72" s="20"/>
    </row>
    <row r="73" spans="2:9" x14ac:dyDescent="0.2">
      <c r="B73" s="225"/>
      <c r="C73" s="225"/>
      <c r="D73" s="225"/>
      <c r="E73" s="225"/>
      <c r="F73" s="225"/>
      <c r="G73" s="225"/>
      <c r="H73" s="225"/>
      <c r="I73" s="101"/>
    </row>
    <row r="74" spans="2:9" x14ac:dyDescent="0.2">
      <c r="B74" s="100"/>
      <c r="C74" s="100"/>
      <c r="D74" s="100"/>
      <c r="E74" s="100"/>
      <c r="F74" s="100"/>
      <c r="G74" s="100"/>
      <c r="H74" s="100"/>
      <c r="I74" s="101"/>
    </row>
    <row r="75" spans="2:9" x14ac:dyDescent="0.2">
      <c r="B75" s="201" t="s">
        <v>72</v>
      </c>
      <c r="C75" s="202"/>
      <c r="D75" s="202"/>
      <c r="E75" s="202"/>
      <c r="F75" s="236"/>
      <c r="G75" s="143"/>
      <c r="H75" s="144"/>
      <c r="I75" s="101"/>
    </row>
    <row r="76" spans="2:9" x14ac:dyDescent="0.2">
      <c r="B76" s="96">
        <v>3</v>
      </c>
      <c r="C76" s="186" t="s">
        <v>62</v>
      </c>
      <c r="D76" s="203"/>
      <c r="E76" s="203"/>
      <c r="F76" s="187"/>
      <c r="G76" s="96" t="s">
        <v>1</v>
      </c>
      <c r="H76" s="96" t="s">
        <v>49</v>
      </c>
      <c r="I76" s="101"/>
    </row>
    <row r="77" spans="2:9" x14ac:dyDescent="0.2">
      <c r="B77" s="16" t="s">
        <v>4</v>
      </c>
      <c r="C77" s="85" t="s">
        <v>97</v>
      </c>
      <c r="D77" s="169" t="s">
        <v>161</v>
      </c>
      <c r="E77" s="170"/>
      <c r="F77" s="171"/>
      <c r="G77" s="41">
        <v>1</v>
      </c>
      <c r="H77" s="25">
        <f>TRUNC((H$78+H$79)*$G77,2)</f>
        <v>309.79000000000002</v>
      </c>
      <c r="I77" s="20"/>
    </row>
    <row r="78" spans="2:9" x14ac:dyDescent="0.2">
      <c r="B78" s="16" t="s">
        <v>5</v>
      </c>
      <c r="C78" s="94" t="s">
        <v>98</v>
      </c>
      <c r="D78" s="169" t="s">
        <v>182</v>
      </c>
      <c r="E78" s="170"/>
      <c r="F78" s="171"/>
      <c r="G78" s="26"/>
      <c r="H78" s="22">
        <f>TRUNC((H$32+H$43+H$55+H$65-H60)/12,2)</f>
        <v>251.85</v>
      </c>
      <c r="I78" s="107"/>
    </row>
    <row r="79" spans="2:9" x14ac:dyDescent="0.2">
      <c r="B79" s="16" t="s">
        <v>6</v>
      </c>
      <c r="C79" s="94" t="s">
        <v>99</v>
      </c>
      <c r="D79" s="204" t="s">
        <v>173</v>
      </c>
      <c r="E79" s="206"/>
      <c r="F79" s="43">
        <v>0.4</v>
      </c>
      <c r="G79" s="26"/>
      <c r="H79" s="22">
        <f>TRUNC(H$55*$F79,2)</f>
        <v>57.94</v>
      </c>
      <c r="I79" s="107"/>
    </row>
    <row r="80" spans="2:9" x14ac:dyDescent="0.2">
      <c r="B80" s="16" t="s">
        <v>7</v>
      </c>
      <c r="C80" s="85" t="s">
        <v>100</v>
      </c>
      <c r="D80" s="169" t="s">
        <v>162</v>
      </c>
      <c r="E80" s="170"/>
      <c r="F80" s="171"/>
      <c r="G80" s="41">
        <v>1</v>
      </c>
      <c r="H80" s="88">
        <f>IF($G80&gt;=1,(TRUNC(H$81*$G80,2)),"ERRO")</f>
        <v>57.94</v>
      </c>
      <c r="I80" s="109"/>
    </row>
    <row r="81" spans="2:9" x14ac:dyDescent="0.2">
      <c r="B81" s="16" t="s">
        <v>8</v>
      </c>
      <c r="C81" s="94" t="s">
        <v>101</v>
      </c>
      <c r="D81" s="204" t="s">
        <v>173</v>
      </c>
      <c r="E81" s="206"/>
      <c r="F81" s="43">
        <v>0.4</v>
      </c>
      <c r="G81" s="26"/>
      <c r="H81" s="22">
        <f>TRUNC(H$55*$F81,2)</f>
        <v>57.94</v>
      </c>
      <c r="I81" s="107"/>
    </row>
    <row r="82" spans="2:9" x14ac:dyDescent="0.2">
      <c r="B82" s="16" t="s">
        <v>9</v>
      </c>
      <c r="C82" s="85" t="s">
        <v>179</v>
      </c>
      <c r="D82" s="234" t="s">
        <v>174</v>
      </c>
      <c r="E82" s="235"/>
      <c r="F82" s="42">
        <v>12</v>
      </c>
      <c r="G82" s="42">
        <v>3</v>
      </c>
      <c r="H82" s="22">
        <f>TRUNC(((H$32+H$43+H$56)/30)*$G82/$F82,2)</f>
        <v>20.64</v>
      </c>
      <c r="I82" s="107"/>
    </row>
    <row r="83" spans="2:9" x14ac:dyDescent="0.2">
      <c r="B83" s="16" t="s">
        <v>148</v>
      </c>
      <c r="C83" s="186" t="s">
        <v>61</v>
      </c>
      <c r="D83" s="203"/>
      <c r="E83" s="203"/>
      <c r="F83" s="203"/>
      <c r="G83" s="83"/>
      <c r="H83" s="19">
        <f>H$77+H$80+H$82</f>
        <v>388.37</v>
      </c>
      <c r="I83" s="20"/>
    </row>
    <row r="84" spans="2:9" x14ac:dyDescent="0.2">
      <c r="B84" s="97"/>
      <c r="C84" s="97"/>
      <c r="D84" s="97"/>
      <c r="E84" s="97"/>
      <c r="F84" s="97"/>
      <c r="G84" s="97"/>
      <c r="H84" s="97"/>
      <c r="I84" s="97"/>
    </row>
    <row r="85" spans="2:9" x14ac:dyDescent="0.2">
      <c r="B85" s="100"/>
      <c r="C85" s="100"/>
      <c r="D85" s="100"/>
      <c r="E85" s="100"/>
      <c r="F85" s="100"/>
      <c r="G85" s="100"/>
      <c r="H85" s="100"/>
      <c r="I85" s="101"/>
    </row>
    <row r="86" spans="2:9" x14ac:dyDescent="0.2">
      <c r="B86" s="201" t="s">
        <v>73</v>
      </c>
      <c r="C86" s="202"/>
      <c r="D86" s="202"/>
      <c r="E86" s="202"/>
      <c r="F86" s="236"/>
      <c r="G86" s="143"/>
      <c r="H86" s="144"/>
      <c r="I86" s="101"/>
    </row>
    <row r="87" spans="2:9" x14ac:dyDescent="0.2">
      <c r="B87" s="237" t="s">
        <v>91</v>
      </c>
      <c r="C87" s="238"/>
      <c r="D87" s="238"/>
      <c r="E87" s="238"/>
      <c r="F87" s="238"/>
      <c r="G87" s="151"/>
      <c r="H87" s="152"/>
      <c r="I87" s="101"/>
    </row>
    <row r="88" spans="2:9" x14ac:dyDescent="0.2">
      <c r="B88" s="96" t="s">
        <v>14</v>
      </c>
      <c r="C88" s="186" t="s">
        <v>92</v>
      </c>
      <c r="D88" s="203"/>
      <c r="E88" s="203"/>
      <c r="F88" s="187"/>
      <c r="G88" s="96" t="s">
        <v>105</v>
      </c>
      <c r="H88" s="96" t="s">
        <v>49</v>
      </c>
      <c r="I88" s="101"/>
    </row>
    <row r="89" spans="2:9" x14ac:dyDescent="0.2">
      <c r="B89" s="16" t="s">
        <v>4</v>
      </c>
      <c r="C89" s="94" t="s">
        <v>111</v>
      </c>
      <c r="D89" s="169" t="s">
        <v>154</v>
      </c>
      <c r="E89" s="170"/>
      <c r="F89" s="171"/>
      <c r="G89" s="42">
        <v>30</v>
      </c>
      <c r="H89" s="22">
        <f>TRUNC((H$91*$G89)/12,2)</f>
        <v>340.25</v>
      </c>
      <c r="I89" s="107"/>
    </row>
    <row r="90" spans="2:9" ht="22.5" x14ac:dyDescent="0.2">
      <c r="B90" s="16" t="s">
        <v>5</v>
      </c>
      <c r="C90" s="86" t="s">
        <v>160</v>
      </c>
      <c r="D90" s="172" t="s">
        <v>163</v>
      </c>
      <c r="E90" s="173"/>
      <c r="F90" s="174"/>
      <c r="G90" s="61">
        <v>8</v>
      </c>
      <c r="H90" s="22">
        <f>TRUNC((H$91*$G90)/12,2)</f>
        <v>90.73</v>
      </c>
      <c r="I90" s="107"/>
    </row>
    <row r="91" spans="2:9" x14ac:dyDescent="0.2">
      <c r="B91" s="16" t="s">
        <v>6</v>
      </c>
      <c r="C91" s="94" t="s">
        <v>113</v>
      </c>
      <c r="D91" s="169" t="s">
        <v>147</v>
      </c>
      <c r="E91" s="170"/>
      <c r="F91" s="170"/>
      <c r="G91" s="171"/>
      <c r="H91" s="22">
        <f>TRUNC((H$32+H$72+H$83)/30,2)</f>
        <v>136.1</v>
      </c>
      <c r="I91" s="107"/>
    </row>
    <row r="92" spans="2:9" x14ac:dyDescent="0.2">
      <c r="B92" s="16" t="s">
        <v>149</v>
      </c>
      <c r="C92" s="186" t="s">
        <v>61</v>
      </c>
      <c r="D92" s="203"/>
      <c r="E92" s="203"/>
      <c r="F92" s="203"/>
      <c r="G92" s="83"/>
      <c r="H92" s="19">
        <f>TRUNC(H$89+H$90,2)</f>
        <v>430.98</v>
      </c>
      <c r="I92" s="20"/>
    </row>
    <row r="93" spans="2:9" x14ac:dyDescent="0.2">
      <c r="B93" s="75"/>
      <c r="C93" s="76"/>
      <c r="D93" s="76"/>
      <c r="E93" s="76"/>
      <c r="F93" s="76"/>
      <c r="G93" s="76"/>
      <c r="H93" s="77"/>
      <c r="I93" s="27"/>
    </row>
    <row r="94" spans="2:9" x14ac:dyDescent="0.2">
      <c r="B94" s="239" t="s">
        <v>93</v>
      </c>
      <c r="C94" s="240"/>
      <c r="D94" s="240"/>
      <c r="E94" s="240"/>
      <c r="F94" s="240"/>
      <c r="G94" s="153"/>
      <c r="H94" s="154"/>
      <c r="I94" s="101"/>
    </row>
    <row r="95" spans="2:9" x14ac:dyDescent="0.2">
      <c r="B95" s="96" t="s">
        <v>15</v>
      </c>
      <c r="C95" s="186" t="s">
        <v>94</v>
      </c>
      <c r="D95" s="203"/>
      <c r="E95" s="203"/>
      <c r="F95" s="187"/>
      <c r="G95" s="96" t="s">
        <v>105</v>
      </c>
      <c r="H95" s="96" t="s">
        <v>49</v>
      </c>
      <c r="I95" s="101"/>
    </row>
    <row r="96" spans="2:9" ht="22.5" x14ac:dyDescent="0.2">
      <c r="B96" s="16" t="s">
        <v>4</v>
      </c>
      <c r="C96" s="86" t="s">
        <v>95</v>
      </c>
      <c r="D96" s="169" t="s">
        <v>184</v>
      </c>
      <c r="E96" s="170"/>
      <c r="F96" s="170"/>
      <c r="G96" s="42"/>
      <c r="H96" s="22">
        <f>TRUNC(((H$32+H72+H83)/220)*(1+50%)*G96,2)</f>
        <v>0</v>
      </c>
      <c r="I96" s="107"/>
    </row>
    <row r="97" spans="2:9" x14ac:dyDescent="0.2">
      <c r="B97" s="16" t="s">
        <v>150</v>
      </c>
      <c r="C97" s="186" t="s">
        <v>61</v>
      </c>
      <c r="D97" s="203"/>
      <c r="E97" s="203"/>
      <c r="F97" s="203"/>
      <c r="G97" s="133"/>
      <c r="H97" s="19">
        <f>H96</f>
        <v>0</v>
      </c>
      <c r="I97" s="107"/>
    </row>
    <row r="98" spans="2:9" x14ac:dyDescent="0.2">
      <c r="B98" s="99"/>
      <c r="C98" s="98"/>
      <c r="D98" s="98"/>
      <c r="E98" s="98"/>
      <c r="F98" s="98"/>
      <c r="G98" s="100"/>
      <c r="H98" s="168"/>
      <c r="I98" s="123"/>
    </row>
    <row r="99" spans="2:9" x14ac:dyDescent="0.2">
      <c r="B99" s="239" t="s">
        <v>74</v>
      </c>
      <c r="C99" s="240"/>
      <c r="D99" s="240"/>
      <c r="E99" s="240"/>
      <c r="F99" s="240"/>
      <c r="G99" s="153"/>
      <c r="H99" s="154"/>
      <c r="I99" s="101"/>
    </row>
    <row r="100" spans="2:9" x14ac:dyDescent="0.2">
      <c r="B100" s="96">
        <v>4</v>
      </c>
      <c r="C100" s="186" t="s">
        <v>75</v>
      </c>
      <c r="D100" s="203"/>
      <c r="E100" s="203"/>
      <c r="F100" s="203"/>
      <c r="G100" s="187"/>
      <c r="H100" s="96" t="s">
        <v>49</v>
      </c>
      <c r="I100" s="101"/>
    </row>
    <row r="101" spans="2:9" x14ac:dyDescent="0.2">
      <c r="B101" s="16" t="s">
        <v>14</v>
      </c>
      <c r="C101" s="94" t="s">
        <v>42</v>
      </c>
      <c r="D101" s="169" t="s">
        <v>149</v>
      </c>
      <c r="E101" s="170"/>
      <c r="F101" s="170"/>
      <c r="G101" s="171"/>
      <c r="H101" s="22">
        <f>H92</f>
        <v>430.98</v>
      </c>
      <c r="I101" s="107"/>
    </row>
    <row r="102" spans="2:9" x14ac:dyDescent="0.2">
      <c r="B102" s="16" t="s">
        <v>15</v>
      </c>
      <c r="C102" s="94" t="s">
        <v>44</v>
      </c>
      <c r="D102" s="169" t="s">
        <v>150</v>
      </c>
      <c r="E102" s="170"/>
      <c r="F102" s="170"/>
      <c r="G102" s="171"/>
      <c r="H102" s="22">
        <f>H97</f>
        <v>0</v>
      </c>
      <c r="I102" s="107"/>
    </row>
    <row r="103" spans="2:9" x14ac:dyDescent="0.2">
      <c r="B103" s="16" t="s">
        <v>151</v>
      </c>
      <c r="C103" s="186" t="s">
        <v>61</v>
      </c>
      <c r="D103" s="203"/>
      <c r="E103" s="203"/>
      <c r="F103" s="203"/>
      <c r="G103" s="83"/>
      <c r="H103" s="19">
        <f>SUM(H101:H102)</f>
        <v>430.98</v>
      </c>
      <c r="I103" s="20"/>
    </row>
    <row r="104" spans="2:9" x14ac:dyDescent="0.2">
      <c r="B104" s="100"/>
      <c r="C104" s="100"/>
      <c r="D104" s="100"/>
      <c r="E104" s="100"/>
      <c r="F104" s="100"/>
      <c r="G104" s="100"/>
      <c r="H104" s="100"/>
      <c r="I104" s="101"/>
    </row>
    <row r="105" spans="2:9" x14ac:dyDescent="0.2">
      <c r="B105" s="100"/>
      <c r="C105" s="100"/>
      <c r="D105" s="100"/>
      <c r="E105" s="100"/>
      <c r="F105" s="100"/>
      <c r="G105" s="100"/>
      <c r="H105" s="100"/>
      <c r="I105" s="101"/>
    </row>
    <row r="106" spans="2:9" x14ac:dyDescent="0.2">
      <c r="B106" s="201" t="s">
        <v>76</v>
      </c>
      <c r="C106" s="202"/>
      <c r="D106" s="202"/>
      <c r="E106" s="202"/>
      <c r="F106" s="236"/>
      <c r="G106" s="143"/>
      <c r="H106" s="144"/>
      <c r="I106" s="101"/>
    </row>
    <row r="107" spans="2:9" x14ac:dyDescent="0.2">
      <c r="B107" s="96">
        <v>5</v>
      </c>
      <c r="C107" s="241" t="s">
        <v>63</v>
      </c>
      <c r="D107" s="242"/>
      <c r="E107" s="242"/>
      <c r="F107" s="242"/>
      <c r="G107" s="243"/>
      <c r="H107" s="96" t="s">
        <v>49</v>
      </c>
      <c r="I107" s="101"/>
    </row>
    <row r="108" spans="2:9" x14ac:dyDescent="0.2">
      <c r="B108" s="16" t="s">
        <v>4</v>
      </c>
      <c r="C108" s="69" t="s">
        <v>45</v>
      </c>
      <c r="D108" s="70"/>
      <c r="E108" s="70"/>
      <c r="F108" s="70"/>
      <c r="G108" s="71"/>
      <c r="H108" s="72">
        <f>Insumos!G14</f>
        <v>245.08333333333331</v>
      </c>
      <c r="I108" s="107"/>
    </row>
    <row r="109" spans="2:9" x14ac:dyDescent="0.2">
      <c r="B109" s="16" t="s">
        <v>5</v>
      </c>
      <c r="C109" s="69" t="s">
        <v>12</v>
      </c>
      <c r="D109" s="70"/>
      <c r="E109" s="70"/>
      <c r="F109" s="70"/>
      <c r="G109" s="71"/>
      <c r="H109" s="72"/>
      <c r="I109" s="107"/>
    </row>
    <row r="110" spans="2:9" x14ac:dyDescent="0.2">
      <c r="B110" s="16" t="s">
        <v>6</v>
      </c>
      <c r="C110" s="69" t="s">
        <v>13</v>
      </c>
      <c r="D110" s="70"/>
      <c r="E110" s="70"/>
      <c r="F110" s="70"/>
      <c r="G110" s="71"/>
      <c r="H110" s="72"/>
      <c r="I110" s="107"/>
    </row>
    <row r="111" spans="2:9" x14ac:dyDescent="0.2">
      <c r="B111" s="16" t="s">
        <v>7</v>
      </c>
      <c r="C111" s="69" t="s">
        <v>2</v>
      </c>
      <c r="D111" s="70"/>
      <c r="E111" s="70"/>
      <c r="F111" s="70"/>
      <c r="G111" s="71"/>
      <c r="H111" s="72"/>
      <c r="I111" s="107"/>
    </row>
    <row r="112" spans="2:9" x14ac:dyDescent="0.2">
      <c r="B112" s="16" t="s">
        <v>152</v>
      </c>
      <c r="C112" s="186" t="s">
        <v>61</v>
      </c>
      <c r="D112" s="203"/>
      <c r="E112" s="203"/>
      <c r="F112" s="203"/>
      <c r="G112" s="83"/>
      <c r="H112" s="19">
        <f>SUM(H108:H111)</f>
        <v>245.08333333333331</v>
      </c>
      <c r="I112" s="20"/>
    </row>
    <row r="113" spans="2:9" x14ac:dyDescent="0.2">
      <c r="B113" s="100"/>
      <c r="C113" s="100"/>
      <c r="D113" s="100"/>
      <c r="E113" s="100"/>
      <c r="F113" s="100"/>
      <c r="G113" s="78"/>
      <c r="H113" s="73"/>
      <c r="I113" s="20"/>
    </row>
    <row r="114" spans="2:9" x14ac:dyDescent="0.2">
      <c r="B114" s="100"/>
      <c r="C114" s="100"/>
      <c r="D114" s="100"/>
      <c r="E114" s="100"/>
      <c r="F114" s="100"/>
      <c r="G114" s="100"/>
      <c r="H114" s="100"/>
      <c r="I114" s="101"/>
    </row>
    <row r="115" spans="2:9" x14ac:dyDescent="0.2">
      <c r="B115" s="201" t="s">
        <v>77</v>
      </c>
      <c r="C115" s="202"/>
      <c r="D115" s="202"/>
      <c r="E115" s="202"/>
      <c r="F115" s="236"/>
      <c r="G115" s="143"/>
      <c r="H115" s="144"/>
      <c r="I115" s="101"/>
    </row>
    <row r="116" spans="2:9" x14ac:dyDescent="0.2">
      <c r="B116" s="96">
        <v>6</v>
      </c>
      <c r="C116" s="186" t="s">
        <v>64</v>
      </c>
      <c r="D116" s="203"/>
      <c r="E116" s="203"/>
      <c r="F116" s="187"/>
      <c r="G116" s="96" t="s">
        <v>1</v>
      </c>
      <c r="H116" s="96" t="s">
        <v>49</v>
      </c>
      <c r="I116" s="101"/>
    </row>
    <row r="117" spans="2:9" x14ac:dyDescent="0.2">
      <c r="B117" s="16" t="s">
        <v>4</v>
      </c>
      <c r="C117" s="94" t="s">
        <v>16</v>
      </c>
      <c r="D117" s="204" t="s">
        <v>164</v>
      </c>
      <c r="E117" s="205"/>
      <c r="F117" s="206"/>
      <c r="G117" s="50">
        <v>0.05</v>
      </c>
      <c r="H117" s="22">
        <f>TRUNC(H$134*$G117,2)</f>
        <v>237.96</v>
      </c>
      <c r="I117" s="107"/>
    </row>
    <row r="118" spans="2:9" x14ac:dyDescent="0.2">
      <c r="B118" s="16" t="s">
        <v>5</v>
      </c>
      <c r="C118" s="94" t="s">
        <v>3</v>
      </c>
      <c r="D118" s="204" t="s">
        <v>165</v>
      </c>
      <c r="E118" s="205"/>
      <c r="F118" s="206"/>
      <c r="G118" s="50">
        <v>0.1</v>
      </c>
      <c r="H118" s="22">
        <f>TRUNC((H$134+H$117)*$G118,2)</f>
        <v>499.71</v>
      </c>
      <c r="I118" s="107"/>
    </row>
    <row r="119" spans="2:9" x14ac:dyDescent="0.2">
      <c r="B119" s="16" t="s">
        <v>6</v>
      </c>
      <c r="C119" s="94" t="s">
        <v>119</v>
      </c>
      <c r="D119" s="204" t="s">
        <v>166</v>
      </c>
      <c r="E119" s="205"/>
      <c r="F119" s="206"/>
      <c r="G119" s="52">
        <f>1-(G120+G121+G122)</f>
        <v>0.85749999999999993</v>
      </c>
      <c r="H119" s="28">
        <f>TRUNC(((H$134+H$117+H$118)/$G119),2)</f>
        <v>6410.34</v>
      </c>
      <c r="I119" s="110"/>
    </row>
    <row r="120" spans="2:9" x14ac:dyDescent="0.2">
      <c r="B120" s="16" t="s">
        <v>21</v>
      </c>
      <c r="C120" s="94" t="s">
        <v>18</v>
      </c>
      <c r="D120" s="204" t="s">
        <v>167</v>
      </c>
      <c r="E120" s="205"/>
      <c r="F120" s="206"/>
      <c r="G120" s="51">
        <v>1.6500000000000001E-2</v>
      </c>
      <c r="H120" s="22">
        <f>TRUNC(H$119*$G120,2)</f>
        <v>105.77</v>
      </c>
      <c r="I120" s="107"/>
    </row>
    <row r="121" spans="2:9" x14ac:dyDescent="0.2">
      <c r="B121" s="16" t="s">
        <v>22</v>
      </c>
      <c r="C121" s="94" t="s">
        <v>19</v>
      </c>
      <c r="D121" s="204" t="s">
        <v>167</v>
      </c>
      <c r="E121" s="205"/>
      <c r="F121" s="206"/>
      <c r="G121" s="51">
        <v>7.5999999999999998E-2</v>
      </c>
      <c r="H121" s="22">
        <f>TRUNC(H$119*$G121,2)</f>
        <v>487.18</v>
      </c>
      <c r="I121" s="107"/>
    </row>
    <row r="122" spans="2:9" x14ac:dyDescent="0.2">
      <c r="B122" s="16" t="s">
        <v>23</v>
      </c>
      <c r="C122" s="94" t="s">
        <v>20</v>
      </c>
      <c r="D122" s="204" t="s">
        <v>167</v>
      </c>
      <c r="E122" s="205"/>
      <c r="F122" s="206"/>
      <c r="G122" s="51">
        <v>0.05</v>
      </c>
      <c r="H122" s="22">
        <f>TRUNC(H$119*$G122,2)</f>
        <v>320.51</v>
      </c>
      <c r="I122" s="107"/>
    </row>
    <row r="123" spans="2:9" x14ac:dyDescent="0.2">
      <c r="B123" s="16" t="s">
        <v>153</v>
      </c>
      <c r="C123" s="90" t="s">
        <v>61</v>
      </c>
      <c r="D123" s="244" t="s">
        <v>155</v>
      </c>
      <c r="E123" s="244"/>
      <c r="F123" s="244"/>
      <c r="G123" s="167"/>
      <c r="H123" s="19">
        <f>SUM(H117:H122)-H119</f>
        <v>1651.130000000001</v>
      </c>
      <c r="I123" s="20"/>
    </row>
    <row r="124" spans="2:9" x14ac:dyDescent="0.2">
      <c r="B124" s="67"/>
      <c r="C124" s="67"/>
      <c r="D124" s="67"/>
      <c r="E124" s="67"/>
      <c r="F124" s="67"/>
      <c r="G124" s="67"/>
      <c r="H124" s="79"/>
      <c r="I124" s="29"/>
    </row>
    <row r="125" spans="2:9" x14ac:dyDescent="0.2">
      <c r="B125" s="245" t="s">
        <v>195</v>
      </c>
      <c r="C125" s="245"/>
      <c r="D125" s="245"/>
      <c r="E125" s="245"/>
      <c r="F125" s="245"/>
      <c r="G125" s="245"/>
      <c r="H125" s="245"/>
      <c r="I125" s="117"/>
    </row>
    <row r="126" spans="2:9" x14ac:dyDescent="0.2">
      <c r="B126" s="93"/>
      <c r="C126" s="93"/>
      <c r="D126" s="93"/>
      <c r="E126" s="93"/>
      <c r="F126" s="93"/>
      <c r="G126" s="93"/>
      <c r="H126" s="93"/>
      <c r="I126" s="117"/>
    </row>
    <row r="127" spans="2:9" x14ac:dyDescent="0.2">
      <c r="B127" s="201" t="s">
        <v>196</v>
      </c>
      <c r="C127" s="202"/>
      <c r="D127" s="202"/>
      <c r="E127" s="202"/>
      <c r="F127" s="202"/>
      <c r="G127" s="161"/>
      <c r="H127" s="144"/>
      <c r="I127" s="101"/>
    </row>
    <row r="128" spans="2:9" ht="12.75" customHeight="1" x14ac:dyDescent="0.2">
      <c r="B128" s="159"/>
      <c r="C128" s="246" t="s">
        <v>120</v>
      </c>
      <c r="D128" s="247"/>
      <c r="E128" s="247"/>
      <c r="F128" s="247"/>
      <c r="G128" s="160"/>
      <c r="H128" s="142" t="s">
        <v>49</v>
      </c>
      <c r="I128" s="101"/>
    </row>
    <row r="129" spans="2:9" x14ac:dyDescent="0.2">
      <c r="B129" s="16" t="s">
        <v>4</v>
      </c>
      <c r="C129" s="86" t="s">
        <v>79</v>
      </c>
      <c r="D129" s="169" t="s">
        <v>130</v>
      </c>
      <c r="E129" s="170"/>
      <c r="F129" s="170"/>
      <c r="G129" s="171"/>
      <c r="H129" s="22">
        <f>H32</f>
        <v>1515.92</v>
      </c>
      <c r="I129" s="107"/>
    </row>
    <row r="130" spans="2:9" ht="22.5" x14ac:dyDescent="0.2">
      <c r="B130" s="16" t="s">
        <v>5</v>
      </c>
      <c r="C130" s="86" t="s">
        <v>80</v>
      </c>
      <c r="D130" s="169" t="s">
        <v>144</v>
      </c>
      <c r="E130" s="170"/>
      <c r="F130" s="170"/>
      <c r="G130" s="171"/>
      <c r="H130" s="22">
        <f>H72</f>
        <v>2178.85</v>
      </c>
      <c r="I130" s="107"/>
    </row>
    <row r="131" spans="2:9" x14ac:dyDescent="0.2">
      <c r="B131" s="16" t="s">
        <v>6</v>
      </c>
      <c r="C131" s="86" t="s">
        <v>81</v>
      </c>
      <c r="D131" s="169" t="s">
        <v>148</v>
      </c>
      <c r="E131" s="170"/>
      <c r="F131" s="170"/>
      <c r="G131" s="171"/>
      <c r="H131" s="22">
        <f>H83</f>
        <v>388.37</v>
      </c>
      <c r="I131" s="107"/>
    </row>
    <row r="132" spans="2:9" ht="22.5" x14ac:dyDescent="0.2">
      <c r="B132" s="16" t="s">
        <v>7</v>
      </c>
      <c r="C132" s="86" t="s">
        <v>43</v>
      </c>
      <c r="D132" s="169" t="s">
        <v>151</v>
      </c>
      <c r="E132" s="170"/>
      <c r="F132" s="170"/>
      <c r="G132" s="171"/>
      <c r="H132" s="22">
        <f>H103</f>
        <v>430.98</v>
      </c>
      <c r="I132" s="107"/>
    </row>
    <row r="133" spans="2:9" x14ac:dyDescent="0.2">
      <c r="B133" s="16" t="s">
        <v>8</v>
      </c>
      <c r="C133" s="86" t="s">
        <v>82</v>
      </c>
      <c r="D133" s="169" t="s">
        <v>152</v>
      </c>
      <c r="E133" s="170"/>
      <c r="F133" s="170"/>
      <c r="G133" s="171"/>
      <c r="H133" s="22">
        <f>H112</f>
        <v>245.08333333333331</v>
      </c>
      <c r="I133" s="107"/>
    </row>
    <row r="134" spans="2:9" x14ac:dyDescent="0.2">
      <c r="B134" s="92" t="s">
        <v>9</v>
      </c>
      <c r="C134" s="85" t="s">
        <v>46</v>
      </c>
      <c r="D134" s="175" t="s">
        <v>171</v>
      </c>
      <c r="E134" s="176"/>
      <c r="F134" s="176"/>
      <c r="G134" s="177"/>
      <c r="H134" s="25">
        <f>SUM(H129:H133)</f>
        <v>4759.2033333333329</v>
      </c>
      <c r="I134" s="20"/>
    </row>
    <row r="135" spans="2:9" x14ac:dyDescent="0.2">
      <c r="B135" s="16" t="s">
        <v>10</v>
      </c>
      <c r="C135" s="94" t="s">
        <v>83</v>
      </c>
      <c r="D135" s="169" t="s">
        <v>153</v>
      </c>
      <c r="E135" s="170"/>
      <c r="F135" s="170"/>
      <c r="G135" s="171"/>
      <c r="H135" s="22">
        <f>H123</f>
        <v>1651.130000000001</v>
      </c>
      <c r="I135" s="107"/>
    </row>
    <row r="136" spans="2:9" x14ac:dyDescent="0.2">
      <c r="B136" s="16" t="s">
        <v>156</v>
      </c>
      <c r="C136" s="89" t="s">
        <v>78</v>
      </c>
      <c r="D136" s="178" t="s">
        <v>170</v>
      </c>
      <c r="E136" s="166"/>
      <c r="F136" s="166"/>
      <c r="G136" s="167"/>
      <c r="H136" s="31">
        <f>SUM(H134:H135)</f>
        <v>6410.3333333333339</v>
      </c>
      <c r="I136" s="121"/>
    </row>
    <row r="137" spans="2:9" ht="12.75" customHeight="1" x14ac:dyDescent="0.2">
      <c r="B137" s="14"/>
      <c r="C137" s="14"/>
      <c r="D137" s="14"/>
      <c r="E137" s="14"/>
      <c r="F137" s="14"/>
      <c r="G137" s="14"/>
      <c r="H137" s="32"/>
      <c r="I137" s="32"/>
    </row>
    <row r="138" spans="2:9" x14ac:dyDescent="0.2">
      <c r="B138" s="245" t="s">
        <v>197</v>
      </c>
      <c r="C138" s="245"/>
      <c r="D138" s="245"/>
      <c r="E138" s="245"/>
      <c r="F138" s="245"/>
      <c r="I138" s="14"/>
    </row>
    <row r="139" spans="2:9" x14ac:dyDescent="0.2">
      <c r="B139" s="80"/>
      <c r="C139" s="80"/>
      <c r="D139" s="80"/>
      <c r="E139" s="74"/>
      <c r="F139" s="74"/>
      <c r="I139" s="14"/>
    </row>
    <row r="140" spans="2:9" x14ac:dyDescent="0.2">
      <c r="B140" s="256" t="s">
        <v>198</v>
      </c>
      <c r="C140" s="257"/>
      <c r="D140" s="257"/>
      <c r="E140" s="257"/>
      <c r="F140" s="257"/>
      <c r="G140" s="161"/>
      <c r="H140" s="144"/>
      <c r="I140" s="118"/>
    </row>
    <row r="141" spans="2:9" x14ac:dyDescent="0.2">
      <c r="B141" s="134" t="s">
        <v>4</v>
      </c>
      <c r="C141" s="162" t="s">
        <v>106</v>
      </c>
      <c r="D141" s="258" t="s">
        <v>156</v>
      </c>
      <c r="E141" s="259"/>
      <c r="F141" s="259"/>
      <c r="G141" s="163"/>
      <c r="H141" s="164">
        <f>H136</f>
        <v>6410.3333333333339</v>
      </c>
      <c r="I141" s="116"/>
    </row>
    <row r="142" spans="2:9" ht="22.5" x14ac:dyDescent="0.2">
      <c r="B142" s="16" t="s">
        <v>5</v>
      </c>
      <c r="C142" s="87" t="s">
        <v>158</v>
      </c>
      <c r="D142" s="260" t="s">
        <v>159</v>
      </c>
      <c r="E142" s="261"/>
      <c r="F142" s="261"/>
      <c r="G142" s="157"/>
      <c r="H142" s="11">
        <f>H43+H83+H101</f>
        <v>1114.0999999999999</v>
      </c>
      <c r="I142" s="111"/>
    </row>
    <row r="143" spans="2:9" ht="22.5" x14ac:dyDescent="0.2">
      <c r="B143" s="16" t="s">
        <v>6</v>
      </c>
      <c r="C143" s="87" t="s">
        <v>175</v>
      </c>
      <c r="D143" s="260" t="s">
        <v>183</v>
      </c>
      <c r="E143" s="261"/>
      <c r="F143" s="261"/>
      <c r="G143" s="158"/>
      <c r="H143" s="115">
        <f>TRUNC((H$43*$G56),2)</f>
        <v>108.46</v>
      </c>
      <c r="I143" s="116"/>
    </row>
    <row r="144" spans="2:9" ht="12.75" customHeight="1" x14ac:dyDescent="0.2">
      <c r="B144" s="16" t="s">
        <v>7</v>
      </c>
      <c r="C144" s="87" t="s">
        <v>16</v>
      </c>
      <c r="D144" s="248" t="s">
        <v>168</v>
      </c>
      <c r="E144" s="249"/>
      <c r="F144" s="250"/>
      <c r="G144" s="12">
        <f>G117</f>
        <v>0.05</v>
      </c>
      <c r="H144" s="11">
        <f>TRUNC((H$142+H$143)*$G144,2)</f>
        <v>61.12</v>
      </c>
      <c r="I144" s="111"/>
    </row>
    <row r="145" spans="2:9" ht="12.75" customHeight="1" x14ac:dyDescent="0.2">
      <c r="B145" s="16" t="s">
        <v>8</v>
      </c>
      <c r="C145" s="87" t="s">
        <v>3</v>
      </c>
      <c r="D145" s="248" t="s">
        <v>169</v>
      </c>
      <c r="E145" s="249"/>
      <c r="F145" s="250"/>
      <c r="G145" s="12">
        <f>G118</f>
        <v>0.1</v>
      </c>
      <c r="H145" s="11">
        <f>TRUNC((H$142+H$143+H$144)*$G145,2)</f>
        <v>128.36000000000001</v>
      </c>
      <c r="I145" s="111"/>
    </row>
    <row r="146" spans="2:9" ht="12.75" customHeight="1" x14ac:dyDescent="0.2">
      <c r="B146" s="16" t="s">
        <v>9</v>
      </c>
      <c r="C146" s="87" t="s">
        <v>107</v>
      </c>
      <c r="D146" s="248" t="s">
        <v>177</v>
      </c>
      <c r="E146" s="249"/>
      <c r="F146" s="250"/>
      <c r="G146" s="12">
        <f>G120+G121+G122</f>
        <v>0.14250000000000002</v>
      </c>
      <c r="H146" s="11">
        <f>TRUNC((H$142+H$143+H$144+H$145)/(1-$G146)-(H$142+H$143+H$144+H$145),2)</f>
        <v>234.65</v>
      </c>
      <c r="I146" s="111"/>
    </row>
    <row r="147" spans="2:9" ht="22.5" x14ac:dyDescent="0.2">
      <c r="B147" s="16" t="s">
        <v>10</v>
      </c>
      <c r="C147" s="135" t="s">
        <v>108</v>
      </c>
      <c r="D147" s="155" t="s">
        <v>178</v>
      </c>
      <c r="E147" s="156"/>
      <c r="F147" s="156"/>
      <c r="G147" s="157"/>
      <c r="H147" s="136">
        <f>SUM(H142:H146)</f>
        <v>1646.69</v>
      </c>
      <c r="I147" s="112"/>
    </row>
    <row r="148" spans="2:9" x14ac:dyDescent="0.2">
      <c r="B148" s="16" t="s">
        <v>157</v>
      </c>
      <c r="C148" s="91" t="s">
        <v>128</v>
      </c>
      <c r="D148" s="251" t="s">
        <v>176</v>
      </c>
      <c r="E148" s="252"/>
      <c r="F148" s="252"/>
      <c r="G148" s="165"/>
      <c r="H148" s="33">
        <f>H141-H147</f>
        <v>4763.6433333333334</v>
      </c>
      <c r="I148" s="122"/>
    </row>
    <row r="149" spans="2:9" ht="45" customHeight="1" x14ac:dyDescent="0.2">
      <c r="B149" s="253" t="s">
        <v>127</v>
      </c>
      <c r="C149" s="254"/>
      <c r="D149" s="254"/>
      <c r="E149" s="254"/>
      <c r="F149" s="254"/>
      <c r="G149" s="255"/>
      <c r="H149" s="141"/>
      <c r="I149" s="113"/>
    </row>
  </sheetData>
  <mergeCells count="106">
    <mergeCell ref="C128:F128"/>
    <mergeCell ref="D123:F123"/>
    <mergeCell ref="D144:F144"/>
    <mergeCell ref="D145:F145"/>
    <mergeCell ref="D146:F146"/>
    <mergeCell ref="B138:F138"/>
    <mergeCell ref="B149:G149"/>
    <mergeCell ref="B140:F140"/>
    <mergeCell ref="D141:F141"/>
    <mergeCell ref="D142:F142"/>
    <mergeCell ref="D143:F143"/>
    <mergeCell ref="D148:F148"/>
    <mergeCell ref="D122:F122"/>
    <mergeCell ref="B125:H125"/>
    <mergeCell ref="C116:F116"/>
    <mergeCell ref="D117:F117"/>
    <mergeCell ref="D118:F118"/>
    <mergeCell ref="D119:F119"/>
    <mergeCell ref="D120:F120"/>
    <mergeCell ref="D121:F121"/>
    <mergeCell ref="B127:F127"/>
    <mergeCell ref="C92:F92"/>
    <mergeCell ref="C83:F83"/>
    <mergeCell ref="C107:G107"/>
    <mergeCell ref="C95:F95"/>
    <mergeCell ref="C100:G100"/>
    <mergeCell ref="B106:F106"/>
    <mergeCell ref="B115:F115"/>
    <mergeCell ref="B94:F94"/>
    <mergeCell ref="B99:F99"/>
    <mergeCell ref="C112:F112"/>
    <mergeCell ref="C103:F103"/>
    <mergeCell ref="C97:F97"/>
    <mergeCell ref="C65:F65"/>
    <mergeCell ref="B73:H73"/>
    <mergeCell ref="C76:F76"/>
    <mergeCell ref="B66:H66"/>
    <mergeCell ref="B75:F75"/>
    <mergeCell ref="B67:F67"/>
    <mergeCell ref="C68:F68"/>
    <mergeCell ref="C72:F72"/>
    <mergeCell ref="C88:F88"/>
    <mergeCell ref="D79:E79"/>
    <mergeCell ref="D81:E81"/>
    <mergeCell ref="D82:E82"/>
    <mergeCell ref="B86:F86"/>
    <mergeCell ref="B87:F87"/>
    <mergeCell ref="D51:F51"/>
    <mergeCell ref="D52:F52"/>
    <mergeCell ref="D53:F53"/>
    <mergeCell ref="C46:F46"/>
    <mergeCell ref="D47:F47"/>
    <mergeCell ref="D48:F48"/>
    <mergeCell ref="B58:F58"/>
    <mergeCell ref="C59:F59"/>
    <mergeCell ref="D54:F54"/>
    <mergeCell ref="D55:F55"/>
    <mergeCell ref="C56:F56"/>
    <mergeCell ref="B57:H57"/>
    <mergeCell ref="B37:F37"/>
    <mergeCell ref="B39:F39"/>
    <mergeCell ref="B38:F38"/>
    <mergeCell ref="B49:B50"/>
    <mergeCell ref="C49:C50"/>
    <mergeCell ref="D49:D50"/>
    <mergeCell ref="C40:F40"/>
    <mergeCell ref="D41:F41"/>
    <mergeCell ref="D42:F42"/>
    <mergeCell ref="C43:F43"/>
    <mergeCell ref="B44:H44"/>
    <mergeCell ref="G49:G50"/>
    <mergeCell ref="H49:H50"/>
    <mergeCell ref="B45:F45"/>
    <mergeCell ref="C32:F32"/>
    <mergeCell ref="C33:F34"/>
    <mergeCell ref="D25:F25"/>
    <mergeCell ref="D26:F26"/>
    <mergeCell ref="D27:F27"/>
    <mergeCell ref="D28:F28"/>
    <mergeCell ref="D29:F29"/>
    <mergeCell ref="D30:F30"/>
    <mergeCell ref="B23:F23"/>
    <mergeCell ref="B2:H2"/>
    <mergeCell ref="B3:H3"/>
    <mergeCell ref="B9:B10"/>
    <mergeCell ref="B19:B20"/>
    <mergeCell ref="C24:F24"/>
    <mergeCell ref="B15:B16"/>
    <mergeCell ref="D6:F6"/>
    <mergeCell ref="B17:B18"/>
    <mergeCell ref="D31:F31"/>
    <mergeCell ref="B8:F8"/>
    <mergeCell ref="C9:F9"/>
    <mergeCell ref="C10:F10"/>
    <mergeCell ref="C20:F20"/>
    <mergeCell ref="C19:F19"/>
    <mergeCell ref="C18:F18"/>
    <mergeCell ref="C17:F17"/>
    <mergeCell ref="C16:F16"/>
    <mergeCell ref="C15:F15"/>
    <mergeCell ref="C14:F14"/>
    <mergeCell ref="C13:F13"/>
    <mergeCell ref="C12:F12"/>
    <mergeCell ref="C11:F11"/>
    <mergeCell ref="B11:B12"/>
    <mergeCell ref="B13:B14"/>
  </mergeCells>
  <dataValidations count="9">
    <dataValidation type="list" allowBlank="1" showInputMessage="1" showErrorMessage="1" sqref="G82" xr:uid="{00000000-0002-0000-0100-000000000000}">
      <formula1>"3,6,9,12,15"</formula1>
    </dataValidation>
    <dataValidation type="custom" allowBlank="1" showInputMessage="1" showErrorMessage="1" sqref="G119" xr:uid="{00000000-0002-0000-0100-000001000000}">
      <formula1>1-(G120+G121+G122)</formula1>
    </dataValidation>
    <dataValidation type="list" operator="equal" allowBlank="1" showInputMessage="1" showErrorMessage="1" errorTitle="Valor errado" error="Percentual fixo. Preencher com 40%." sqref="F79 F81" xr:uid="{00000000-0002-0000-0100-000002000000}">
      <formula1>"40%"</formula1>
    </dataValidation>
    <dataValidation type="whole" allowBlank="1" showInputMessage="1" showErrorMessage="1" errorTitle="Valor errado" error="Quantidade fixa de dias. Prencher com 30" sqref="G89" xr:uid="{00000000-0002-0000-0100-000003000000}">
      <formula1>30</formula1>
      <formula2>30</formula2>
    </dataValidation>
    <dataValidation type="list" allowBlank="1" showInputMessage="1" showErrorMessage="1" sqref="G30" xr:uid="{00000000-0002-0000-0100-000004000000}">
      <formula1>"0, 50%, 100%"</formula1>
    </dataValidation>
    <dataValidation type="list" allowBlank="1" showInputMessage="1" showErrorMessage="1" sqref="G28:G29" xr:uid="{00000000-0002-0000-0100-000007000000}">
      <formula1>"0, 20%"</formula1>
    </dataValidation>
    <dataValidation type="list" allowBlank="1" showInputMessage="1" showErrorMessage="1" sqref="E50" xr:uid="{00000000-0002-0000-0100-000008000000}">
      <formula1>"1%, 2%, 3%"</formula1>
    </dataValidation>
    <dataValidation type="list" allowBlank="1" showInputMessage="1" showErrorMessage="1" sqref="G27" xr:uid="{00000000-0002-0000-0100-000009000000}">
      <formula1>"0%, 10%, 20%, 40%"</formula1>
    </dataValidation>
    <dataValidation type="list" allowBlank="1" showInputMessage="1" showErrorMessage="1" sqref="G26" xr:uid="{00000000-0002-0000-0100-00000A000000}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73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3:G14"/>
  <sheetViews>
    <sheetView showGridLines="0" view="pageBreakPreview" topLeftCell="A10" zoomScaleNormal="100" zoomScaleSheetLayoutView="100" workbookViewId="0">
      <selection activeCell="N31" sqref="N31"/>
    </sheetView>
  </sheetViews>
  <sheetFormatPr defaultColWidth="9.140625" defaultRowHeight="11.25" x14ac:dyDescent="0.2"/>
  <cols>
    <col min="1" max="1" width="3.7109375" style="46" customWidth="1"/>
    <col min="2" max="2" width="25.7109375" style="46" customWidth="1"/>
    <col min="3" max="3" width="14.140625" style="46" customWidth="1"/>
    <col min="4" max="4" width="15.42578125" style="46" customWidth="1"/>
    <col min="5" max="5" width="14" style="46" customWidth="1"/>
    <col min="6" max="6" width="11.42578125" style="46" customWidth="1"/>
    <col min="7" max="7" width="13.140625" style="46" customWidth="1"/>
    <col min="8" max="10" width="15.7109375" style="46" customWidth="1"/>
    <col min="11" max="16384" width="9.140625" style="46"/>
  </cols>
  <sheetData>
    <row r="3" spans="1:7" ht="12" thickBot="1" x14ac:dyDescent="0.25"/>
    <row r="4" spans="1:7" ht="15" thickBot="1" x14ac:dyDescent="0.25">
      <c r="A4" s="266" t="s">
        <v>210</v>
      </c>
      <c r="B4" s="267"/>
      <c r="C4" s="267"/>
      <c r="D4" s="267"/>
      <c r="E4" s="267"/>
      <c r="F4" s="267"/>
      <c r="G4" s="268"/>
    </row>
    <row r="6" spans="1:7" ht="33.75" x14ac:dyDescent="0.2">
      <c r="A6" s="269" t="s">
        <v>84</v>
      </c>
      <c r="B6" s="269"/>
      <c r="C6" s="44" t="s">
        <v>85</v>
      </c>
      <c r="D6" s="44" t="s">
        <v>116</v>
      </c>
      <c r="E6" s="44" t="s">
        <v>114</v>
      </c>
      <c r="F6" s="44" t="s">
        <v>117</v>
      </c>
      <c r="G6" s="44" t="s">
        <v>118</v>
      </c>
    </row>
    <row r="7" spans="1:7" ht="22.5" customHeight="1" x14ac:dyDescent="0.2">
      <c r="A7" s="5">
        <v>1</v>
      </c>
      <c r="B7" s="137" t="s">
        <v>211</v>
      </c>
      <c r="C7" s="49">
        <v>129.9</v>
      </c>
      <c r="D7" s="138">
        <v>2</v>
      </c>
      <c r="E7" s="138">
        <v>6</v>
      </c>
      <c r="F7" s="181">
        <f>SUM(C7*D7*2)</f>
        <v>519.6</v>
      </c>
      <c r="G7" s="181">
        <f>SUM(F7/12)</f>
        <v>43.300000000000004</v>
      </c>
    </row>
    <row r="8" spans="1:7" ht="21" customHeight="1" x14ac:dyDescent="0.2">
      <c r="A8" s="5">
        <v>2</v>
      </c>
      <c r="B8" s="137" t="s">
        <v>212</v>
      </c>
      <c r="C8" s="49">
        <v>192.3</v>
      </c>
      <c r="D8" s="138">
        <v>2</v>
      </c>
      <c r="E8" s="138">
        <v>6</v>
      </c>
      <c r="F8" s="181">
        <f t="shared" ref="F8:F13" si="0">SUM(C8*D8*2)</f>
        <v>769.2</v>
      </c>
      <c r="G8" s="181">
        <f t="shared" ref="G8:G13" si="1">SUM(F8/12)</f>
        <v>64.100000000000009</v>
      </c>
    </row>
    <row r="9" spans="1:7" ht="23.25" customHeight="1" x14ac:dyDescent="0.2">
      <c r="A9" s="5">
        <v>3</v>
      </c>
      <c r="B9" s="137" t="s">
        <v>213</v>
      </c>
      <c r="C9" s="49">
        <v>62.91</v>
      </c>
      <c r="D9" s="138">
        <v>2</v>
      </c>
      <c r="E9" s="138">
        <v>6</v>
      </c>
      <c r="F9" s="181">
        <f t="shared" si="0"/>
        <v>251.64</v>
      </c>
      <c r="G9" s="181">
        <f t="shared" si="1"/>
        <v>20.97</v>
      </c>
    </row>
    <row r="10" spans="1:7" ht="21.75" customHeight="1" x14ac:dyDescent="0.2">
      <c r="A10" s="5">
        <v>4</v>
      </c>
      <c r="B10" s="137" t="s">
        <v>214</v>
      </c>
      <c r="C10" s="49">
        <v>41.81</v>
      </c>
      <c r="D10" s="138">
        <v>2</v>
      </c>
      <c r="E10" s="138">
        <v>6</v>
      </c>
      <c r="F10" s="181">
        <f t="shared" si="0"/>
        <v>167.24</v>
      </c>
      <c r="G10" s="181">
        <f t="shared" si="1"/>
        <v>13.936666666666667</v>
      </c>
    </row>
    <row r="11" spans="1:7" ht="21.75" customHeight="1" x14ac:dyDescent="0.2">
      <c r="A11" s="5">
        <v>5</v>
      </c>
      <c r="B11" s="137" t="s">
        <v>215</v>
      </c>
      <c r="C11" s="49">
        <v>111.8</v>
      </c>
      <c r="D11" s="138">
        <v>2</v>
      </c>
      <c r="E11" s="138">
        <v>6</v>
      </c>
      <c r="F11" s="181">
        <f t="shared" si="0"/>
        <v>447.2</v>
      </c>
      <c r="G11" s="181">
        <f t="shared" si="1"/>
        <v>37.266666666666666</v>
      </c>
    </row>
    <row r="12" spans="1:7" ht="23.25" customHeight="1" x14ac:dyDescent="0.2">
      <c r="A12" s="5">
        <v>6</v>
      </c>
      <c r="B12" s="137" t="s">
        <v>216</v>
      </c>
      <c r="C12" s="49">
        <v>5.9</v>
      </c>
      <c r="D12" s="138">
        <v>2</v>
      </c>
      <c r="E12" s="138">
        <v>6</v>
      </c>
      <c r="F12" s="181">
        <f t="shared" si="0"/>
        <v>23.6</v>
      </c>
      <c r="G12" s="181">
        <f t="shared" si="1"/>
        <v>1.9666666666666668</v>
      </c>
    </row>
    <row r="13" spans="1:7" ht="23.25" customHeight="1" x14ac:dyDescent="0.2">
      <c r="A13" s="5">
        <v>7</v>
      </c>
      <c r="B13" s="137" t="s">
        <v>217</v>
      </c>
      <c r="C13" s="49">
        <v>190.63</v>
      </c>
      <c r="D13" s="138">
        <v>2</v>
      </c>
      <c r="E13" s="138">
        <v>6</v>
      </c>
      <c r="F13" s="181">
        <f t="shared" si="0"/>
        <v>762.52</v>
      </c>
      <c r="G13" s="181">
        <f t="shared" si="1"/>
        <v>63.543333333333329</v>
      </c>
    </row>
    <row r="14" spans="1:7" ht="27.75" customHeight="1" x14ac:dyDescent="0.2">
      <c r="B14" s="47"/>
      <c r="C14" s="48"/>
      <c r="D14" s="48"/>
      <c r="E14" s="264" t="s">
        <v>115</v>
      </c>
      <c r="F14" s="265"/>
      <c r="G14" s="45">
        <f>SUM(G7:G13)</f>
        <v>245.08333333333331</v>
      </c>
    </row>
  </sheetData>
  <mergeCells count="3">
    <mergeCell ref="E14:F14"/>
    <mergeCell ref="A4:G4"/>
    <mergeCell ref="A6:B6"/>
  </mergeCell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Quadro resumo</vt:lpstr>
      <vt:lpstr>Técnico Secretariado</vt:lpstr>
      <vt:lpstr>Copeira</vt:lpstr>
      <vt:lpstr>Insumos</vt:lpstr>
      <vt:lpstr>Copeira!Area_de_impressao</vt:lpstr>
      <vt:lpstr>'Técnico Secretariado'!Area_de_impressao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Michelly de Souza Ferraz</cp:lastModifiedBy>
  <cp:lastPrinted>2023-06-23T15:47:00Z</cp:lastPrinted>
  <dcterms:created xsi:type="dcterms:W3CDTF">2010-12-08T17:56:29Z</dcterms:created>
  <dcterms:modified xsi:type="dcterms:W3CDTF">2023-11-09T15:28:30Z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