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2\Pregão\1 - Processamento\Técnico de Segurança - RC 5534\"/>
    </mc:Choice>
  </mc:AlternateContent>
  <bookViews>
    <workbookView xWindow="0" yWindow="0" windowWidth="11310" windowHeight="5070" tabRatio="877" activeTab="1"/>
  </bookViews>
  <sheets>
    <sheet name="Quadro resumo" sheetId="7" r:id="rId1"/>
    <sheet name="Técnico de Segurança" sheetId="27" r:id="rId2"/>
    <sheet name="Insumos" sheetId="23" r:id="rId3"/>
    <sheet name="Planilha1" sheetId="28" r:id="rId4"/>
  </sheets>
  <definedNames>
    <definedName name="_xlnm.Print_Area" localSheetId="1">'Técnico de Segurança'!$A$1:$L$169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23" l="1"/>
  <c r="H11" i="23"/>
  <c r="G11" i="23"/>
  <c r="C11" i="23"/>
  <c r="H8" i="28"/>
  <c r="H7" i="28"/>
  <c r="G7" i="28"/>
  <c r="H61" i="27"/>
  <c r="H25" i="27" l="1"/>
  <c r="G10" i="23" l="1"/>
  <c r="G9" i="23"/>
  <c r="A9" i="23"/>
  <c r="A10" i="23" s="1"/>
  <c r="G8" i="23"/>
  <c r="H6" i="28" l="1"/>
  <c r="C10" i="23" s="1"/>
  <c r="H10" i="23" s="1"/>
  <c r="G5" i="28"/>
  <c r="H5" i="28" s="1"/>
  <c r="C9" i="23" s="1"/>
  <c r="H9" i="23" s="1"/>
  <c r="G6" i="28"/>
  <c r="G4" i="28"/>
  <c r="H4" i="28" s="1"/>
  <c r="C8" i="23" s="1"/>
  <c r="H8" i="23" s="1"/>
  <c r="H109" i="27" l="1"/>
  <c r="H60" i="27"/>
  <c r="H34" i="27" l="1"/>
  <c r="H30" i="27" l="1"/>
  <c r="G165" i="27" l="1"/>
  <c r="G164" i="27"/>
  <c r="G163" i="27"/>
  <c r="H151" i="27"/>
  <c r="H145" i="27"/>
  <c r="G118" i="27"/>
  <c r="G49" i="27"/>
  <c r="G56" i="27" s="1"/>
  <c r="G42" i="27"/>
  <c r="G41" i="27"/>
  <c r="H27" i="27"/>
  <c r="H26" i="27"/>
  <c r="H29" i="27" s="1"/>
  <c r="H64" i="27" l="1"/>
  <c r="H70" i="27" s="1"/>
  <c r="H28" i="27"/>
  <c r="G43" i="27"/>
  <c r="H32" i="27" l="1"/>
  <c r="H42" i="27" s="1"/>
  <c r="H128" i="27" l="1"/>
  <c r="H41" i="27"/>
  <c r="H43" i="27" s="1"/>
  <c r="H162" i="27" s="1"/>
  <c r="H53" i="27" l="1"/>
  <c r="H52" i="27"/>
  <c r="H51" i="27"/>
  <c r="H55" i="27"/>
  <c r="H77" i="27" s="1"/>
  <c r="H48" i="27"/>
  <c r="H54" i="27"/>
  <c r="H49" i="27"/>
  <c r="H68" i="27"/>
  <c r="H47" i="27"/>
  <c r="H80" i="27" l="1"/>
  <c r="H79" i="27" s="1"/>
  <c r="H78" i="27"/>
  <c r="H76" i="27" s="1"/>
  <c r="H56" i="27"/>
  <c r="H81" i="27" s="1"/>
  <c r="H69" i="27" l="1"/>
  <c r="H71" i="27" s="1"/>
  <c r="H82" i="27"/>
  <c r="H130" i="27" s="1"/>
  <c r="H95" i="27" l="1"/>
  <c r="H96" i="27" s="1"/>
  <c r="H101" i="27" s="1"/>
  <c r="H129" i="27"/>
  <c r="H90" i="27"/>
  <c r="H89" i="27" s="1"/>
  <c r="H88" i="27" l="1"/>
  <c r="H91" i="27" s="1"/>
  <c r="H100" i="27" s="1"/>
  <c r="H161" i="27" l="1"/>
  <c r="H163" i="27" s="1"/>
  <c r="H102" i="27"/>
  <c r="H131" i="27" s="1"/>
  <c r="H164" i="27" l="1"/>
  <c r="H165" i="27" s="1"/>
  <c r="H166" i="27" l="1"/>
  <c r="H111" i="27" l="1"/>
  <c r="H132" i="27" s="1"/>
  <c r="H133" i="27" s="1"/>
  <c r="H116" i="27" l="1"/>
  <c r="H117" i="27" s="1"/>
  <c r="H118" i="27" l="1"/>
  <c r="H121" i="27" l="1"/>
  <c r="H119" i="27"/>
  <c r="H120" i="27"/>
  <c r="H150" i="27" l="1"/>
  <c r="H153" i="27" s="1"/>
  <c r="H122" i="27"/>
  <c r="H152" i="27" l="1"/>
  <c r="H134" i="27"/>
  <c r="H135" i="27" l="1"/>
  <c r="E9" i="7" s="1"/>
  <c r="F9" i="7" s="1"/>
  <c r="C10" i="7"/>
  <c r="F10" i="7" l="1"/>
  <c r="G9" i="7"/>
  <c r="G10" i="7" s="1"/>
  <c r="G11" i="7" s="1"/>
  <c r="H160" i="27"/>
  <c r="H167" i="27" l="1"/>
</calcChain>
</file>

<file path=xl/comments1.xml><?xml version="1.0" encoding="utf-8"?>
<comments xmlns="http://schemas.openxmlformats.org/spreadsheetml/2006/main">
  <authors>
    <author>michelly</author>
    <author>Felipe Mazza Mascarenhas</author>
  </authors>
  <commentList>
    <comment ref="B23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1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<sst xmlns="http://schemas.openxmlformats.org/spreadsheetml/2006/main" count="350" uniqueCount="244">
  <si>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</si>
  <si>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</si>
  <si>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</si>
  <si>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</si>
  <si>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</si>
  <si>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</si>
  <si>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</si>
  <si>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</si>
  <si>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</si>
  <si>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</si>
  <si>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</si>
  <si>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</si>
  <si>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</si>
  <si>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</si>
  <si>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</si>
  <si>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</si>
  <si>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</si>
  <si>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</si>
  <si>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</si>
  <si>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</si>
  <si>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</si>
  <si>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</si>
  <si>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</si>
  <si>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</si>
  <si>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</si>
  <si>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</si>
  <si>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</si>
  <si>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</si>
  <si>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</si>
  <si>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</si>
  <si>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</si>
  <si>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</si>
  <si>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</si>
  <si>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</si>
  <si>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</si>
  <si>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</si>
  <si>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</si>
  <si>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</si>
  <si>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</si>
  <si>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</si>
  <si>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</si>
  <si>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</si>
  <si>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</si>
  <si>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</si>
  <si>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</si>
  <si>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</si>
  <si>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</si>
  <si>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</si>
  <si>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</si>
  <si>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</si>
  <si>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</si>
  <si>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</si>
  <si>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</si>
  <si>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</si>
  <si>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</si>
  <si>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</si>
  <si>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</si>
  <si>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</si>
  <si>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</si>
  <si>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</si>
  <si>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</si>
  <si>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</si>
  <si>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</si>
  <si>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</si>
  <si>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</si>
  <si>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</si>
  <si>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</si>
  <si>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</si>
  <si>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</si>
  <si>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</si>
  <si>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</si>
  <si>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</si>
  <si>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</si>
  <si>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</si>
  <si>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</si>
  <si>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</si>
  <si>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</si>
  <si>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</si>
  <si>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</si>
  <si>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</si>
  <si>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</si>
  <si>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</si>
  <si>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</si>
  <si>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</si>
  <si>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</si>
  <si>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</si>
  <si>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</si>
  <si>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</si>
  <si>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</si>
  <si>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</si>
  <si>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</si>
  <si>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</si>
  <si>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</si>
  <si>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</si>
  <si>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</si>
  <si>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</si>
  <si>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</si>
  <si>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</si>
  <si>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</si>
  <si>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</si>
  <si>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</si>
  <si>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</si>
  <si>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</si>
  <si>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Item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</si>
  <si>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</si>
  <si>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</si>
  <si>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</si>
  <si>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</si>
  <si>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</si>
  <si>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</si>
  <si>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</si>
  <si>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</si>
  <si>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</si>
  <si>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</si>
  <si>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</si>
  <si>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</si>
  <si>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</si>
  <si>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</si>
  <si>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</si>
  <si>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</si>
  <si>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</si>
  <si>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</si>
  <si>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</si>
  <si>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</si>
  <si>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</si>
  <si>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</si>
  <si>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</si>
  <si>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</si>
  <si>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</si>
  <si>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</si>
  <si>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</si>
  <si>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</si>
  <si>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CUSTO TOTAL MENSAL</t>
  </si>
  <si>
    <t>EQUIPAMENTOS</t>
  </si>
  <si>
    <t>Custo mensal por posto</t>
  </si>
  <si>
    <t>Quant. por posto</t>
  </si>
  <si>
    <t>BASE DE CÁLCULO DOS TRIBUTOS</t>
  </si>
  <si>
    <t>Mão de Obra vinculada à execução contratual (valor por posto)</t>
  </si>
  <si>
    <t>Memória de cálculo da hora extra</t>
  </si>
  <si>
    <t>Quant. de equipamentos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</si>
  <si>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</si>
  <si>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</si>
  <si>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</si>
  <si>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</si>
  <si>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</si>
  <si>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r>
      <t>OBJETO:</t>
    </r>
    <r>
      <rPr>
        <sz val="9"/>
        <rFont val="Tahoma"/>
        <family val="2"/>
      </rPr>
      <t xml:space="preserve"> </t>
    </r>
    <r>
      <rPr>
        <sz val="9"/>
        <color rgb="FFFF0000"/>
        <rFont val="Tahoma"/>
        <family val="2"/>
      </rPr>
      <t>DESCRIÇÃO DO OBJETO A SER CONTRATADO.</t>
    </r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</si>
  <si>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</si>
  <si>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</si>
  <si>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</si>
  <si>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</si>
  <si>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</si>
  <si>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</si>
  <si>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</si>
  <si>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</si>
  <si>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</si>
  <si>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</si>
  <si>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</si>
  <si>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</si>
  <si>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</si>
  <si>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</si>
  <si>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</si>
  <si>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</si>
  <si>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</si>
  <si>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</si>
  <si>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</si>
  <si>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</si>
  <si>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</si>
  <si>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</si>
  <si>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</si>
  <si>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</si>
  <si>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</si>
  <si>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</si>
  <si>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</si>
  <si>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</si>
  <si>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</si>
  <si>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</si>
  <si>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</si>
  <si>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</si>
  <si>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</si>
  <si>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</si>
  <si>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</si>
  <si>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</si>
  <si>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</si>
  <si>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</si>
  <si>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</si>
  <si>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</si>
  <si>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</si>
  <si>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</si>
  <si>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</si>
  <si>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</si>
  <si>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</si>
  <si>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</si>
  <si>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</si>
  <si>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</si>
  <si>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</si>
  <si>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</si>
  <si>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</si>
  <si>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</si>
  <si>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</si>
  <si>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</si>
  <si>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</si>
  <si>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</si>
  <si>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</si>
  <si>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</si>
  <si>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</si>
  <si>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</si>
  <si>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</si>
  <si>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</si>
  <si>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</si>
  <si>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</si>
  <si>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</si>
  <si>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</si>
  <si>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</si>
  <si>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Preencher apenas as células em amarelo e substituir os caracteres em vermelho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</si>
  <si>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</si>
  <si>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</si>
  <si>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</si>
  <si>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</si>
  <si>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Contrato inicial</t>
  </si>
  <si>
    <t>Técnico de Segurança</t>
  </si>
  <si>
    <t>Categoria Profissional</t>
  </si>
  <si>
    <t>óculos de proteção</t>
  </si>
  <si>
    <t xml:space="preserve">botas </t>
  </si>
  <si>
    <t>item</t>
  </si>
  <si>
    <t>quantidade</t>
  </si>
  <si>
    <t>valor total</t>
  </si>
  <si>
    <t xml:space="preserve">par de luvas pimentadas </t>
  </si>
  <si>
    <t>valor 1</t>
  </si>
  <si>
    <t xml:space="preserve">valor 2 </t>
  </si>
  <si>
    <t>valor 3</t>
  </si>
  <si>
    <t>média</t>
  </si>
  <si>
    <t>Quant. de postos</t>
  </si>
  <si>
    <t>Investimento</t>
  </si>
  <si>
    <t>Prazo de depreciação do equipamento (meses)</t>
  </si>
  <si>
    <t>oculos de proteção</t>
  </si>
  <si>
    <t>par de luvas pigmentadas</t>
  </si>
  <si>
    <t>par de botas de couro</t>
  </si>
  <si>
    <t xml:space="preserve">Nacional </t>
  </si>
  <si>
    <t>Rio de Janeiro</t>
  </si>
  <si>
    <t>Finep</t>
  </si>
  <si>
    <t>salário</t>
  </si>
  <si>
    <t>outros</t>
  </si>
  <si>
    <t xml:space="preserve">Registro de ponto </t>
  </si>
  <si>
    <t>Café da manhã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</si>
</sst>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4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8" fontId="15" fillId="0" borderId="1" xfId="0" applyNumberFormat="1" applyFont="1" applyBorder="1" applyAlignment="1">
      <alignment vertical="center" wrapText="1"/>
    </xf>
    <xf numFmtId="8" fontId="15" fillId="5" borderId="1" xfId="0" applyNumberFormat="1" applyFont="1" applyFill="1" applyBorder="1" applyAlignment="1">
      <alignment horizontal="right" vertical="center" wrapText="1"/>
    </xf>
    <xf numFmtId="8" fontId="16" fillId="0" borderId="1" xfId="0" applyNumberFormat="1" applyFont="1" applyBorder="1" applyAlignment="1">
      <alignment vertical="center"/>
    </xf>
    <xf numFmtId="8" fontId="7" fillId="0" borderId="1" xfId="0" applyNumberFormat="1" applyFont="1" applyFill="1" applyBorder="1" applyAlignment="1">
      <alignment vertical="center"/>
    </xf>
    <xf numFmtId="0" fontId="21" fillId="6" borderId="42" xfId="0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vertical="center"/>
    </xf>
    <xf numFmtId="10" fontId="15" fillId="0" borderId="1" xfId="2" applyNumberFormat="1" applyFont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3" fontId="8" fillId="0" borderId="1" xfId="3" applyFont="1" applyBorder="1" applyAlignment="1">
      <alignment vertical="center"/>
    </xf>
    <xf numFmtId="43" fontId="7" fillId="3" borderId="1" xfId="3" applyFont="1" applyFill="1" applyBorder="1" applyAlignment="1">
      <alignment vertical="center"/>
    </xf>
    <xf numFmtId="43" fontId="7" fillId="0" borderId="0" xfId="3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43" fontId="8" fillId="0" borderId="1" xfId="3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horizontal="center" vertical="center"/>
    </xf>
    <xf numFmtId="10" fontId="7" fillId="3" borderId="36" xfId="0" applyNumberFormat="1" applyFont="1" applyFill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43" fontId="8" fillId="0" borderId="1" xfId="3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64" fontId="7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2" fontId="5" fillId="0" borderId="12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2" fontId="5" fillId="0" borderId="13" xfId="0" applyNumberFormat="1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40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2" fontId="5" fillId="0" borderId="14" xfId="0" applyNumberFormat="1" applyFont="1" applyFill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2" fontId="6" fillId="0" borderId="10" xfId="0" applyNumberFormat="1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2" fontId="5" fillId="0" borderId="5" xfId="0" applyNumberFormat="1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vertical="center"/>
    </xf>
    <xf numFmtId="9" fontId="8" fillId="7" borderId="1" xfId="2" applyNumberFormat="1" applyFont="1" applyFill="1" applyBorder="1" applyAlignment="1">
      <alignment horizontal="center" vertical="center"/>
    </xf>
    <xf numFmtId="10" fontId="8" fillId="7" borderId="1" xfId="2" applyNumberFormat="1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vertical="center"/>
    </xf>
    <xf numFmtId="9" fontId="8" fillId="7" borderId="7" xfId="0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43" fontId="8" fillId="7" borderId="1" xfId="3" applyFont="1" applyFill="1" applyBorder="1" applyAlignment="1">
      <alignment horizontal="right" vertical="center"/>
    </xf>
    <xf numFmtId="10" fontId="8" fillId="7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4" fontId="16" fillId="5" borderId="0" xfId="0" applyNumberFormat="1" applyFont="1" applyFill="1" applyBorder="1" applyAlignment="1">
      <alignment horizontal="center" vertical="center" wrapText="1"/>
    </xf>
    <xf numFmtId="4" fontId="15" fillId="7" borderId="1" xfId="0" applyNumberFormat="1" applyFont="1" applyFill="1" applyBorder="1" applyAlignment="1">
      <alignment horizontal="center" vertical="center" wrapText="1"/>
    </xf>
    <xf numFmtId="3" fontId="15" fillId="7" borderId="1" xfId="0" applyNumberFormat="1" applyFont="1" applyFill="1" applyBorder="1" applyAlignment="1">
      <alignment horizontal="center" vertical="center" wrapText="1"/>
    </xf>
    <xf numFmtId="10" fontId="8" fillId="7" borderId="1" xfId="0" applyNumberFormat="1" applyFont="1" applyFill="1" applyBorder="1" applyAlignment="1">
      <alignment horizontal="right" vertical="center"/>
    </xf>
    <xf numFmtId="10" fontId="8" fillId="7" borderId="1" xfId="2" applyNumberFormat="1" applyFont="1" applyFill="1" applyBorder="1" applyAlignment="1">
      <alignment horizontal="right" vertical="center"/>
    </xf>
    <xf numFmtId="0" fontId="8" fillId="3" borderId="1" xfId="2" applyNumberFormat="1" applyFont="1" applyFill="1" applyBorder="1" applyAlignment="1">
      <alignment horizontal="right" vertical="center"/>
    </xf>
    <xf numFmtId="43" fontId="8" fillId="0" borderId="1" xfId="3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8" fontId="8" fillId="0" borderId="0" xfId="0" applyNumberFormat="1" applyFont="1" applyAlignment="1">
      <alignment vertical="center"/>
    </xf>
    <xf numFmtId="8" fontId="7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2" fontId="8" fillId="7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5" borderId="0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9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24" xfId="0" applyFont="1" applyFill="1" applyBorder="1" applyAlignment="1">
      <alignment vertical="center"/>
    </xf>
    <xf numFmtId="43" fontId="8" fillId="5" borderId="1" xfId="3" applyFont="1" applyFill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7" fillId="5" borderId="37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7" fillId="5" borderId="43" xfId="0" applyFont="1" applyFill="1" applyBorder="1" applyAlignment="1">
      <alignment horizontal="left" vertical="center" wrapText="1"/>
    </xf>
    <xf numFmtId="10" fontId="7" fillId="5" borderId="0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15" fillId="7" borderId="1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3" fontId="7" fillId="0" borderId="1" xfId="3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left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8" fillId="0" borderId="0" xfId="3" applyFont="1" applyBorder="1" applyAlignment="1">
      <alignment vertical="center"/>
    </xf>
    <xf numFmtId="43" fontId="8" fillId="5" borderId="0" xfId="3" applyFont="1" applyFill="1" applyBorder="1" applyAlignment="1">
      <alignment vertical="center"/>
    </xf>
    <xf numFmtId="43" fontId="8" fillId="0" borderId="0" xfId="3" applyFont="1" applyBorder="1" applyAlignment="1">
      <alignment horizontal="center" vertical="center"/>
    </xf>
    <xf numFmtId="43" fontId="8" fillId="0" borderId="0" xfId="0" applyNumberFormat="1" applyFont="1" applyFill="1" applyBorder="1" applyAlignment="1">
      <alignment vertical="center"/>
    </xf>
    <xf numFmtId="43" fontId="8" fillId="0" borderId="0" xfId="3" applyFont="1" applyFill="1" applyBorder="1" applyAlignment="1">
      <alignment vertical="center"/>
    </xf>
    <xf numFmtId="0" fontId="7" fillId="5" borderId="0" xfId="0" applyFont="1" applyFill="1" applyBorder="1" applyAlignment="1">
      <alignment horizontal="center" vertical="center" wrapText="1"/>
    </xf>
    <xf numFmtId="43" fontId="7" fillId="0" borderId="0" xfId="3" applyFont="1" applyFill="1" applyBorder="1" applyAlignment="1">
      <alignment horizontal="center" vertical="center"/>
    </xf>
    <xf numFmtId="43" fontId="8" fillId="0" borderId="0" xfId="3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165" fontId="15" fillId="5" borderId="0" xfId="0" applyNumberFormat="1" applyFont="1" applyFill="1" applyBorder="1" applyAlignment="1">
      <alignment vertical="center"/>
    </xf>
    <xf numFmtId="165" fontId="12" fillId="0" borderId="0" xfId="1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vertical="center"/>
    </xf>
    <xf numFmtId="165" fontId="1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3" fontId="8" fillId="0" borderId="0" xfId="3" applyFont="1" applyFill="1" applyBorder="1" applyAlignment="1">
      <alignment horizontal="right" vertical="center"/>
    </xf>
    <xf numFmtId="164" fontId="7" fillId="0" borderId="0" xfId="1" applyFont="1" applyFill="1" applyBorder="1" applyAlignment="1">
      <alignment vertical="center"/>
    </xf>
    <xf numFmtId="2" fontId="5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5" fontId="16" fillId="0" borderId="0" xfId="0" applyNumberFormat="1" applyFont="1" applyFill="1" applyBorder="1" applyAlignment="1">
      <alignment vertical="center"/>
    </xf>
    <xf numFmtId="43" fontId="7" fillId="0" borderId="0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vertical="center"/>
    </xf>
    <xf numFmtId="10" fontId="8" fillId="8" borderId="1" xfId="2" applyNumberFormat="1" applyFont="1" applyFill="1" applyBorder="1" applyAlignment="1">
      <alignment horizontal="center" vertical="center"/>
    </xf>
    <xf numFmtId="43" fontId="8" fillId="8" borderId="1" xfId="3" applyFont="1" applyFill="1" applyBorder="1" applyAlignment="1">
      <alignment vertical="center"/>
    </xf>
    <xf numFmtId="43" fontId="12" fillId="5" borderId="0" xfId="3" applyFont="1" applyFill="1" applyBorder="1" applyAlignment="1">
      <alignment vertical="center"/>
    </xf>
    <xf numFmtId="0" fontId="7" fillId="8" borderId="36" xfId="0" applyFont="1" applyFill="1" applyBorder="1" applyAlignment="1">
      <alignment horizontal="center" vertical="center"/>
    </xf>
    <xf numFmtId="10" fontId="8" fillId="8" borderId="1" xfId="2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165" fontId="29" fillId="0" borderId="1" xfId="1" applyNumberFormat="1" applyFont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29" fillId="0" borderId="34" xfId="0" applyFont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0" fontId="9" fillId="9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5" borderId="22" xfId="0" applyFont="1" applyFill="1" applyBorder="1" applyAlignment="1">
      <alignment vertical="center" wrapText="1"/>
    </xf>
    <xf numFmtId="0" fontId="7" fillId="5" borderId="39" xfId="0" applyFont="1" applyFill="1" applyBorder="1" applyAlignment="1">
      <alignment vertical="center" wrapText="1"/>
    </xf>
    <xf numFmtId="10" fontId="8" fillId="0" borderId="7" xfId="0" applyNumberFormat="1" applyFont="1" applyFill="1" applyBorder="1" applyAlignment="1">
      <alignment horizontal="center" vertical="center"/>
    </xf>
    <xf numFmtId="43" fontId="8" fillId="0" borderId="7" xfId="3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0" fontId="7" fillId="0" borderId="39" xfId="0" applyFont="1" applyFill="1" applyBorder="1" applyAlignment="1">
      <alignment vertical="center"/>
    </xf>
    <xf numFmtId="0" fontId="7" fillId="5" borderId="22" xfId="0" applyFont="1" applyFill="1" applyBorder="1" applyAlignment="1">
      <alignment vertical="center"/>
    </xf>
    <xf numFmtId="0" fontId="7" fillId="5" borderId="39" xfId="0" applyFont="1" applyFill="1" applyBorder="1" applyAlignment="1">
      <alignment vertical="center"/>
    </xf>
    <xf numFmtId="0" fontId="14" fillId="5" borderId="23" xfId="0" applyFont="1" applyFill="1" applyBorder="1" applyAlignment="1">
      <alignment vertical="center"/>
    </xf>
    <xf numFmtId="0" fontId="14" fillId="5" borderId="9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3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/>
    </xf>
    <xf numFmtId="0" fontId="15" fillId="5" borderId="7" xfId="0" applyFont="1" applyFill="1" applyBorder="1" applyAlignment="1">
      <alignment vertical="center" wrapText="1"/>
    </xf>
    <xf numFmtId="0" fontId="14" fillId="5" borderId="39" xfId="0" applyFont="1" applyFill="1" applyBorder="1" applyAlignment="1">
      <alignment vertical="center"/>
    </xf>
    <xf numFmtId="165" fontId="15" fillId="5" borderId="7" xfId="0" applyNumberFormat="1" applyFont="1" applyFill="1" applyBorder="1" applyAlignment="1">
      <alignment vertical="center"/>
    </xf>
    <xf numFmtId="0" fontId="26" fillId="2" borderId="24" xfId="0" applyFont="1" applyFill="1" applyBorder="1" applyAlignment="1">
      <alignment vertical="center"/>
    </xf>
    <xf numFmtId="0" fontId="22" fillId="3" borderId="9" xfId="0" applyFont="1" applyFill="1" applyBorder="1" applyAlignment="1">
      <alignment vertical="center"/>
    </xf>
    <xf numFmtId="0" fontId="22" fillId="3" borderId="24" xfId="0" applyFont="1" applyFill="1" applyBorder="1" applyAlignment="1">
      <alignment vertical="center"/>
    </xf>
    <xf numFmtId="0" fontId="7" fillId="5" borderId="43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24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24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/>
    </xf>
    <xf numFmtId="0" fontId="22" fillId="0" borderId="9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/>
    </xf>
    <xf numFmtId="0" fontId="22" fillId="3" borderId="2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0" fillId="0" borderId="1" xfId="0" applyNumberFormat="1" applyBorder="1"/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8" fontId="3" fillId="0" borderId="44" xfId="0" applyNumberFormat="1" applyFont="1" applyBorder="1" applyAlignment="1">
      <alignment vertical="center"/>
    </xf>
    <xf numFmtId="8" fontId="3" fillId="0" borderId="44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8" fontId="3" fillId="0" borderId="45" xfId="0" applyNumberFormat="1" applyFont="1" applyBorder="1" applyAlignment="1">
      <alignment vertical="center"/>
    </xf>
    <xf numFmtId="8" fontId="8" fillId="7" borderId="1" xfId="3" applyNumberFormat="1" applyFont="1" applyFill="1" applyBorder="1" applyAlignment="1">
      <alignment vertical="center"/>
    </xf>
    <xf numFmtId="4" fontId="16" fillId="4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2" fontId="0" fillId="0" borderId="1" xfId="0" applyNumberFormat="1" applyFill="1" applyBorder="1"/>
    <xf numFmtId="0" fontId="25" fillId="3" borderId="20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167" fontId="15" fillId="7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17" fillId="8" borderId="23" xfId="0" applyFont="1" applyFill="1" applyBorder="1" applyAlignment="1">
      <alignment horizontal="left" vertical="center"/>
    </xf>
    <xf numFmtId="0" fontId="17" fillId="8" borderId="9" xfId="0" applyFont="1" applyFill="1" applyBorder="1" applyAlignment="1">
      <alignment horizontal="left" vertical="center"/>
    </xf>
    <xf numFmtId="0" fontId="17" fillId="8" borderId="24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10" fontId="8" fillId="0" borderId="38" xfId="0" applyNumberFormat="1" applyFont="1" applyFill="1" applyBorder="1" applyAlignment="1">
      <alignment horizontal="center" vertical="center"/>
    </xf>
    <xf numFmtId="10" fontId="8" fillId="0" borderId="39" xfId="0" applyNumberFormat="1" applyFont="1" applyFill="1" applyBorder="1" applyAlignment="1">
      <alignment horizontal="center" vertical="center"/>
    </xf>
    <xf numFmtId="43" fontId="8" fillId="0" borderId="1" xfId="3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left" vertical="center"/>
    </xf>
    <xf numFmtId="0" fontId="27" fillId="0" borderId="24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20" fillId="5" borderId="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29" fillId="0" borderId="23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left" vertical="center"/>
    </xf>
    <xf numFmtId="0" fontId="14" fillId="5" borderId="22" xfId="0" applyFont="1" applyFill="1" applyBorder="1" applyAlignment="1">
      <alignment horizontal="left" vertical="center"/>
    </xf>
    <xf numFmtId="0" fontId="14" fillId="5" borderId="23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horizontal="left" vertical="center"/>
    </xf>
    <xf numFmtId="0" fontId="26" fillId="2" borderId="23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24"/>
  <sheetViews>
    <sheetView showGridLines="0" topLeftCell="B7" zoomScaleNormal="100" workbookViewId="0">
      <selection activeCell="B1" sqref="B1:G25"/>
    </sheetView>
  </sheetViews>
  <sheetFormatPr defaultColWidth="9.140625" defaultRowHeight="22.5" customHeight="1" x14ac:dyDescent="0.2"/>
  <cols>
    <col min="1" max="1" width="3.28515625" style="107" customWidth="1"/>
    <col min="2" max="2" width="20.85546875" style="107" customWidth="1"/>
    <col min="3" max="4" width="13.28515625" style="107" customWidth="1"/>
    <col min="5" max="5" width="14.28515625" style="107" customWidth="1"/>
    <col min="6" max="6" width="13.7109375" style="107" customWidth="1"/>
    <col min="7" max="7" width="16.140625" style="107" bestFit="1" customWidth="1"/>
    <col min="8" max="8" width="14.7109375" style="107" bestFit="1" customWidth="1"/>
    <col min="9" max="16384" width="9.140625" style="107"/>
  </cols>
  <sheetData>
    <row r="1" spans="2:8" ht="22.5" customHeight="1" x14ac:dyDescent="0.2">
      <c r="B1" s="268" t="s">
        <v>143</v>
      </c>
      <c r="C1" s="268"/>
      <c r="D1" s="268"/>
      <c r="E1" s="268"/>
      <c r="F1" s="268"/>
      <c r="G1" s="268"/>
    </row>
    <row r="3" spans="2:8" ht="22.5" customHeight="1" x14ac:dyDescent="0.2">
      <c r="B3" s="112" t="s">
        <v>144</v>
      </c>
    </row>
    <row r="4" spans="2:8" ht="22.5" customHeight="1" x14ac:dyDescent="0.2">
      <c r="B4" s="269" t="s">
        <v>145</v>
      </c>
      <c r="C4" s="269"/>
      <c r="D4" s="269"/>
      <c r="E4" s="269"/>
      <c r="F4" s="269"/>
      <c r="G4" s="269"/>
      <c r="H4" s="108"/>
    </row>
    <row r="5" spans="2:8" ht="22.5" customHeight="1" thickBot="1" x14ac:dyDescent="0.25"/>
    <row r="6" spans="2:8" ht="22.5" customHeight="1" thickBot="1" x14ac:dyDescent="0.25">
      <c r="B6" s="262" t="s">
        <v>108</v>
      </c>
      <c r="C6" s="263"/>
      <c r="D6" s="263"/>
      <c r="E6" s="263"/>
      <c r="F6" s="263"/>
      <c r="G6" s="264"/>
    </row>
    <row r="7" spans="2:8" ht="22.5" customHeight="1" x14ac:dyDescent="0.2">
      <c r="B7" s="14"/>
      <c r="C7" s="14"/>
      <c r="D7" s="14"/>
      <c r="E7" s="14"/>
      <c r="F7" s="14"/>
      <c r="G7" s="14"/>
    </row>
    <row r="8" spans="2:8" ht="22.5" customHeight="1" x14ac:dyDescent="0.2">
      <c r="B8" s="89" t="s">
        <v>104</v>
      </c>
      <c r="C8" s="89" t="s">
        <v>142</v>
      </c>
      <c r="D8" s="89" t="s">
        <v>105</v>
      </c>
      <c r="E8" s="89" t="s">
        <v>114</v>
      </c>
      <c r="F8" s="89" t="s">
        <v>106</v>
      </c>
      <c r="G8" s="89" t="s">
        <v>107</v>
      </c>
    </row>
    <row r="9" spans="2:8" ht="22.5" customHeight="1" x14ac:dyDescent="0.2">
      <c r="B9" s="246" t="s">
        <v>219</v>
      </c>
      <c r="C9" s="106">
        <v>1</v>
      </c>
      <c r="D9" s="6">
        <v>30</v>
      </c>
      <c r="E9" s="7">
        <f>'Técnico de Segurança'!H135</f>
        <v>9214.8700000000026</v>
      </c>
      <c r="F9" s="8">
        <f>E9*C9</f>
        <v>9214.8700000000026</v>
      </c>
      <c r="G9" s="8">
        <f>F9*D9</f>
        <v>276446.10000000009</v>
      </c>
    </row>
    <row r="10" spans="2:8" ht="22.5" customHeight="1" x14ac:dyDescent="0.2">
      <c r="B10" s="23" t="s">
        <v>80</v>
      </c>
      <c r="C10" s="106">
        <f>SUM(C9:C9)</f>
        <v>1</v>
      </c>
      <c r="D10" s="266"/>
      <c r="E10" s="267"/>
      <c r="F10" s="10">
        <f>SUM(F9:F9)</f>
        <v>9214.8700000000026</v>
      </c>
      <c r="G10" s="9">
        <f>SUM(G9:G9)</f>
        <v>276446.10000000009</v>
      </c>
    </row>
    <row r="11" spans="2:8" ht="22.5" customHeight="1" x14ac:dyDescent="0.2">
      <c r="B11" s="265" t="s">
        <v>140</v>
      </c>
      <c r="C11" s="265"/>
      <c r="D11" s="265"/>
      <c r="E11" s="265"/>
      <c r="F11" s="265"/>
      <c r="G11" s="109">
        <f>G10</f>
        <v>276446.10000000009</v>
      </c>
    </row>
    <row r="12" spans="2:8" ht="22.5" customHeight="1" x14ac:dyDescent="0.2">
      <c r="F12" s="2"/>
    </row>
    <row r="13" spans="2:8" ht="22.5" customHeight="1" x14ac:dyDescent="0.2">
      <c r="F13" s="2"/>
    </row>
    <row r="14" spans="2:8" ht="22.5" customHeight="1" x14ac:dyDescent="0.2">
      <c r="B14" s="3" t="s">
        <v>72</v>
      </c>
      <c r="C14" s="4"/>
      <c r="D14" s="132"/>
      <c r="E14" s="1" t="s">
        <v>73</v>
      </c>
      <c r="F14" s="2"/>
    </row>
    <row r="15" spans="2:8" ht="22.5" customHeight="1" x14ac:dyDescent="0.2">
      <c r="B15" s="107" t="s">
        <v>212</v>
      </c>
      <c r="F15" s="2"/>
    </row>
    <row r="16" spans="2:8" ht="22.5" customHeight="1" x14ac:dyDescent="0.2">
      <c r="F16" s="2"/>
    </row>
    <row r="17" spans="5:6" ht="22.5" customHeight="1" x14ac:dyDescent="0.2">
      <c r="E17" s="193" t="s">
        <v>205</v>
      </c>
      <c r="F17" s="2"/>
    </row>
    <row r="18" spans="5:6" ht="22.5" customHeight="1" x14ac:dyDescent="0.2">
      <c r="E18" s="194"/>
      <c r="F18" s="110"/>
    </row>
    <row r="19" spans="5:6" ht="22.5" customHeight="1" x14ac:dyDescent="0.2">
      <c r="E19" s="194" t="s">
        <v>206</v>
      </c>
      <c r="F19" s="110"/>
    </row>
    <row r="20" spans="5:6" ht="22.5" customHeight="1" x14ac:dyDescent="0.2">
      <c r="E20" s="194" t="s">
        <v>207</v>
      </c>
      <c r="F20" s="110"/>
    </row>
    <row r="21" spans="5:6" ht="22.5" customHeight="1" x14ac:dyDescent="0.2">
      <c r="E21" s="194" t="s">
        <v>208</v>
      </c>
      <c r="F21" s="110"/>
    </row>
    <row r="22" spans="5:6" ht="22.5" customHeight="1" x14ac:dyDescent="0.2">
      <c r="E22" s="194" t="s">
        <v>209</v>
      </c>
      <c r="F22" s="110"/>
    </row>
    <row r="23" spans="5:6" ht="22.5" customHeight="1" x14ac:dyDescent="0.2">
      <c r="E23" s="194" t="s">
        <v>210</v>
      </c>
    </row>
    <row r="24" spans="5:6" ht="22.5" customHeight="1" x14ac:dyDescent="0.2">
      <c r="E24" s="194" t="s">
        <v>211</v>
      </c>
    </row>
  </sheetData>
  <mergeCells count="5">
    <mergeCell ref="B6:G6"/>
    <mergeCell ref="B11:F11"/>
    <mergeCell ref="D10:E10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B1:I169"/>
  <sheetViews>
    <sheetView showGridLines="0" tabSelected="1" view="pageBreakPreview" topLeftCell="A38" zoomScale="86" zoomScaleNormal="100" zoomScaleSheetLayoutView="86" workbookViewId="0">
      <selection activeCell="D62" sqref="D62:E62"/>
    </sheetView>
  </sheetViews>
  <sheetFormatPr defaultColWidth="9.140625" defaultRowHeight="12.75" x14ac:dyDescent="0.2"/>
  <cols>
    <col min="1" max="1" width="3.5703125" style="114" customWidth="1"/>
    <col min="2" max="2" width="8.28515625" style="114" customWidth="1"/>
    <col min="3" max="3" width="39.140625" style="114" customWidth="1"/>
    <col min="4" max="4" width="29.140625" style="114" customWidth="1"/>
    <col min="5" max="6" width="8.140625" style="114" customWidth="1"/>
    <col min="7" max="7" width="9.140625" style="114" customWidth="1"/>
    <col min="8" max="8" width="15.28515625" style="114" customWidth="1"/>
    <col min="9" max="9" width="18.85546875" style="114" customWidth="1"/>
    <col min="10" max="16384" width="9.140625" style="114"/>
  </cols>
  <sheetData>
    <row r="1" spans="2:9" x14ac:dyDescent="0.2">
      <c r="B1" s="113"/>
      <c r="C1" s="172"/>
      <c r="D1" s="16"/>
      <c r="E1" s="16"/>
      <c r="F1" s="16"/>
      <c r="G1" s="16"/>
      <c r="H1" s="16"/>
      <c r="I1" s="16"/>
    </row>
    <row r="2" spans="2:9" x14ac:dyDescent="0.2">
      <c r="B2" s="272" t="s">
        <v>69</v>
      </c>
      <c r="C2" s="272"/>
      <c r="D2" s="272"/>
      <c r="E2" s="272"/>
      <c r="F2" s="272"/>
      <c r="G2" s="272"/>
      <c r="H2" s="272"/>
      <c r="I2" s="155"/>
    </row>
    <row r="3" spans="2:9" x14ac:dyDescent="0.2">
      <c r="B3" s="273" t="s">
        <v>213</v>
      </c>
      <c r="C3" s="273"/>
      <c r="D3" s="273"/>
      <c r="E3" s="273"/>
      <c r="F3" s="273"/>
      <c r="G3" s="273"/>
      <c r="H3" s="273"/>
      <c r="I3" s="157"/>
    </row>
    <row r="4" spans="2:9" x14ac:dyDescent="0.2">
      <c r="B4" s="116"/>
      <c r="C4" s="116"/>
      <c r="D4" s="116"/>
      <c r="E4" s="116"/>
      <c r="F4" s="116"/>
      <c r="G4" s="116"/>
      <c r="H4" s="116"/>
      <c r="I4" s="116"/>
    </row>
    <row r="5" spans="2:9" x14ac:dyDescent="0.2">
      <c r="B5" s="116"/>
      <c r="C5" s="116"/>
      <c r="D5" s="116"/>
      <c r="E5" s="116"/>
      <c r="F5" s="116"/>
      <c r="G5" s="116"/>
      <c r="H5" s="116"/>
      <c r="I5" s="116"/>
    </row>
    <row r="6" spans="2:9" x14ac:dyDescent="0.2">
      <c r="B6" s="205" t="s">
        <v>220</v>
      </c>
      <c r="C6" s="205"/>
      <c r="D6" s="276" t="s">
        <v>219</v>
      </c>
      <c r="E6" s="277"/>
      <c r="F6" s="278"/>
      <c r="I6" s="17"/>
    </row>
    <row r="7" spans="2:9" x14ac:dyDescent="0.2">
      <c r="B7" s="116"/>
      <c r="C7" s="116"/>
      <c r="D7" s="116"/>
      <c r="E7" s="116"/>
      <c r="F7" s="116"/>
      <c r="G7" s="116"/>
      <c r="H7" s="116"/>
      <c r="I7" s="16"/>
    </row>
    <row r="8" spans="2:9" x14ac:dyDescent="0.2">
      <c r="B8" s="282" t="s">
        <v>70</v>
      </c>
      <c r="C8" s="282"/>
      <c r="D8" s="282"/>
      <c r="E8" s="282"/>
      <c r="F8" s="282"/>
      <c r="G8" s="206"/>
      <c r="H8" s="206"/>
      <c r="I8" s="115"/>
    </row>
    <row r="9" spans="2:9" x14ac:dyDescent="0.2">
      <c r="B9" s="274">
        <v>1</v>
      </c>
      <c r="C9" s="283" t="s">
        <v>71</v>
      </c>
      <c r="D9" s="283"/>
      <c r="E9" s="283"/>
      <c r="F9" s="283"/>
      <c r="G9" s="206"/>
      <c r="H9" s="206"/>
      <c r="I9" s="115"/>
    </row>
    <row r="10" spans="2:9" x14ac:dyDescent="0.2">
      <c r="B10" s="274"/>
      <c r="C10" s="284"/>
      <c r="D10" s="284"/>
      <c r="E10" s="284"/>
      <c r="F10" s="284"/>
      <c r="G10" s="206"/>
      <c r="H10" s="206"/>
      <c r="I10" s="115"/>
    </row>
    <row r="11" spans="2:9" x14ac:dyDescent="0.2">
      <c r="B11" s="274">
        <v>2</v>
      </c>
      <c r="C11" s="283" t="s">
        <v>74</v>
      </c>
      <c r="D11" s="283"/>
      <c r="E11" s="283"/>
      <c r="F11" s="283"/>
      <c r="G11" s="206"/>
      <c r="H11" s="206"/>
      <c r="I11" s="115"/>
    </row>
    <row r="12" spans="2:9" x14ac:dyDescent="0.2">
      <c r="B12" s="274"/>
      <c r="C12" s="284"/>
      <c r="D12" s="284"/>
      <c r="E12" s="284"/>
      <c r="F12" s="284"/>
      <c r="G12" s="206"/>
      <c r="H12" s="206"/>
      <c r="I12" s="115"/>
    </row>
    <row r="13" spans="2:9" x14ac:dyDescent="0.2">
      <c r="B13" s="274">
        <v>3</v>
      </c>
      <c r="C13" s="283" t="s">
        <v>75</v>
      </c>
      <c r="D13" s="283"/>
      <c r="E13" s="283"/>
      <c r="F13" s="283"/>
      <c r="G13" s="206"/>
      <c r="H13" s="206"/>
      <c r="I13" s="115"/>
    </row>
    <row r="14" spans="2:9" x14ac:dyDescent="0.2">
      <c r="B14" s="274"/>
      <c r="C14" s="285"/>
      <c r="D14" s="285"/>
      <c r="E14" s="285"/>
      <c r="F14" s="285"/>
      <c r="G14" s="206"/>
      <c r="H14" s="206"/>
      <c r="I14" s="115"/>
    </row>
    <row r="15" spans="2:9" x14ac:dyDescent="0.2">
      <c r="B15" s="274">
        <v>4</v>
      </c>
      <c r="C15" s="283" t="s">
        <v>76</v>
      </c>
      <c r="D15" s="283"/>
      <c r="E15" s="283"/>
      <c r="F15" s="283"/>
      <c r="G15" s="206"/>
      <c r="H15" s="206"/>
      <c r="I15" s="115"/>
    </row>
    <row r="16" spans="2:9" x14ac:dyDescent="0.2">
      <c r="B16" s="274"/>
      <c r="C16" s="284"/>
      <c r="D16" s="284"/>
      <c r="E16" s="284"/>
      <c r="F16" s="284"/>
      <c r="G16" s="206"/>
      <c r="H16" s="206"/>
      <c r="I16" s="115"/>
    </row>
    <row r="17" spans="2:9" x14ac:dyDescent="0.2">
      <c r="B17" s="274">
        <v>5</v>
      </c>
      <c r="C17" s="283" t="s">
        <v>77</v>
      </c>
      <c r="D17" s="283"/>
      <c r="E17" s="283"/>
      <c r="F17" s="283"/>
      <c r="G17" s="206"/>
      <c r="H17" s="206"/>
      <c r="I17" s="115"/>
    </row>
    <row r="18" spans="2:9" x14ac:dyDescent="0.2">
      <c r="B18" s="274"/>
      <c r="C18" s="284"/>
      <c r="D18" s="284"/>
      <c r="E18" s="284"/>
      <c r="F18" s="284"/>
      <c r="G18" s="206"/>
      <c r="H18" s="206"/>
      <c r="I18" s="115"/>
    </row>
    <row r="19" spans="2:9" x14ac:dyDescent="0.2">
      <c r="B19" s="274">
        <v>6</v>
      </c>
      <c r="C19" s="283" t="s">
        <v>78</v>
      </c>
      <c r="D19" s="283"/>
      <c r="E19" s="283"/>
      <c r="F19" s="283"/>
      <c r="G19" s="206"/>
      <c r="H19" s="206"/>
      <c r="I19" s="115"/>
    </row>
    <row r="20" spans="2:9" x14ac:dyDescent="0.2">
      <c r="B20" s="274"/>
      <c r="C20" s="284"/>
      <c r="D20" s="284"/>
      <c r="E20" s="284"/>
      <c r="F20" s="284"/>
      <c r="G20" s="206"/>
      <c r="H20" s="206"/>
      <c r="I20" s="115"/>
    </row>
    <row r="21" spans="2:9" x14ac:dyDescent="0.2">
      <c r="B21" s="117"/>
      <c r="C21" s="117"/>
      <c r="D21" s="117"/>
      <c r="E21" s="117"/>
      <c r="F21" s="117"/>
      <c r="G21" s="118"/>
      <c r="H21" s="118"/>
      <c r="I21" s="115"/>
    </row>
    <row r="22" spans="2:9" x14ac:dyDescent="0.2">
      <c r="B22" s="119"/>
      <c r="C22" s="119"/>
      <c r="D22" s="119"/>
      <c r="E22" s="119"/>
      <c r="F22" s="119"/>
      <c r="G22" s="119"/>
      <c r="H22" s="211" t="s">
        <v>218</v>
      </c>
    </row>
    <row r="23" spans="2:9" x14ac:dyDescent="0.2">
      <c r="B23" s="290" t="s">
        <v>85</v>
      </c>
      <c r="C23" s="291"/>
      <c r="D23" s="291"/>
      <c r="E23" s="291"/>
      <c r="F23" s="291"/>
      <c r="G23" s="209"/>
      <c r="H23" s="210"/>
      <c r="I23" s="176"/>
    </row>
    <row r="24" spans="2:9" x14ac:dyDescent="0.2">
      <c r="B24" s="149">
        <v>1</v>
      </c>
      <c r="C24" s="266" t="s">
        <v>79</v>
      </c>
      <c r="D24" s="275"/>
      <c r="E24" s="275"/>
      <c r="F24" s="267"/>
      <c r="G24" s="208" t="s">
        <v>2</v>
      </c>
      <c r="H24" s="208" t="s">
        <v>68</v>
      </c>
      <c r="I24" s="176"/>
    </row>
    <row r="25" spans="2:9" ht="12.75" customHeight="1" x14ac:dyDescent="0.2">
      <c r="B25" s="18" t="s">
        <v>5</v>
      </c>
      <c r="C25" s="147" t="s">
        <v>36</v>
      </c>
      <c r="D25" s="279"/>
      <c r="E25" s="280"/>
      <c r="F25" s="281"/>
      <c r="G25" s="19"/>
      <c r="H25" s="258">
        <f>Planilha1!E16</f>
        <v>2999.43</v>
      </c>
      <c r="I25" s="163"/>
    </row>
    <row r="26" spans="2:9" x14ac:dyDescent="0.2">
      <c r="B26" s="18" t="s">
        <v>6</v>
      </c>
      <c r="C26" s="147" t="s">
        <v>43</v>
      </c>
      <c r="D26" s="279" t="s">
        <v>148</v>
      </c>
      <c r="E26" s="280"/>
      <c r="F26" s="281"/>
      <c r="G26" s="80"/>
      <c r="H26" s="20">
        <f>TRUNC(H$25*$G26,2)</f>
        <v>0</v>
      </c>
      <c r="I26" s="159"/>
    </row>
    <row r="27" spans="2:9" x14ac:dyDescent="0.2">
      <c r="B27" s="18" t="s">
        <v>7</v>
      </c>
      <c r="C27" s="148" t="s">
        <v>44</v>
      </c>
      <c r="D27" s="279" t="s">
        <v>191</v>
      </c>
      <c r="E27" s="280"/>
      <c r="F27" s="281"/>
      <c r="G27" s="80"/>
      <c r="H27" s="20">
        <f>TRUNC(H$25*$G27,2)</f>
        <v>0</v>
      </c>
      <c r="I27" s="159"/>
    </row>
    <row r="28" spans="2:9" x14ac:dyDescent="0.2">
      <c r="B28" s="18" t="s">
        <v>8</v>
      </c>
      <c r="C28" s="148" t="s">
        <v>1</v>
      </c>
      <c r="D28" s="279" t="s">
        <v>199</v>
      </c>
      <c r="E28" s="280"/>
      <c r="F28" s="281"/>
      <c r="G28" s="81"/>
      <c r="H28" s="123">
        <f>TRUNC(((H$25+H26)*$G28)/220*8*15,2)</f>
        <v>0</v>
      </c>
      <c r="I28" s="160"/>
    </row>
    <row r="29" spans="2:9" x14ac:dyDescent="0.2">
      <c r="B29" s="186" t="s">
        <v>9</v>
      </c>
      <c r="C29" s="187" t="s">
        <v>45</v>
      </c>
      <c r="D29" s="287" t="s">
        <v>199</v>
      </c>
      <c r="E29" s="288"/>
      <c r="F29" s="289"/>
      <c r="G29" s="188"/>
      <c r="H29" s="189">
        <f>TRUNC(((H25+H26)*$G29)/220*1*15,2)</f>
        <v>0</v>
      </c>
      <c r="I29" s="190" t="s">
        <v>204</v>
      </c>
    </row>
    <row r="30" spans="2:9" x14ac:dyDescent="0.2">
      <c r="B30" s="191" t="s">
        <v>10</v>
      </c>
      <c r="C30" s="187" t="s">
        <v>127</v>
      </c>
      <c r="D30" s="287" t="s">
        <v>200</v>
      </c>
      <c r="E30" s="288"/>
      <c r="F30" s="289"/>
      <c r="G30" s="192"/>
      <c r="H30" s="189">
        <f>TRUNC($G$34*H34*(1+$G$30),2)</f>
        <v>0</v>
      </c>
      <c r="I30" s="190" t="s">
        <v>204</v>
      </c>
    </row>
    <row r="31" spans="2:9" x14ac:dyDescent="0.2">
      <c r="B31" s="145" t="s">
        <v>11</v>
      </c>
      <c r="C31" s="148" t="s">
        <v>3</v>
      </c>
      <c r="D31" s="279"/>
      <c r="E31" s="280"/>
      <c r="F31" s="281"/>
      <c r="G31" s="81"/>
      <c r="H31" s="102"/>
      <c r="I31" s="161"/>
    </row>
    <row r="32" spans="2:9" x14ac:dyDescent="0.2">
      <c r="B32" s="145" t="s">
        <v>149</v>
      </c>
      <c r="C32" s="266" t="s">
        <v>80</v>
      </c>
      <c r="D32" s="275"/>
      <c r="E32" s="275"/>
      <c r="F32" s="267"/>
      <c r="G32" s="33"/>
      <c r="H32" s="21">
        <f>SUM(H25:H31)</f>
        <v>2999.43</v>
      </c>
      <c r="I32" s="22"/>
    </row>
    <row r="33" spans="2:9" ht="22.5" x14ac:dyDescent="0.2">
      <c r="B33" s="153"/>
      <c r="C33" s="286" t="s">
        <v>138</v>
      </c>
      <c r="D33" s="286"/>
      <c r="E33" s="286"/>
      <c r="F33" s="286"/>
      <c r="G33" s="105" t="s">
        <v>128</v>
      </c>
      <c r="H33" s="104" t="s">
        <v>141</v>
      </c>
      <c r="I33" s="5"/>
    </row>
    <row r="34" spans="2:9" x14ac:dyDescent="0.2">
      <c r="B34" s="153"/>
      <c r="C34" s="286"/>
      <c r="D34" s="286"/>
      <c r="E34" s="286"/>
      <c r="F34" s="286"/>
      <c r="G34" s="103"/>
      <c r="H34" s="82">
        <f>IF($G$34="",0,TRUNC((H25+H26+H27)/220,2))</f>
        <v>0</v>
      </c>
      <c r="I34" s="162"/>
    </row>
    <row r="35" spans="2:9" x14ac:dyDescent="0.2">
      <c r="B35" s="153"/>
      <c r="C35" s="153"/>
      <c r="D35" s="153"/>
      <c r="E35" s="153"/>
      <c r="F35" s="153"/>
      <c r="G35" s="153"/>
      <c r="H35" s="124"/>
      <c r="I35" s="22"/>
    </row>
    <row r="36" spans="2:9" x14ac:dyDescent="0.2">
      <c r="B36" s="153"/>
      <c r="C36" s="153"/>
      <c r="D36" s="153"/>
      <c r="E36" s="153"/>
      <c r="F36" s="153"/>
      <c r="G36" s="153"/>
      <c r="H36" s="124"/>
      <c r="I36" s="22"/>
    </row>
    <row r="37" spans="2:9" ht="12.75" customHeight="1" x14ac:dyDescent="0.2">
      <c r="B37" s="290" t="s">
        <v>86</v>
      </c>
      <c r="C37" s="291"/>
      <c r="D37" s="291"/>
      <c r="E37" s="291"/>
      <c r="F37" s="291"/>
      <c r="G37" s="209"/>
      <c r="H37" s="210"/>
      <c r="I37" s="176"/>
    </row>
    <row r="38" spans="2:9" x14ac:dyDescent="0.2">
      <c r="B38" s="293"/>
      <c r="C38" s="294"/>
      <c r="D38" s="294"/>
      <c r="E38" s="294"/>
      <c r="F38" s="294"/>
      <c r="G38" s="212"/>
      <c r="H38" s="212"/>
      <c r="I38" s="176"/>
    </row>
    <row r="39" spans="2:9" x14ac:dyDescent="0.2">
      <c r="B39" s="292" t="s">
        <v>55</v>
      </c>
      <c r="C39" s="292"/>
      <c r="D39" s="292"/>
      <c r="E39" s="292"/>
      <c r="F39" s="292"/>
      <c r="G39" s="212"/>
      <c r="H39" s="212"/>
      <c r="I39" s="154"/>
    </row>
    <row r="40" spans="2:9" x14ac:dyDescent="0.2">
      <c r="B40" s="208" t="s">
        <v>57</v>
      </c>
      <c r="C40" s="300" t="s">
        <v>46</v>
      </c>
      <c r="D40" s="301"/>
      <c r="E40" s="301"/>
      <c r="F40" s="302"/>
      <c r="G40" s="149" t="s">
        <v>2</v>
      </c>
      <c r="H40" s="149" t="s">
        <v>68</v>
      </c>
      <c r="I40" s="176"/>
    </row>
    <row r="41" spans="2:9" x14ac:dyDescent="0.2">
      <c r="B41" s="145" t="s">
        <v>5</v>
      </c>
      <c r="C41" s="147" t="s">
        <v>130</v>
      </c>
      <c r="D41" s="279" t="s">
        <v>150</v>
      </c>
      <c r="E41" s="280"/>
      <c r="F41" s="281"/>
      <c r="G41" s="215">
        <f>1/12</f>
        <v>8.3333333333333329E-2</v>
      </c>
      <c r="H41" s="216">
        <f>TRUNC((H$32*$G41),2)</f>
        <v>249.95</v>
      </c>
      <c r="I41" s="163"/>
    </row>
    <row r="42" spans="2:9" x14ac:dyDescent="0.2">
      <c r="B42" s="145" t="s">
        <v>6</v>
      </c>
      <c r="C42" s="147" t="s">
        <v>84</v>
      </c>
      <c r="D42" s="279" t="s">
        <v>152</v>
      </c>
      <c r="E42" s="280"/>
      <c r="F42" s="281"/>
      <c r="G42" s="24">
        <f>(1/12)+(1/3/12)</f>
        <v>0.1111111111111111</v>
      </c>
      <c r="H42" s="25">
        <f>TRUNC((H$32*$G42),2)</f>
        <v>333.27</v>
      </c>
      <c r="I42" s="163"/>
    </row>
    <row r="43" spans="2:9" x14ac:dyDescent="0.2">
      <c r="B43" s="145" t="s">
        <v>151</v>
      </c>
      <c r="C43" s="266" t="s">
        <v>80</v>
      </c>
      <c r="D43" s="275"/>
      <c r="E43" s="275"/>
      <c r="F43" s="267"/>
      <c r="G43" s="26">
        <f>TRUNC(SUM(G41:G42),4)</f>
        <v>0.19439999999999999</v>
      </c>
      <c r="H43" s="21">
        <f>SUM(H41:H42)</f>
        <v>583.22</v>
      </c>
      <c r="I43" s="22"/>
    </row>
    <row r="44" spans="2:9" x14ac:dyDescent="0.2">
      <c r="B44" s="303"/>
      <c r="C44" s="304"/>
      <c r="D44" s="304"/>
      <c r="E44" s="304"/>
      <c r="F44" s="304"/>
      <c r="G44" s="304"/>
      <c r="H44" s="305"/>
      <c r="I44" s="155"/>
    </row>
    <row r="45" spans="2:9" ht="30" customHeight="1" x14ac:dyDescent="0.2">
      <c r="B45" s="309" t="s">
        <v>87</v>
      </c>
      <c r="C45" s="310"/>
      <c r="D45" s="310"/>
      <c r="E45" s="310"/>
      <c r="F45" s="311"/>
      <c r="G45" s="213"/>
      <c r="H45" s="214"/>
      <c r="I45" s="164"/>
    </row>
    <row r="46" spans="2:9" x14ac:dyDescent="0.2">
      <c r="B46" s="149" t="s">
        <v>58</v>
      </c>
      <c r="C46" s="266" t="s">
        <v>88</v>
      </c>
      <c r="D46" s="275"/>
      <c r="E46" s="275"/>
      <c r="F46" s="267"/>
      <c r="G46" s="149" t="s">
        <v>2</v>
      </c>
      <c r="H46" s="149" t="s">
        <v>68</v>
      </c>
      <c r="I46" s="176"/>
    </row>
    <row r="47" spans="2:9" x14ac:dyDescent="0.2">
      <c r="B47" s="145" t="s">
        <v>5</v>
      </c>
      <c r="C47" s="147" t="s">
        <v>49</v>
      </c>
      <c r="D47" s="279" t="s">
        <v>153</v>
      </c>
      <c r="E47" s="280"/>
      <c r="F47" s="281"/>
      <c r="G47" s="24">
        <v>0.2</v>
      </c>
      <c r="H47" s="25">
        <f>TRUNC((H$32+H$43)*$G47,2)</f>
        <v>716.53</v>
      </c>
      <c r="I47" s="163"/>
    </row>
    <row r="48" spans="2:9" x14ac:dyDescent="0.2">
      <c r="B48" s="145" t="s">
        <v>6</v>
      </c>
      <c r="C48" s="133" t="s">
        <v>50</v>
      </c>
      <c r="D48" s="279" t="s">
        <v>154</v>
      </c>
      <c r="E48" s="280"/>
      <c r="F48" s="281"/>
      <c r="G48" s="24">
        <v>2.5000000000000001E-2</v>
      </c>
      <c r="H48" s="25">
        <f>TRUNC((H$32+H$43)*$G48,2)</f>
        <v>89.56</v>
      </c>
      <c r="I48" s="163"/>
    </row>
    <row r="49" spans="2:9" x14ac:dyDescent="0.2">
      <c r="B49" s="295" t="s">
        <v>7</v>
      </c>
      <c r="C49" s="297" t="s">
        <v>121</v>
      </c>
      <c r="D49" s="299" t="s">
        <v>160</v>
      </c>
      <c r="E49" s="11" t="s">
        <v>122</v>
      </c>
      <c r="F49" s="11" t="s">
        <v>120</v>
      </c>
      <c r="G49" s="306">
        <f>E50*F50</f>
        <v>0.03</v>
      </c>
      <c r="H49" s="308">
        <f>TRUNC((H$32+H$43)*$G49,2)</f>
        <v>107.47</v>
      </c>
      <c r="I49" s="166"/>
    </row>
    <row r="50" spans="2:9" x14ac:dyDescent="0.2">
      <c r="B50" s="296"/>
      <c r="C50" s="298"/>
      <c r="D50" s="299"/>
      <c r="E50" s="83">
        <v>0.03</v>
      </c>
      <c r="F50" s="84">
        <v>1</v>
      </c>
      <c r="G50" s="307"/>
      <c r="H50" s="308"/>
      <c r="I50" s="166"/>
    </row>
    <row r="51" spans="2:9" x14ac:dyDescent="0.2">
      <c r="B51" s="145" t="s">
        <v>8</v>
      </c>
      <c r="C51" s="147" t="s">
        <v>48</v>
      </c>
      <c r="D51" s="279" t="s">
        <v>155</v>
      </c>
      <c r="E51" s="280"/>
      <c r="F51" s="281"/>
      <c r="G51" s="24">
        <v>1.4999999999999999E-2</v>
      </c>
      <c r="H51" s="25">
        <f>TRUNC((H$32+H$43)*$G51,2)</f>
        <v>53.73</v>
      </c>
      <c r="I51" s="163"/>
    </row>
    <row r="52" spans="2:9" x14ac:dyDescent="0.2">
      <c r="B52" s="145" t="s">
        <v>9</v>
      </c>
      <c r="C52" s="147" t="s">
        <v>51</v>
      </c>
      <c r="D52" s="279" t="s">
        <v>156</v>
      </c>
      <c r="E52" s="280"/>
      <c r="F52" s="281"/>
      <c r="G52" s="24">
        <v>0.01</v>
      </c>
      <c r="H52" s="25">
        <f>TRUNC((H$32+H$43)*$G52,2)</f>
        <v>35.82</v>
      </c>
      <c r="I52" s="163"/>
    </row>
    <row r="53" spans="2:9" x14ac:dyDescent="0.2">
      <c r="B53" s="145" t="s">
        <v>10</v>
      </c>
      <c r="C53" s="147" t="s">
        <v>52</v>
      </c>
      <c r="D53" s="279" t="s">
        <v>157</v>
      </c>
      <c r="E53" s="280"/>
      <c r="F53" s="281"/>
      <c r="G53" s="24">
        <v>6.0000000000000001E-3</v>
      </c>
      <c r="H53" s="25">
        <f>TRUNC((H$32+H$43)*$G53,2)</f>
        <v>21.49</v>
      </c>
      <c r="I53" s="163"/>
    </row>
    <row r="54" spans="2:9" x14ac:dyDescent="0.2">
      <c r="B54" s="145" t="s">
        <v>11</v>
      </c>
      <c r="C54" s="147" t="s">
        <v>53</v>
      </c>
      <c r="D54" s="279" t="s">
        <v>158</v>
      </c>
      <c r="E54" s="280"/>
      <c r="F54" s="281"/>
      <c r="G54" s="24">
        <v>2E-3</v>
      </c>
      <c r="H54" s="25">
        <f>TRUNC((H$32+H$43)*$G54,2)</f>
        <v>7.16</v>
      </c>
      <c r="I54" s="163"/>
    </row>
    <row r="55" spans="2:9" x14ac:dyDescent="0.2">
      <c r="B55" s="145" t="s">
        <v>12</v>
      </c>
      <c r="C55" s="147" t="s">
        <v>54</v>
      </c>
      <c r="D55" s="279" t="s">
        <v>159</v>
      </c>
      <c r="E55" s="280"/>
      <c r="F55" s="281"/>
      <c r="G55" s="24">
        <v>0.08</v>
      </c>
      <c r="H55" s="25">
        <f>TRUNC((H$32+H$43)*$G55,2)</f>
        <v>286.61</v>
      </c>
      <c r="I55" s="163"/>
    </row>
    <row r="56" spans="2:9" x14ac:dyDescent="0.2">
      <c r="B56" s="145" t="s">
        <v>161</v>
      </c>
      <c r="C56" s="266" t="s">
        <v>80</v>
      </c>
      <c r="D56" s="275"/>
      <c r="E56" s="275"/>
      <c r="F56" s="267"/>
      <c r="G56" s="27">
        <f>SUM(G47:G55)</f>
        <v>0.36800000000000005</v>
      </c>
      <c r="H56" s="21">
        <f>SUM(H47:H55)</f>
        <v>1318.37</v>
      </c>
      <c r="I56" s="22"/>
    </row>
    <row r="57" spans="2:9" x14ac:dyDescent="0.2">
      <c r="B57" s="312"/>
      <c r="C57" s="313"/>
      <c r="D57" s="313"/>
      <c r="E57" s="313"/>
      <c r="F57" s="313"/>
      <c r="G57" s="313"/>
      <c r="H57" s="314"/>
      <c r="I57" s="179"/>
    </row>
    <row r="58" spans="2:9" ht="12.75" customHeight="1" x14ac:dyDescent="0.2">
      <c r="B58" s="309" t="s">
        <v>56</v>
      </c>
      <c r="C58" s="310"/>
      <c r="D58" s="310"/>
      <c r="E58" s="310"/>
      <c r="F58" s="311"/>
      <c r="G58" s="213"/>
      <c r="H58" s="214"/>
      <c r="I58" s="179"/>
    </row>
    <row r="59" spans="2:9" x14ac:dyDescent="0.2">
      <c r="B59" s="149" t="s">
        <v>59</v>
      </c>
      <c r="C59" s="266" t="s">
        <v>60</v>
      </c>
      <c r="D59" s="275"/>
      <c r="E59" s="275"/>
      <c r="F59" s="275"/>
      <c r="G59" s="134"/>
      <c r="H59" s="149" t="s">
        <v>68</v>
      </c>
      <c r="I59" s="176"/>
    </row>
    <row r="60" spans="2:9" ht="12.75" customHeight="1" x14ac:dyDescent="0.2">
      <c r="B60" s="145" t="s">
        <v>5</v>
      </c>
      <c r="C60" s="147" t="s">
        <v>66</v>
      </c>
      <c r="D60" s="236" t="s">
        <v>164</v>
      </c>
      <c r="E60" s="237"/>
      <c r="F60" s="237"/>
      <c r="G60" s="238"/>
      <c r="H60" s="85">
        <f>TRUNC((8.55*2*22)-(H$25*6%),2)</f>
        <v>196.23</v>
      </c>
      <c r="I60" s="180"/>
    </row>
    <row r="61" spans="2:9" ht="12.75" customHeight="1" x14ac:dyDescent="0.2">
      <c r="B61" s="145" t="s">
        <v>6</v>
      </c>
      <c r="C61" s="147" t="s">
        <v>67</v>
      </c>
      <c r="D61" s="236" t="s">
        <v>165</v>
      </c>
      <c r="E61" s="237"/>
      <c r="F61" s="237"/>
      <c r="G61" s="238"/>
      <c r="H61" s="85">
        <f>16.5*22</f>
        <v>363</v>
      </c>
      <c r="I61" s="180"/>
    </row>
    <row r="62" spans="2:9" x14ac:dyDescent="0.2">
      <c r="B62" s="145" t="s">
        <v>7</v>
      </c>
      <c r="C62" s="147" t="s">
        <v>243</v>
      </c>
      <c r="D62" s="270"/>
      <c r="E62" s="271"/>
      <c r="F62" s="237"/>
      <c r="G62" s="238"/>
      <c r="H62" s="85">
        <v>72.599999999999994</v>
      </c>
      <c r="I62" s="180"/>
    </row>
    <row r="63" spans="2:9" s="125" customFormat="1" x14ac:dyDescent="0.2">
      <c r="B63" s="145" t="s">
        <v>8</v>
      </c>
      <c r="C63" s="147" t="s">
        <v>241</v>
      </c>
      <c r="D63" s="236"/>
      <c r="E63" s="237"/>
      <c r="F63" s="237"/>
      <c r="G63" s="238"/>
      <c r="H63" s="85"/>
      <c r="I63" s="180"/>
    </row>
    <row r="64" spans="2:9" x14ac:dyDescent="0.2">
      <c r="B64" s="145" t="s">
        <v>162</v>
      </c>
      <c r="C64" s="266" t="s">
        <v>80</v>
      </c>
      <c r="D64" s="275"/>
      <c r="E64" s="275"/>
      <c r="F64" s="275"/>
      <c r="G64" s="134"/>
      <c r="H64" s="21">
        <f>SUM(H60:H63)</f>
        <v>631.83000000000004</v>
      </c>
      <c r="I64" s="22"/>
    </row>
    <row r="65" spans="2:9" x14ac:dyDescent="0.2">
      <c r="B65" s="303"/>
      <c r="C65" s="304"/>
      <c r="D65" s="304"/>
      <c r="E65" s="304"/>
      <c r="F65" s="304"/>
      <c r="G65" s="304"/>
      <c r="H65" s="305"/>
      <c r="I65" s="155"/>
    </row>
    <row r="66" spans="2:9" x14ac:dyDescent="0.2">
      <c r="B66" s="316" t="s">
        <v>90</v>
      </c>
      <c r="C66" s="317"/>
      <c r="D66" s="317"/>
      <c r="E66" s="317"/>
      <c r="F66" s="317"/>
      <c r="G66" s="217"/>
      <c r="H66" s="217"/>
      <c r="I66" s="155"/>
    </row>
    <row r="67" spans="2:9" x14ac:dyDescent="0.2">
      <c r="B67" s="149">
        <v>2</v>
      </c>
      <c r="C67" s="266" t="s">
        <v>89</v>
      </c>
      <c r="D67" s="275"/>
      <c r="E67" s="275"/>
      <c r="F67" s="275"/>
      <c r="G67" s="134"/>
      <c r="H67" s="149" t="s">
        <v>68</v>
      </c>
      <c r="I67" s="176"/>
    </row>
    <row r="68" spans="2:9" x14ac:dyDescent="0.2">
      <c r="B68" s="145" t="s">
        <v>57</v>
      </c>
      <c r="C68" s="135" t="s">
        <v>46</v>
      </c>
      <c r="D68" s="236" t="s">
        <v>151</v>
      </c>
      <c r="E68" s="237"/>
      <c r="F68" s="237"/>
      <c r="G68" s="238"/>
      <c r="H68" s="25">
        <f>H43</f>
        <v>583.22</v>
      </c>
      <c r="I68" s="163"/>
    </row>
    <row r="69" spans="2:9" x14ac:dyDescent="0.2">
      <c r="B69" s="145" t="s">
        <v>58</v>
      </c>
      <c r="C69" s="135" t="s">
        <v>47</v>
      </c>
      <c r="D69" s="236" t="s">
        <v>161</v>
      </c>
      <c r="E69" s="237"/>
      <c r="F69" s="237"/>
      <c r="G69" s="238"/>
      <c r="H69" s="25">
        <f>H56</f>
        <v>1318.37</v>
      </c>
      <c r="I69" s="163"/>
    </row>
    <row r="70" spans="2:9" x14ac:dyDescent="0.2">
      <c r="B70" s="145" t="s">
        <v>59</v>
      </c>
      <c r="C70" s="135" t="s">
        <v>60</v>
      </c>
      <c r="D70" s="236" t="s">
        <v>162</v>
      </c>
      <c r="E70" s="237"/>
      <c r="F70" s="237"/>
      <c r="G70" s="238"/>
      <c r="H70" s="25">
        <f>H64</f>
        <v>631.83000000000004</v>
      </c>
      <c r="I70" s="163"/>
    </row>
    <row r="71" spans="2:9" x14ac:dyDescent="0.2">
      <c r="B71" s="145" t="s">
        <v>163</v>
      </c>
      <c r="C71" s="266" t="s">
        <v>80</v>
      </c>
      <c r="D71" s="275"/>
      <c r="E71" s="275"/>
      <c r="F71" s="275"/>
      <c r="G71" s="134"/>
      <c r="H71" s="21">
        <f>SUM(H68:H70)</f>
        <v>2533.42</v>
      </c>
      <c r="I71" s="22"/>
    </row>
    <row r="72" spans="2:9" x14ac:dyDescent="0.2">
      <c r="B72" s="304"/>
      <c r="C72" s="304"/>
      <c r="D72" s="304"/>
      <c r="E72" s="304"/>
      <c r="F72" s="304"/>
      <c r="G72" s="304"/>
      <c r="H72" s="304"/>
      <c r="I72" s="176"/>
    </row>
    <row r="73" spans="2:9" x14ac:dyDescent="0.2">
      <c r="B73" s="153"/>
      <c r="C73" s="153"/>
      <c r="D73" s="153"/>
      <c r="E73" s="153"/>
      <c r="F73" s="153"/>
      <c r="G73" s="153"/>
      <c r="H73" s="153"/>
      <c r="I73" s="176"/>
    </row>
    <row r="74" spans="2:9" x14ac:dyDescent="0.2">
      <c r="B74" s="290" t="s">
        <v>91</v>
      </c>
      <c r="C74" s="291"/>
      <c r="D74" s="291"/>
      <c r="E74" s="291"/>
      <c r="F74" s="315"/>
      <c r="G74" s="209"/>
      <c r="H74" s="210"/>
      <c r="I74" s="176"/>
    </row>
    <row r="75" spans="2:9" x14ac:dyDescent="0.2">
      <c r="B75" s="149">
        <v>3</v>
      </c>
      <c r="C75" s="266" t="s">
        <v>81</v>
      </c>
      <c r="D75" s="275"/>
      <c r="E75" s="275"/>
      <c r="F75" s="267"/>
      <c r="G75" s="149" t="s">
        <v>2</v>
      </c>
      <c r="H75" s="149" t="s">
        <v>68</v>
      </c>
      <c r="I75" s="176"/>
    </row>
    <row r="76" spans="2:9" x14ac:dyDescent="0.2">
      <c r="B76" s="145" t="s">
        <v>5</v>
      </c>
      <c r="C76" s="136" t="s">
        <v>115</v>
      </c>
      <c r="D76" s="236" t="s">
        <v>180</v>
      </c>
      <c r="E76" s="237"/>
      <c r="F76" s="238"/>
      <c r="G76" s="86">
        <v>1</v>
      </c>
      <c r="H76" s="28">
        <f>TRUNC((H$77+H$78)*$G76,2)</f>
        <v>473.37</v>
      </c>
      <c r="I76" s="22"/>
    </row>
    <row r="77" spans="2:9" x14ac:dyDescent="0.2">
      <c r="B77" s="145" t="s">
        <v>6</v>
      </c>
      <c r="C77" s="147" t="s">
        <v>116</v>
      </c>
      <c r="D77" s="236" t="s">
        <v>201</v>
      </c>
      <c r="E77" s="237"/>
      <c r="F77" s="238"/>
      <c r="G77" s="29"/>
      <c r="H77" s="25">
        <f>TRUNC((H$32+H$43+H$55+H$64-H60)/12,2)</f>
        <v>358.73</v>
      </c>
      <c r="I77" s="163"/>
    </row>
    <row r="78" spans="2:9" x14ac:dyDescent="0.2">
      <c r="B78" s="145" t="s">
        <v>7</v>
      </c>
      <c r="C78" s="147" t="s">
        <v>117</v>
      </c>
      <c r="D78" s="279" t="s">
        <v>192</v>
      </c>
      <c r="E78" s="281"/>
      <c r="F78" s="88">
        <v>0.4</v>
      </c>
      <c r="G78" s="29"/>
      <c r="H78" s="25">
        <f>TRUNC(H$55*$F78,2)</f>
        <v>114.64</v>
      </c>
      <c r="I78" s="163"/>
    </row>
    <row r="79" spans="2:9" x14ac:dyDescent="0.2">
      <c r="B79" s="145" t="s">
        <v>8</v>
      </c>
      <c r="C79" s="136" t="s">
        <v>118</v>
      </c>
      <c r="D79" s="236" t="s">
        <v>181</v>
      </c>
      <c r="E79" s="237"/>
      <c r="F79" s="238"/>
      <c r="G79" s="86">
        <v>1</v>
      </c>
      <c r="H79" s="139">
        <f>IF($G79&gt;=1,(TRUNC(H$80*$G79,2)),"ERRO")</f>
        <v>114.64</v>
      </c>
      <c r="I79" s="165"/>
    </row>
    <row r="80" spans="2:9" x14ac:dyDescent="0.2">
      <c r="B80" s="145" t="s">
        <v>9</v>
      </c>
      <c r="C80" s="147" t="s">
        <v>119</v>
      </c>
      <c r="D80" s="279" t="s">
        <v>192</v>
      </c>
      <c r="E80" s="281"/>
      <c r="F80" s="88">
        <v>0.4</v>
      </c>
      <c r="G80" s="29"/>
      <c r="H80" s="25">
        <f>TRUNC(H$55*$F80,2)</f>
        <v>114.64</v>
      </c>
      <c r="I80" s="163"/>
    </row>
    <row r="81" spans="2:9" x14ac:dyDescent="0.2">
      <c r="B81" s="145" t="s">
        <v>10</v>
      </c>
      <c r="C81" s="136" t="s">
        <v>198</v>
      </c>
      <c r="D81" s="318" t="s">
        <v>193</v>
      </c>
      <c r="E81" s="319"/>
      <c r="F81" s="87">
        <v>12</v>
      </c>
      <c r="G81" s="87">
        <v>3</v>
      </c>
      <c r="H81" s="25">
        <f>TRUNC(((H$32+H$43+H$56)/30)*$G81/$F81,2)</f>
        <v>40.840000000000003</v>
      </c>
      <c r="I81" s="163"/>
    </row>
    <row r="82" spans="2:9" x14ac:dyDescent="0.2">
      <c r="B82" s="145" t="s">
        <v>167</v>
      </c>
      <c r="C82" s="266" t="s">
        <v>80</v>
      </c>
      <c r="D82" s="275"/>
      <c r="E82" s="275"/>
      <c r="F82" s="275"/>
      <c r="G82" s="134"/>
      <c r="H82" s="21">
        <f>H$76+H$79+H$81</f>
        <v>628.85</v>
      </c>
      <c r="I82" s="22"/>
    </row>
    <row r="83" spans="2:9" x14ac:dyDescent="0.2">
      <c r="B83" s="150"/>
      <c r="C83" s="150"/>
      <c r="D83" s="150"/>
      <c r="E83" s="150"/>
      <c r="F83" s="150"/>
      <c r="G83" s="150"/>
      <c r="H83" s="150"/>
      <c r="I83" s="156"/>
    </row>
    <row r="84" spans="2:9" x14ac:dyDescent="0.2">
      <c r="B84" s="153"/>
      <c r="C84" s="153"/>
      <c r="D84" s="153"/>
      <c r="E84" s="153"/>
      <c r="F84" s="153"/>
      <c r="G84" s="153"/>
      <c r="H84" s="153"/>
      <c r="I84" s="176"/>
    </row>
    <row r="85" spans="2:9" x14ac:dyDescent="0.2">
      <c r="B85" s="290" t="s">
        <v>92</v>
      </c>
      <c r="C85" s="291"/>
      <c r="D85" s="291"/>
      <c r="E85" s="291"/>
      <c r="F85" s="315"/>
      <c r="G85" s="209"/>
      <c r="H85" s="210"/>
      <c r="I85" s="176"/>
    </row>
    <row r="86" spans="2:9" x14ac:dyDescent="0.2">
      <c r="B86" s="320" t="s">
        <v>109</v>
      </c>
      <c r="C86" s="321"/>
      <c r="D86" s="321"/>
      <c r="E86" s="321"/>
      <c r="F86" s="321"/>
      <c r="G86" s="218"/>
      <c r="H86" s="219"/>
      <c r="I86" s="176"/>
    </row>
    <row r="87" spans="2:9" x14ac:dyDescent="0.2">
      <c r="B87" s="149" t="s">
        <v>17</v>
      </c>
      <c r="C87" s="266" t="s">
        <v>110</v>
      </c>
      <c r="D87" s="275"/>
      <c r="E87" s="275"/>
      <c r="F87" s="267"/>
      <c r="G87" s="149" t="s">
        <v>123</v>
      </c>
      <c r="H87" s="149" t="s">
        <v>68</v>
      </c>
      <c r="I87" s="176"/>
    </row>
    <row r="88" spans="2:9" x14ac:dyDescent="0.2">
      <c r="B88" s="145" t="s">
        <v>5</v>
      </c>
      <c r="C88" s="147" t="s">
        <v>129</v>
      </c>
      <c r="D88" s="236" t="s">
        <v>173</v>
      </c>
      <c r="E88" s="237"/>
      <c r="F88" s="238"/>
      <c r="G88" s="87">
        <v>30</v>
      </c>
      <c r="H88" s="25">
        <f>TRUNC((H$90*$G88)/12,2)</f>
        <v>513.47</v>
      </c>
      <c r="I88" s="163"/>
    </row>
    <row r="89" spans="2:9" ht="22.5" x14ac:dyDescent="0.2">
      <c r="B89" s="145" t="s">
        <v>6</v>
      </c>
      <c r="C89" s="137" t="s">
        <v>179</v>
      </c>
      <c r="D89" s="239" t="s">
        <v>182</v>
      </c>
      <c r="E89" s="240"/>
      <c r="F89" s="241"/>
      <c r="G89" s="111">
        <v>8</v>
      </c>
      <c r="H89" s="25">
        <f>TRUNC((H$90*$G89)/12,2)</f>
        <v>136.91999999999999</v>
      </c>
      <c r="I89" s="163"/>
    </row>
    <row r="90" spans="2:9" x14ac:dyDescent="0.2">
      <c r="B90" s="145" t="s">
        <v>7</v>
      </c>
      <c r="C90" s="147" t="s">
        <v>131</v>
      </c>
      <c r="D90" s="236" t="s">
        <v>166</v>
      </c>
      <c r="E90" s="237"/>
      <c r="F90" s="237"/>
      <c r="G90" s="238"/>
      <c r="H90" s="25">
        <f>TRUNC((H$32+H$71+H$82)/30,2)</f>
        <v>205.39</v>
      </c>
      <c r="I90" s="163"/>
    </row>
    <row r="91" spans="2:9" x14ac:dyDescent="0.2">
      <c r="B91" s="145" t="s">
        <v>168</v>
      </c>
      <c r="C91" s="266" t="s">
        <v>80</v>
      </c>
      <c r="D91" s="275"/>
      <c r="E91" s="275"/>
      <c r="F91" s="275"/>
      <c r="G91" s="134"/>
      <c r="H91" s="21">
        <f>TRUNC(H$88+H$89,2)</f>
        <v>650.39</v>
      </c>
      <c r="I91" s="22"/>
    </row>
    <row r="92" spans="2:9" x14ac:dyDescent="0.2">
      <c r="B92" s="126"/>
      <c r="C92" s="127"/>
      <c r="D92" s="127"/>
      <c r="E92" s="127"/>
      <c r="F92" s="127"/>
      <c r="G92" s="127"/>
      <c r="H92" s="128"/>
      <c r="I92" s="30"/>
    </row>
    <row r="93" spans="2:9" x14ac:dyDescent="0.2">
      <c r="B93" s="316" t="s">
        <v>111</v>
      </c>
      <c r="C93" s="317"/>
      <c r="D93" s="317"/>
      <c r="E93" s="317"/>
      <c r="F93" s="317"/>
      <c r="G93" s="220"/>
      <c r="H93" s="221"/>
      <c r="I93" s="176"/>
    </row>
    <row r="94" spans="2:9" x14ac:dyDescent="0.2">
      <c r="B94" s="149" t="s">
        <v>18</v>
      </c>
      <c r="C94" s="266" t="s">
        <v>112</v>
      </c>
      <c r="D94" s="275"/>
      <c r="E94" s="275"/>
      <c r="F94" s="267"/>
      <c r="G94" s="149" t="s">
        <v>123</v>
      </c>
      <c r="H94" s="149" t="s">
        <v>68</v>
      </c>
      <c r="I94" s="176"/>
    </row>
    <row r="95" spans="2:9" ht="22.5" x14ac:dyDescent="0.2">
      <c r="B95" s="145" t="s">
        <v>5</v>
      </c>
      <c r="C95" s="137" t="s">
        <v>113</v>
      </c>
      <c r="D95" s="236" t="s">
        <v>203</v>
      </c>
      <c r="E95" s="237"/>
      <c r="F95" s="237"/>
      <c r="G95" s="87"/>
      <c r="H95" s="25">
        <f>TRUNC(((H$32+H71+H82)/220)*(1+50%)*G95,2)</f>
        <v>0</v>
      </c>
      <c r="I95" s="163"/>
    </row>
    <row r="96" spans="2:9" x14ac:dyDescent="0.2">
      <c r="B96" s="145" t="s">
        <v>169</v>
      </c>
      <c r="C96" s="266" t="s">
        <v>80</v>
      </c>
      <c r="D96" s="275"/>
      <c r="E96" s="275"/>
      <c r="F96" s="275"/>
      <c r="G96" s="196"/>
      <c r="H96" s="21">
        <f>H95</f>
        <v>0</v>
      </c>
      <c r="I96" s="163"/>
    </row>
    <row r="97" spans="2:9" x14ac:dyDescent="0.2">
      <c r="B97" s="152"/>
      <c r="C97" s="151"/>
      <c r="D97" s="151"/>
      <c r="E97" s="151"/>
      <c r="F97" s="151"/>
      <c r="G97" s="197"/>
      <c r="H97" s="235"/>
      <c r="I97" s="185"/>
    </row>
    <row r="98" spans="2:9" x14ac:dyDescent="0.2">
      <c r="B98" s="316" t="s">
        <v>93</v>
      </c>
      <c r="C98" s="317"/>
      <c r="D98" s="317"/>
      <c r="E98" s="317"/>
      <c r="F98" s="317"/>
      <c r="G98" s="220"/>
      <c r="H98" s="221"/>
      <c r="I98" s="176"/>
    </row>
    <row r="99" spans="2:9" x14ac:dyDescent="0.2">
      <c r="B99" s="149">
        <v>4</v>
      </c>
      <c r="C99" s="266" t="s">
        <v>94</v>
      </c>
      <c r="D99" s="275"/>
      <c r="E99" s="275"/>
      <c r="F99" s="275"/>
      <c r="G99" s="267"/>
      <c r="H99" s="149" t="s">
        <v>68</v>
      </c>
      <c r="I99" s="176"/>
    </row>
    <row r="100" spans="2:9" x14ac:dyDescent="0.2">
      <c r="B100" s="145" t="s">
        <v>17</v>
      </c>
      <c r="C100" s="147" t="s">
        <v>61</v>
      </c>
      <c r="D100" s="236" t="s">
        <v>168</v>
      </c>
      <c r="E100" s="237"/>
      <c r="F100" s="237"/>
      <c r="G100" s="238"/>
      <c r="H100" s="25">
        <f>H91</f>
        <v>650.39</v>
      </c>
      <c r="I100" s="163"/>
    </row>
    <row r="101" spans="2:9" x14ac:dyDescent="0.2">
      <c r="B101" s="145" t="s">
        <v>18</v>
      </c>
      <c r="C101" s="147" t="s">
        <v>63</v>
      </c>
      <c r="D101" s="236" t="s">
        <v>169</v>
      </c>
      <c r="E101" s="237"/>
      <c r="F101" s="237"/>
      <c r="G101" s="238"/>
      <c r="H101" s="25">
        <f>H96</f>
        <v>0</v>
      </c>
      <c r="I101" s="163"/>
    </row>
    <row r="102" spans="2:9" x14ac:dyDescent="0.2">
      <c r="B102" s="145" t="s">
        <v>170</v>
      </c>
      <c r="C102" s="266" t="s">
        <v>80</v>
      </c>
      <c r="D102" s="275"/>
      <c r="E102" s="275"/>
      <c r="F102" s="275"/>
      <c r="G102" s="134"/>
      <c r="H102" s="21">
        <f>SUM(H100:H101)</f>
        <v>650.39</v>
      </c>
      <c r="I102" s="22"/>
    </row>
    <row r="103" spans="2:9" x14ac:dyDescent="0.2">
      <c r="B103" s="153"/>
      <c r="C103" s="153"/>
      <c r="D103" s="153"/>
      <c r="E103" s="153"/>
      <c r="F103" s="153"/>
      <c r="G103" s="153"/>
      <c r="H103" s="153"/>
      <c r="I103" s="176"/>
    </row>
    <row r="104" spans="2:9" x14ac:dyDescent="0.2">
      <c r="B104" s="153"/>
      <c r="C104" s="153"/>
      <c r="D104" s="153"/>
      <c r="E104" s="153"/>
      <c r="F104" s="153"/>
      <c r="G104" s="153"/>
      <c r="H104" s="153"/>
      <c r="I104" s="176"/>
    </row>
    <row r="105" spans="2:9" x14ac:dyDescent="0.2">
      <c r="B105" s="290" t="s">
        <v>95</v>
      </c>
      <c r="C105" s="291"/>
      <c r="D105" s="291"/>
      <c r="E105" s="291"/>
      <c r="F105" s="315"/>
      <c r="G105" s="209"/>
      <c r="H105" s="210"/>
      <c r="I105" s="176"/>
    </row>
    <row r="106" spans="2:9" x14ac:dyDescent="0.2">
      <c r="B106" s="149">
        <v>5</v>
      </c>
      <c r="C106" s="322" t="s">
        <v>82</v>
      </c>
      <c r="D106" s="323"/>
      <c r="E106" s="323"/>
      <c r="F106" s="323"/>
      <c r="G106" s="324"/>
      <c r="H106" s="149" t="s">
        <v>68</v>
      </c>
      <c r="I106" s="176"/>
    </row>
    <row r="107" spans="2:9" x14ac:dyDescent="0.2">
      <c r="B107" s="145" t="s">
        <v>5</v>
      </c>
      <c r="C107" s="120" t="s">
        <v>64</v>
      </c>
      <c r="D107" s="121"/>
      <c r="E107" s="121"/>
      <c r="F107" s="121"/>
      <c r="G107" s="122"/>
      <c r="H107" s="123"/>
      <c r="I107" s="163"/>
    </row>
    <row r="108" spans="2:9" x14ac:dyDescent="0.2">
      <c r="B108" s="145" t="s">
        <v>6</v>
      </c>
      <c r="C108" s="120" t="s">
        <v>13</v>
      </c>
      <c r="D108" s="121"/>
      <c r="E108" s="121"/>
      <c r="F108" s="121"/>
      <c r="G108" s="122"/>
      <c r="H108" s="123"/>
      <c r="I108" s="163"/>
    </row>
    <row r="109" spans="2:9" x14ac:dyDescent="0.2">
      <c r="B109" s="145" t="s">
        <v>7</v>
      </c>
      <c r="C109" s="120" t="s">
        <v>14</v>
      </c>
      <c r="D109" s="121"/>
      <c r="E109" s="121"/>
      <c r="F109" s="121"/>
      <c r="G109" s="122"/>
      <c r="H109" s="123">
        <f>Insumos!H12</f>
        <v>29.269999999999996</v>
      </c>
      <c r="I109" s="163"/>
    </row>
    <row r="110" spans="2:9" x14ac:dyDescent="0.2">
      <c r="B110" s="145" t="s">
        <v>8</v>
      </c>
      <c r="C110" s="120" t="s">
        <v>3</v>
      </c>
      <c r="D110" s="121"/>
      <c r="E110" s="121"/>
      <c r="F110" s="121"/>
      <c r="G110" s="122"/>
      <c r="H110" s="123"/>
      <c r="I110" s="163"/>
    </row>
    <row r="111" spans="2:9" x14ac:dyDescent="0.2">
      <c r="B111" s="145" t="s">
        <v>171</v>
      </c>
      <c r="C111" s="266" t="s">
        <v>80</v>
      </c>
      <c r="D111" s="275"/>
      <c r="E111" s="275"/>
      <c r="F111" s="275"/>
      <c r="G111" s="134"/>
      <c r="H111" s="21">
        <f>SUM(H107:H110)</f>
        <v>29.269999999999996</v>
      </c>
      <c r="I111" s="22"/>
    </row>
    <row r="112" spans="2:9" x14ac:dyDescent="0.2">
      <c r="B112" s="153"/>
      <c r="C112" s="153"/>
      <c r="D112" s="153"/>
      <c r="E112" s="153"/>
      <c r="F112" s="153"/>
      <c r="G112" s="129"/>
      <c r="H112" s="124"/>
      <c r="I112" s="22"/>
    </row>
    <row r="113" spans="2:9" x14ac:dyDescent="0.2">
      <c r="B113" s="153"/>
      <c r="C113" s="153"/>
      <c r="D113" s="153"/>
      <c r="E113" s="153"/>
      <c r="F113" s="153"/>
      <c r="G113" s="153"/>
      <c r="H113" s="153"/>
      <c r="I113" s="176"/>
    </row>
    <row r="114" spans="2:9" x14ac:dyDescent="0.2">
      <c r="B114" s="290" t="s">
        <v>96</v>
      </c>
      <c r="C114" s="291"/>
      <c r="D114" s="291"/>
      <c r="E114" s="291"/>
      <c r="F114" s="315"/>
      <c r="G114" s="209"/>
      <c r="H114" s="210"/>
      <c r="I114" s="176"/>
    </row>
    <row r="115" spans="2:9" x14ac:dyDescent="0.2">
      <c r="B115" s="149">
        <v>6</v>
      </c>
      <c r="C115" s="266" t="s">
        <v>83</v>
      </c>
      <c r="D115" s="275"/>
      <c r="E115" s="275"/>
      <c r="F115" s="267"/>
      <c r="G115" s="149" t="s">
        <v>2</v>
      </c>
      <c r="H115" s="149" t="s">
        <v>68</v>
      </c>
      <c r="I115" s="176"/>
    </row>
    <row r="116" spans="2:9" x14ac:dyDescent="0.2">
      <c r="B116" s="145" t="s">
        <v>5</v>
      </c>
      <c r="C116" s="147" t="s">
        <v>19</v>
      </c>
      <c r="D116" s="279" t="s">
        <v>183</v>
      </c>
      <c r="E116" s="280"/>
      <c r="F116" s="281"/>
      <c r="G116" s="99">
        <v>0.05</v>
      </c>
      <c r="H116" s="25">
        <f>TRUNC(H$133*$G116,2)</f>
        <v>342.06</v>
      </c>
      <c r="I116" s="163"/>
    </row>
    <row r="117" spans="2:9" x14ac:dyDescent="0.2">
      <c r="B117" s="145" t="s">
        <v>6</v>
      </c>
      <c r="C117" s="147" t="s">
        <v>4</v>
      </c>
      <c r="D117" s="279" t="s">
        <v>184</v>
      </c>
      <c r="E117" s="280"/>
      <c r="F117" s="281"/>
      <c r="G117" s="99">
        <v>0.1</v>
      </c>
      <c r="H117" s="25">
        <f>TRUNC((H$133+H$116)*$G117,2)</f>
        <v>718.34</v>
      </c>
      <c r="I117" s="163"/>
    </row>
    <row r="118" spans="2:9" x14ac:dyDescent="0.2">
      <c r="B118" s="145" t="s">
        <v>7</v>
      </c>
      <c r="C118" s="147" t="s">
        <v>136</v>
      </c>
      <c r="D118" s="279" t="s">
        <v>185</v>
      </c>
      <c r="E118" s="280"/>
      <c r="F118" s="281"/>
      <c r="G118" s="101">
        <f>1-(G119+G120+G121)</f>
        <v>0.85749999999999993</v>
      </c>
      <c r="H118" s="31">
        <f>TRUNC(((H$133+H$116+H$117)/$G118),2)</f>
        <v>9214.8799999999992</v>
      </c>
      <c r="I118" s="166"/>
    </row>
    <row r="119" spans="2:9" x14ac:dyDescent="0.2">
      <c r="B119" s="145" t="s">
        <v>40</v>
      </c>
      <c r="C119" s="147" t="s">
        <v>37</v>
      </c>
      <c r="D119" s="279" t="s">
        <v>186</v>
      </c>
      <c r="E119" s="280"/>
      <c r="F119" s="281"/>
      <c r="G119" s="100">
        <v>1.6500000000000001E-2</v>
      </c>
      <c r="H119" s="25">
        <f>TRUNC(H$118*$G119,2)</f>
        <v>152.04</v>
      </c>
      <c r="I119" s="163"/>
    </row>
    <row r="120" spans="2:9" x14ac:dyDescent="0.2">
      <c r="B120" s="145" t="s">
        <v>41</v>
      </c>
      <c r="C120" s="147" t="s">
        <v>38</v>
      </c>
      <c r="D120" s="279" t="s">
        <v>186</v>
      </c>
      <c r="E120" s="280"/>
      <c r="F120" s="281"/>
      <c r="G120" s="100">
        <v>7.5999999999999998E-2</v>
      </c>
      <c r="H120" s="25">
        <f>TRUNC(H$118*$G120,2)</f>
        <v>700.33</v>
      </c>
      <c r="I120" s="163"/>
    </row>
    <row r="121" spans="2:9" x14ac:dyDescent="0.2">
      <c r="B121" s="145" t="s">
        <v>42</v>
      </c>
      <c r="C121" s="147" t="s">
        <v>39</v>
      </c>
      <c r="D121" s="279" t="s">
        <v>186</v>
      </c>
      <c r="E121" s="280"/>
      <c r="F121" s="281"/>
      <c r="G121" s="100">
        <v>0.05</v>
      </c>
      <c r="H121" s="25">
        <f>TRUNC(H$118*$G121,2)</f>
        <v>460.74</v>
      </c>
      <c r="I121" s="163"/>
    </row>
    <row r="122" spans="2:9" x14ac:dyDescent="0.2">
      <c r="B122" s="145" t="s">
        <v>172</v>
      </c>
      <c r="C122" s="141" t="s">
        <v>80</v>
      </c>
      <c r="D122" s="328" t="s">
        <v>174</v>
      </c>
      <c r="E122" s="328"/>
      <c r="F122" s="328"/>
      <c r="G122" s="234"/>
      <c r="H122" s="21">
        <f>SUM(H116:H121)-H118</f>
        <v>2373.5100000000002</v>
      </c>
      <c r="I122" s="22"/>
    </row>
    <row r="123" spans="2:9" x14ac:dyDescent="0.2">
      <c r="B123" s="118"/>
      <c r="C123" s="118"/>
      <c r="D123" s="118"/>
      <c r="E123" s="118"/>
      <c r="F123" s="118"/>
      <c r="G123" s="118"/>
      <c r="H123" s="130"/>
      <c r="I123" s="32"/>
    </row>
    <row r="124" spans="2:9" x14ac:dyDescent="0.2">
      <c r="B124" s="325" t="s">
        <v>214</v>
      </c>
      <c r="C124" s="325"/>
      <c r="D124" s="325"/>
      <c r="E124" s="325"/>
      <c r="F124" s="325"/>
      <c r="G124" s="325"/>
      <c r="H124" s="325"/>
      <c r="I124" s="177"/>
    </row>
    <row r="125" spans="2:9" x14ac:dyDescent="0.2">
      <c r="B125" s="146"/>
      <c r="C125" s="146"/>
      <c r="D125" s="146"/>
      <c r="E125" s="146"/>
      <c r="F125" s="146"/>
      <c r="G125" s="146"/>
      <c r="H125" s="146"/>
      <c r="I125" s="177"/>
    </row>
    <row r="126" spans="2:9" x14ac:dyDescent="0.2">
      <c r="B126" s="290" t="s">
        <v>215</v>
      </c>
      <c r="C126" s="291"/>
      <c r="D126" s="291"/>
      <c r="E126" s="291"/>
      <c r="F126" s="291"/>
      <c r="G126" s="228"/>
      <c r="H126" s="210"/>
      <c r="I126" s="176"/>
    </row>
    <row r="127" spans="2:9" ht="12.75" customHeight="1" x14ac:dyDescent="0.2">
      <c r="B127" s="226"/>
      <c r="C127" s="326" t="s">
        <v>137</v>
      </c>
      <c r="D127" s="327"/>
      <c r="E127" s="327"/>
      <c r="F127" s="327"/>
      <c r="G127" s="227"/>
      <c r="H127" s="208" t="s">
        <v>68</v>
      </c>
      <c r="I127" s="176"/>
    </row>
    <row r="128" spans="2:9" x14ac:dyDescent="0.2">
      <c r="B128" s="145" t="s">
        <v>5</v>
      </c>
      <c r="C128" s="137" t="s">
        <v>98</v>
      </c>
      <c r="D128" s="236" t="s">
        <v>149</v>
      </c>
      <c r="E128" s="237"/>
      <c r="F128" s="237"/>
      <c r="G128" s="238"/>
      <c r="H128" s="25">
        <f>H32</f>
        <v>2999.43</v>
      </c>
      <c r="I128" s="163"/>
    </row>
    <row r="129" spans="2:9" ht="22.5" x14ac:dyDescent="0.2">
      <c r="B129" s="145" t="s">
        <v>6</v>
      </c>
      <c r="C129" s="137" t="s">
        <v>99</v>
      </c>
      <c r="D129" s="236" t="s">
        <v>163</v>
      </c>
      <c r="E129" s="237"/>
      <c r="F129" s="237"/>
      <c r="G129" s="238"/>
      <c r="H129" s="25">
        <f>H71</f>
        <v>2533.42</v>
      </c>
      <c r="I129" s="163"/>
    </row>
    <row r="130" spans="2:9" x14ac:dyDescent="0.2">
      <c r="B130" s="145" t="s">
        <v>7</v>
      </c>
      <c r="C130" s="137" t="s">
        <v>100</v>
      </c>
      <c r="D130" s="236" t="s">
        <v>167</v>
      </c>
      <c r="E130" s="237"/>
      <c r="F130" s="237"/>
      <c r="G130" s="238"/>
      <c r="H130" s="25">
        <f>H82</f>
        <v>628.85</v>
      </c>
      <c r="I130" s="163"/>
    </row>
    <row r="131" spans="2:9" ht="22.5" x14ac:dyDescent="0.2">
      <c r="B131" s="145" t="s">
        <v>8</v>
      </c>
      <c r="C131" s="137" t="s">
        <v>62</v>
      </c>
      <c r="D131" s="236" t="s">
        <v>170</v>
      </c>
      <c r="E131" s="237"/>
      <c r="F131" s="237"/>
      <c r="G131" s="238"/>
      <c r="H131" s="25">
        <f>H102</f>
        <v>650.39</v>
      </c>
      <c r="I131" s="163"/>
    </row>
    <row r="132" spans="2:9" x14ac:dyDescent="0.2">
      <c r="B132" s="145" t="s">
        <v>9</v>
      </c>
      <c r="C132" s="137" t="s">
        <v>101</v>
      </c>
      <c r="D132" s="236" t="s">
        <v>171</v>
      </c>
      <c r="E132" s="237"/>
      <c r="F132" s="237"/>
      <c r="G132" s="238"/>
      <c r="H132" s="25">
        <f>H111</f>
        <v>29.269999999999996</v>
      </c>
      <c r="I132" s="163"/>
    </row>
    <row r="133" spans="2:9" x14ac:dyDescent="0.2">
      <c r="B133" s="144" t="s">
        <v>10</v>
      </c>
      <c r="C133" s="136" t="s">
        <v>65</v>
      </c>
      <c r="D133" s="242" t="s">
        <v>190</v>
      </c>
      <c r="E133" s="243"/>
      <c r="F133" s="243"/>
      <c r="G133" s="244"/>
      <c r="H133" s="28">
        <f>SUM(H128:H132)</f>
        <v>6841.3600000000015</v>
      </c>
      <c r="I133" s="22"/>
    </row>
    <row r="134" spans="2:9" x14ac:dyDescent="0.2">
      <c r="B134" s="145" t="s">
        <v>11</v>
      </c>
      <c r="C134" s="147" t="s">
        <v>102</v>
      </c>
      <c r="D134" s="236" t="s">
        <v>172</v>
      </c>
      <c r="E134" s="237"/>
      <c r="F134" s="237"/>
      <c r="G134" s="238"/>
      <c r="H134" s="25">
        <f>H122</f>
        <v>2373.5100000000002</v>
      </c>
      <c r="I134" s="163"/>
    </row>
    <row r="135" spans="2:9" x14ac:dyDescent="0.2">
      <c r="B135" s="145" t="s">
        <v>175</v>
      </c>
      <c r="C135" s="140" t="s">
        <v>97</v>
      </c>
      <c r="D135" s="245" t="s">
        <v>189</v>
      </c>
      <c r="E135" s="233"/>
      <c r="F135" s="233"/>
      <c r="G135" s="234"/>
      <c r="H135" s="34">
        <f>SUM(H133:H134)</f>
        <v>9214.8700000000026</v>
      </c>
      <c r="I135" s="181"/>
    </row>
    <row r="136" spans="2:9" ht="12.75" hidden="1" customHeight="1" x14ac:dyDescent="0.2">
      <c r="B136" s="15"/>
      <c r="C136" s="15"/>
      <c r="D136" s="15"/>
      <c r="E136" s="15"/>
      <c r="F136" s="15"/>
      <c r="G136" s="15"/>
      <c r="H136" s="35"/>
      <c r="I136" s="182"/>
    </row>
    <row r="137" spans="2:9" ht="40.5" hidden="1" customHeight="1" x14ac:dyDescent="0.2">
      <c r="B137" s="36"/>
      <c r="C137" s="36" t="s">
        <v>20</v>
      </c>
      <c r="D137" s="36"/>
      <c r="E137" s="36"/>
      <c r="F137" s="36"/>
      <c r="G137" s="37"/>
      <c r="H137" s="37"/>
      <c r="I137" s="183"/>
    </row>
    <row r="138" spans="2:9" ht="39" hidden="1" customHeight="1" x14ac:dyDescent="0.2">
      <c r="B138" s="329" t="s">
        <v>22</v>
      </c>
      <c r="C138" s="330"/>
      <c r="D138" s="143"/>
      <c r="E138" s="143"/>
      <c r="F138" s="143"/>
      <c r="G138" s="38" t="s">
        <v>21</v>
      </c>
      <c r="H138" s="39" t="s">
        <v>0</v>
      </c>
      <c r="I138" s="183"/>
    </row>
    <row r="139" spans="2:9" ht="12.75" hidden="1" customHeight="1" x14ac:dyDescent="0.2">
      <c r="B139" s="331" t="s">
        <v>23</v>
      </c>
      <c r="C139" s="332"/>
      <c r="D139" s="40"/>
      <c r="E139" s="40"/>
      <c r="F139" s="40"/>
      <c r="G139" s="41"/>
      <c r="H139" s="42">
        <v>0</v>
      </c>
      <c r="I139" s="167"/>
    </row>
    <row r="140" spans="2:9" ht="12.75" hidden="1" customHeight="1" x14ac:dyDescent="0.2">
      <c r="B140" s="333" t="s">
        <v>24</v>
      </c>
      <c r="C140" s="334"/>
      <c r="D140" s="43"/>
      <c r="E140" s="43"/>
      <c r="F140" s="43"/>
      <c r="G140" s="44"/>
      <c r="H140" s="45">
        <v>0</v>
      </c>
      <c r="I140" s="167"/>
    </row>
    <row r="141" spans="2:9" ht="12.75" hidden="1" customHeight="1" x14ac:dyDescent="0.2">
      <c r="B141" s="333" t="s">
        <v>25</v>
      </c>
      <c r="C141" s="334"/>
      <c r="D141" s="43"/>
      <c r="E141" s="43"/>
      <c r="F141" s="43"/>
      <c r="G141" s="44"/>
      <c r="H141" s="45">
        <v>0</v>
      </c>
      <c r="I141" s="167"/>
    </row>
    <row r="142" spans="2:9" ht="12.75" hidden="1" customHeight="1" x14ac:dyDescent="0.2">
      <c r="B142" s="333" t="s">
        <v>26</v>
      </c>
      <c r="C142" s="334"/>
      <c r="D142" s="43"/>
      <c r="E142" s="43"/>
      <c r="F142" s="43"/>
      <c r="G142" s="44"/>
      <c r="H142" s="45">
        <v>0</v>
      </c>
      <c r="I142" s="167"/>
    </row>
    <row r="143" spans="2:9" ht="12.75" hidden="1" customHeight="1" x14ac:dyDescent="0.2">
      <c r="B143" s="338"/>
      <c r="C143" s="339"/>
      <c r="D143" s="46"/>
      <c r="E143" s="46"/>
      <c r="F143" s="46"/>
      <c r="G143" s="47"/>
      <c r="H143" s="45"/>
      <c r="I143" s="167"/>
    </row>
    <row r="144" spans="2:9" ht="13.5" hidden="1" customHeight="1" x14ac:dyDescent="0.2">
      <c r="B144" s="340"/>
      <c r="C144" s="341"/>
      <c r="D144" s="48"/>
      <c r="E144" s="48"/>
      <c r="F144" s="48"/>
      <c r="G144" s="49"/>
      <c r="H144" s="50"/>
      <c r="I144" s="167"/>
    </row>
    <row r="145" spans="2:9" ht="13.5" hidden="1" customHeight="1" x14ac:dyDescent="0.2">
      <c r="B145" s="51" t="s">
        <v>27</v>
      </c>
      <c r="C145" s="52"/>
      <c r="D145" s="52"/>
      <c r="E145" s="52"/>
      <c r="F145" s="52"/>
      <c r="G145" s="53"/>
      <c r="H145" s="54">
        <f>SUM(H143:H144)</f>
        <v>0</v>
      </c>
      <c r="I145" s="168"/>
    </row>
    <row r="146" spans="2:9" ht="12.75" hidden="1" customHeight="1" x14ac:dyDescent="0.2">
      <c r="B146" s="15"/>
      <c r="C146" s="15"/>
      <c r="D146" s="15"/>
      <c r="E146" s="15"/>
      <c r="F146" s="15"/>
      <c r="G146" s="15"/>
      <c r="H146" s="15"/>
      <c r="I146" s="16"/>
    </row>
    <row r="147" spans="2:9" ht="13.5" hidden="1" customHeight="1" x14ac:dyDescent="0.2">
      <c r="B147" s="36" t="s">
        <v>28</v>
      </c>
      <c r="C147" s="36" t="s">
        <v>29</v>
      </c>
      <c r="D147" s="36"/>
      <c r="E147" s="36"/>
      <c r="F147" s="36"/>
      <c r="G147" s="37"/>
      <c r="H147" s="37"/>
      <c r="I147" s="183"/>
    </row>
    <row r="148" spans="2:9" ht="13.5" hidden="1" customHeight="1" x14ac:dyDescent="0.2">
      <c r="B148" s="55" t="s">
        <v>30</v>
      </c>
      <c r="C148" s="56"/>
      <c r="D148" s="56"/>
      <c r="E148" s="56"/>
      <c r="F148" s="56"/>
      <c r="G148" s="56"/>
      <c r="H148" s="57"/>
      <c r="I148" s="183"/>
    </row>
    <row r="149" spans="2:9" ht="12.75" hidden="1" customHeight="1" x14ac:dyDescent="0.2">
      <c r="B149" s="58"/>
      <c r="C149" s="59" t="s">
        <v>31</v>
      </c>
      <c r="D149" s="60"/>
      <c r="E149" s="60"/>
      <c r="F149" s="60"/>
      <c r="G149" s="61"/>
      <c r="H149" s="39" t="s">
        <v>0</v>
      </c>
      <c r="I149" s="183"/>
    </row>
    <row r="150" spans="2:9" ht="12.75" hidden="1" customHeight="1" x14ac:dyDescent="0.2">
      <c r="B150" s="62" t="s">
        <v>5</v>
      </c>
      <c r="C150" s="63" t="s">
        <v>32</v>
      </c>
      <c r="D150" s="64"/>
      <c r="E150" s="64"/>
      <c r="F150" s="64"/>
      <c r="G150" s="65"/>
      <c r="H150" s="66">
        <f>H119</f>
        <v>152.04</v>
      </c>
      <c r="I150" s="167"/>
    </row>
    <row r="151" spans="2:9" ht="13.5" hidden="1" customHeight="1" x14ac:dyDescent="0.2">
      <c r="B151" s="67" t="s">
        <v>6</v>
      </c>
      <c r="C151" s="68" t="s">
        <v>33</v>
      </c>
      <c r="D151" s="69"/>
      <c r="E151" s="69"/>
      <c r="F151" s="69"/>
      <c r="G151" s="70"/>
      <c r="H151" s="71" t="e">
        <f>#REF!</f>
        <v>#REF!</v>
      </c>
      <c r="I151" s="167"/>
    </row>
    <row r="152" spans="2:9" ht="13.5" hidden="1" customHeight="1" x14ac:dyDescent="0.2">
      <c r="B152" s="67" t="s">
        <v>7</v>
      </c>
      <c r="C152" s="72" t="s">
        <v>34</v>
      </c>
      <c r="D152" s="73"/>
      <c r="E152" s="73"/>
      <c r="F152" s="73"/>
      <c r="G152" s="74"/>
      <c r="H152" s="71">
        <f>H122</f>
        <v>2373.5100000000002</v>
      </c>
      <c r="I152" s="167"/>
    </row>
    <row r="153" spans="2:9" ht="13.5" hidden="1" customHeight="1" x14ac:dyDescent="0.2">
      <c r="B153" s="75" t="s">
        <v>16</v>
      </c>
      <c r="C153" s="76"/>
      <c r="D153" s="76"/>
      <c r="E153" s="76"/>
      <c r="F153" s="76"/>
      <c r="G153" s="77"/>
      <c r="H153" s="54" t="e">
        <f>SUM(H150:H152)</f>
        <v>#REF!</v>
      </c>
      <c r="I153" s="168"/>
    </row>
    <row r="154" spans="2:9" ht="12.75" hidden="1" customHeight="1" x14ac:dyDescent="0.2">
      <c r="B154" s="78" t="s">
        <v>15</v>
      </c>
      <c r="C154" s="15" t="s">
        <v>35</v>
      </c>
      <c r="D154" s="15"/>
      <c r="E154" s="15"/>
      <c r="F154" s="15"/>
      <c r="G154" s="15"/>
      <c r="H154" s="15"/>
      <c r="I154" s="16"/>
    </row>
    <row r="155" spans="2:9" ht="12.75" hidden="1" customHeight="1" x14ac:dyDescent="0.2">
      <c r="B155" s="15"/>
      <c r="C155" s="15"/>
      <c r="D155" s="15"/>
      <c r="E155" s="15"/>
      <c r="F155" s="15"/>
      <c r="G155" s="15"/>
      <c r="H155" s="15"/>
      <c r="I155" s="16"/>
    </row>
    <row r="156" spans="2:9" x14ac:dyDescent="0.2">
      <c r="I156" s="16"/>
    </row>
    <row r="157" spans="2:9" x14ac:dyDescent="0.2">
      <c r="B157" s="342" t="s">
        <v>216</v>
      </c>
      <c r="C157" s="342"/>
      <c r="D157" s="342"/>
      <c r="E157" s="342"/>
      <c r="F157" s="342"/>
      <c r="I157" s="16"/>
    </row>
    <row r="158" spans="2:9" x14ac:dyDescent="0.2">
      <c r="B158" s="131"/>
      <c r="C158" s="131"/>
      <c r="D158" s="131"/>
      <c r="E158" s="125"/>
      <c r="F158" s="125"/>
      <c r="I158" s="16"/>
    </row>
    <row r="159" spans="2:9" x14ac:dyDescent="0.2">
      <c r="B159" s="346" t="s">
        <v>217</v>
      </c>
      <c r="C159" s="347"/>
      <c r="D159" s="347"/>
      <c r="E159" s="347"/>
      <c r="F159" s="347"/>
      <c r="G159" s="228"/>
      <c r="H159" s="210"/>
      <c r="I159" s="178"/>
    </row>
    <row r="160" spans="2:9" x14ac:dyDescent="0.2">
      <c r="B160" s="198" t="s">
        <v>5</v>
      </c>
      <c r="C160" s="229" t="s">
        <v>124</v>
      </c>
      <c r="D160" s="348" t="s">
        <v>175</v>
      </c>
      <c r="E160" s="349"/>
      <c r="F160" s="349"/>
      <c r="G160" s="230"/>
      <c r="H160" s="231">
        <f>H135</f>
        <v>9214.8700000000026</v>
      </c>
      <c r="I160" s="175"/>
    </row>
    <row r="161" spans="2:9" ht="22.5" x14ac:dyDescent="0.2">
      <c r="B161" s="145" t="s">
        <v>6</v>
      </c>
      <c r="C161" s="138" t="s">
        <v>177</v>
      </c>
      <c r="D161" s="350" t="s">
        <v>178</v>
      </c>
      <c r="E161" s="351"/>
      <c r="F161" s="351"/>
      <c r="G161" s="224"/>
      <c r="H161" s="12">
        <f>H43+H82+H100</f>
        <v>1862.46</v>
      </c>
      <c r="I161" s="169"/>
    </row>
    <row r="162" spans="2:9" ht="22.5" x14ac:dyDescent="0.2">
      <c r="B162" s="158" t="s">
        <v>7</v>
      </c>
      <c r="C162" s="173" t="s">
        <v>194</v>
      </c>
      <c r="D162" s="350" t="s">
        <v>202</v>
      </c>
      <c r="E162" s="351"/>
      <c r="F162" s="351"/>
      <c r="G162" s="225"/>
      <c r="H162" s="174">
        <f>TRUNC((H$43*$G56),2)</f>
        <v>214.62</v>
      </c>
      <c r="I162" s="175"/>
    </row>
    <row r="163" spans="2:9" ht="12.75" customHeight="1" x14ac:dyDescent="0.2">
      <c r="B163" s="145" t="s">
        <v>8</v>
      </c>
      <c r="C163" s="138" t="s">
        <v>19</v>
      </c>
      <c r="D163" s="335" t="s">
        <v>187</v>
      </c>
      <c r="E163" s="336"/>
      <c r="F163" s="337"/>
      <c r="G163" s="13">
        <f>G116</f>
        <v>0.05</v>
      </c>
      <c r="H163" s="12">
        <f>TRUNC((H$161+H$162)*$G163,2)</f>
        <v>103.85</v>
      </c>
      <c r="I163" s="169"/>
    </row>
    <row r="164" spans="2:9" ht="12.75" customHeight="1" x14ac:dyDescent="0.2">
      <c r="B164" s="145" t="s">
        <v>9</v>
      </c>
      <c r="C164" s="138" t="s">
        <v>4</v>
      </c>
      <c r="D164" s="335" t="s">
        <v>188</v>
      </c>
      <c r="E164" s="336"/>
      <c r="F164" s="337"/>
      <c r="G164" s="13">
        <f>G117</f>
        <v>0.1</v>
      </c>
      <c r="H164" s="12">
        <f>TRUNC((H$161+H$162+H$163)*$G164,2)</f>
        <v>218.09</v>
      </c>
      <c r="I164" s="169"/>
    </row>
    <row r="165" spans="2:9" ht="12.75" customHeight="1" x14ac:dyDescent="0.2">
      <c r="B165" s="145" t="s">
        <v>10</v>
      </c>
      <c r="C165" s="138" t="s">
        <v>125</v>
      </c>
      <c r="D165" s="335" t="s">
        <v>196</v>
      </c>
      <c r="E165" s="336"/>
      <c r="F165" s="337"/>
      <c r="G165" s="13">
        <f>G119+G120+G121</f>
        <v>0.14250000000000002</v>
      </c>
      <c r="H165" s="12">
        <f>TRUNC((H$161+H$162+H$163+H$164)/(1-$G165)-(H$161+H$162+H$163+H$164),2)</f>
        <v>398.67</v>
      </c>
      <c r="I165" s="169"/>
    </row>
    <row r="166" spans="2:9" ht="22.5" x14ac:dyDescent="0.2">
      <c r="B166" s="145" t="s">
        <v>11</v>
      </c>
      <c r="C166" s="199" t="s">
        <v>126</v>
      </c>
      <c r="D166" s="222" t="s">
        <v>197</v>
      </c>
      <c r="E166" s="223"/>
      <c r="F166" s="223"/>
      <c r="G166" s="224"/>
      <c r="H166" s="200">
        <f>SUM(H161:H165)</f>
        <v>2797.69</v>
      </c>
      <c r="I166" s="170"/>
    </row>
    <row r="167" spans="2:9" x14ac:dyDescent="0.2">
      <c r="B167" s="145" t="s">
        <v>176</v>
      </c>
      <c r="C167" s="142" t="s">
        <v>147</v>
      </c>
      <c r="D167" s="352" t="s">
        <v>195</v>
      </c>
      <c r="E167" s="353"/>
      <c r="F167" s="353"/>
      <c r="G167" s="232"/>
      <c r="H167" s="79">
        <f>H160-H166</f>
        <v>6417.1800000000021</v>
      </c>
      <c r="I167" s="184"/>
    </row>
    <row r="168" spans="2:9" ht="45" customHeight="1" x14ac:dyDescent="0.2">
      <c r="B168" s="343" t="s">
        <v>146</v>
      </c>
      <c r="C168" s="344"/>
      <c r="D168" s="344"/>
      <c r="E168" s="344"/>
      <c r="F168" s="344"/>
      <c r="G168" s="345"/>
      <c r="H168" s="207"/>
      <c r="I168" s="171"/>
    </row>
    <row r="169" spans="2:9" x14ac:dyDescent="0.2">
      <c r="H169" s="113"/>
    </row>
  </sheetData>
  <mergeCells count="114">
    <mergeCell ref="D165:F165"/>
    <mergeCell ref="B143:C143"/>
    <mergeCell ref="B144:C144"/>
    <mergeCell ref="B157:F157"/>
    <mergeCell ref="B168:G168"/>
    <mergeCell ref="B159:F159"/>
    <mergeCell ref="D160:F160"/>
    <mergeCell ref="D161:F161"/>
    <mergeCell ref="D162:F162"/>
    <mergeCell ref="D167:F167"/>
    <mergeCell ref="C127:F127"/>
    <mergeCell ref="D122:F122"/>
    <mergeCell ref="B138:C138"/>
    <mergeCell ref="B139:C139"/>
    <mergeCell ref="B140:C140"/>
    <mergeCell ref="B141:C141"/>
    <mergeCell ref="B142:C142"/>
    <mergeCell ref="D163:F163"/>
    <mergeCell ref="D164:F164"/>
    <mergeCell ref="D121:F121"/>
    <mergeCell ref="B124:H124"/>
    <mergeCell ref="C115:F115"/>
    <mergeCell ref="D116:F116"/>
    <mergeCell ref="D117:F117"/>
    <mergeCell ref="D118:F118"/>
    <mergeCell ref="D119:F119"/>
    <mergeCell ref="D120:F120"/>
    <mergeCell ref="B126:F126"/>
    <mergeCell ref="C91:F91"/>
    <mergeCell ref="C82:F82"/>
    <mergeCell ref="C106:G106"/>
    <mergeCell ref="C94:F94"/>
    <mergeCell ref="C99:G99"/>
    <mergeCell ref="B105:F105"/>
    <mergeCell ref="B114:F114"/>
    <mergeCell ref="B93:F93"/>
    <mergeCell ref="B98:F98"/>
    <mergeCell ref="C111:F111"/>
    <mergeCell ref="C102:F102"/>
    <mergeCell ref="C96:F96"/>
    <mergeCell ref="C64:F64"/>
    <mergeCell ref="B72:H72"/>
    <mergeCell ref="C75:F75"/>
    <mergeCell ref="B65:H65"/>
    <mergeCell ref="B74:F74"/>
    <mergeCell ref="B66:F66"/>
    <mergeCell ref="C67:F67"/>
    <mergeCell ref="C71:F71"/>
    <mergeCell ref="C87:F87"/>
    <mergeCell ref="D78:E78"/>
    <mergeCell ref="D80:E80"/>
    <mergeCell ref="D81:E81"/>
    <mergeCell ref="B85:F85"/>
    <mergeCell ref="B86:F86"/>
    <mergeCell ref="D51:F51"/>
    <mergeCell ref="D52:F52"/>
    <mergeCell ref="D53:F53"/>
    <mergeCell ref="C46:F46"/>
    <mergeCell ref="D47:F47"/>
    <mergeCell ref="D48:F48"/>
    <mergeCell ref="B58:F58"/>
    <mergeCell ref="C59:F59"/>
    <mergeCell ref="D54:F54"/>
    <mergeCell ref="D55:F55"/>
    <mergeCell ref="C56:F56"/>
    <mergeCell ref="B57:H57"/>
    <mergeCell ref="B37:F37"/>
    <mergeCell ref="B39:F39"/>
    <mergeCell ref="B38:F38"/>
    <mergeCell ref="B49:B50"/>
    <mergeCell ref="C49:C50"/>
    <mergeCell ref="D49:D50"/>
    <mergeCell ref="C40:F40"/>
    <mergeCell ref="D41:F41"/>
    <mergeCell ref="D42:F42"/>
    <mergeCell ref="C43:F43"/>
    <mergeCell ref="B44:H44"/>
    <mergeCell ref="G49:G50"/>
    <mergeCell ref="H49:H50"/>
    <mergeCell ref="B45:F45"/>
    <mergeCell ref="B13:B14"/>
    <mergeCell ref="C32:F32"/>
    <mergeCell ref="C33:F34"/>
    <mergeCell ref="D25:F25"/>
    <mergeCell ref="D26:F26"/>
    <mergeCell ref="D27:F27"/>
    <mergeCell ref="D28:F28"/>
    <mergeCell ref="D29:F29"/>
    <mergeCell ref="D30:F30"/>
    <mergeCell ref="B23:F23"/>
    <mergeCell ref="D62:E62"/>
    <mergeCell ref="B2:H2"/>
    <mergeCell ref="B3:H3"/>
    <mergeCell ref="B9:B10"/>
    <mergeCell ref="B19:B20"/>
    <mergeCell ref="C24:F24"/>
    <mergeCell ref="B15:B16"/>
    <mergeCell ref="D6:F6"/>
    <mergeCell ref="B17:B18"/>
    <mergeCell ref="D31:F31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</mergeCells>
  <dataValidations count="11">
    <dataValidation type="list" allowBlank="1" showInputMessage="1" showErrorMessage="1" sqref="G81">
      <formula1>"3,6,9,12,15"</formula1>
    </dataValidation>
    <dataValidation type="custom" allowBlank="1" showInputMessage="1" showErrorMessage="1" sqref="G118">
      <formula1>1-(G119+G120+G121)</formula1>
    </dataValidation>
    <dataValidation type="list" operator="equal" allowBlank="1" showInputMessage="1" showErrorMessage="1" errorTitle="Valor errado" error="Percentual fixo. Preencher com 40%." sqref="F78 F80">
      <formula1>"40%"</formula1>
    </dataValidation>
    <dataValidation type="whole" allowBlank="1" showInputMessage="1" showErrorMessage="1" errorTitle="Valor errado" error="Quantidade fixa de dias. Prencher com 30" sqref="G88">
      <formula1>30</formula1>
      <formula2>30</formula2>
    </dataValidation>
    <dataValidation type="list" allowBlank="1" showInputMessage="1" showErrorMessage="1" sqref="G30">
      <formula1>"0, 50%, 100%"</formula1>
    </dataValidation>
    <dataValidation type="list" allowBlank="1" showInputMessage="1" showErrorMessage="1" sqref="G119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0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>
      <formula1>"0, 20%"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7">
      <formula1>"0%, 10%, 20%, 40%"</formula1>
    </dataValidation>
    <dataValidation type="list" allowBlank="1" showInputMessage="1" showErrorMessage="1" sqref="G26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67" orientation="portrait" verticalDpi="300" r:id="rId1"/>
  <rowBreaks count="2" manualBreakCount="2">
    <brk id="72" max="11" man="1"/>
    <brk id="155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J12"/>
  <sheetViews>
    <sheetView showGridLines="0" view="pageBreakPreview" zoomScale="60" zoomScaleNormal="100" workbookViewId="0">
      <selection activeCell="B51" sqref="B51"/>
    </sheetView>
  </sheetViews>
  <sheetFormatPr defaultColWidth="9.140625" defaultRowHeight="11.25" x14ac:dyDescent="0.2"/>
  <cols>
    <col min="1" max="1" width="3.7109375" style="90" customWidth="1"/>
    <col min="2" max="2" width="25.7109375" style="90" customWidth="1"/>
    <col min="3" max="3" width="14.140625" style="90" customWidth="1"/>
    <col min="4" max="4" width="15.42578125" style="90" customWidth="1"/>
    <col min="5" max="5" width="14" style="90" customWidth="1"/>
    <col min="6" max="6" width="11.42578125" style="90" customWidth="1"/>
    <col min="7" max="7" width="13.140625" style="90" customWidth="1"/>
    <col min="8" max="10" width="15.7109375" style="90" customWidth="1"/>
    <col min="11" max="16384" width="9.140625" style="90"/>
  </cols>
  <sheetData>
    <row r="3" spans="1:10" ht="12" thickBot="1" x14ac:dyDescent="0.25"/>
    <row r="4" spans="1:10" ht="18.75" customHeight="1" thickBot="1" x14ac:dyDescent="0.25">
      <c r="A4" s="356" t="s">
        <v>133</v>
      </c>
      <c r="B4" s="357"/>
      <c r="C4" s="357"/>
      <c r="D4" s="357"/>
      <c r="E4" s="357"/>
      <c r="F4" s="357"/>
      <c r="G4" s="357"/>
      <c r="H4" s="358"/>
      <c r="I4" s="203"/>
      <c r="J4" s="203"/>
    </row>
    <row r="7" spans="1:10" s="91" customFormat="1" ht="48" customHeight="1" x14ac:dyDescent="0.2">
      <c r="A7" s="359" t="s">
        <v>103</v>
      </c>
      <c r="B7" s="360"/>
      <c r="C7" s="195" t="s">
        <v>232</v>
      </c>
      <c r="D7" s="195" t="s">
        <v>233</v>
      </c>
      <c r="E7" s="195" t="s">
        <v>139</v>
      </c>
      <c r="F7" s="195" t="s">
        <v>231</v>
      </c>
      <c r="G7" s="195" t="s">
        <v>135</v>
      </c>
      <c r="H7" s="195" t="s">
        <v>134</v>
      </c>
      <c r="I7" s="201"/>
      <c r="J7" s="201"/>
    </row>
    <row r="8" spans="1:10" ht="22.5" customHeight="1" x14ac:dyDescent="0.2">
      <c r="A8" s="6">
        <v>1</v>
      </c>
      <c r="B8" s="204" t="s">
        <v>234</v>
      </c>
      <c r="C8" s="97">
        <f>Planilha1!H4</f>
        <v>12.6</v>
      </c>
      <c r="D8" s="98">
        <v>6</v>
      </c>
      <c r="E8" s="93">
        <v>1</v>
      </c>
      <c r="F8" s="93">
        <v>1</v>
      </c>
      <c r="G8" s="92">
        <f>IF(B8="","",TRUNC(E8/F8,2))</f>
        <v>1</v>
      </c>
      <c r="H8" s="92">
        <f>IF(B8="","",TRUNC(C8/D8*G8,2))</f>
        <v>2.1</v>
      </c>
      <c r="I8" s="202"/>
      <c r="J8" s="202"/>
    </row>
    <row r="9" spans="1:10" ht="22.5" customHeight="1" x14ac:dyDescent="0.2">
      <c r="A9" s="6">
        <f>A8+1</f>
        <v>2</v>
      </c>
      <c r="B9" s="204" t="s">
        <v>235</v>
      </c>
      <c r="C9" s="97">
        <f>Planilha1!H5</f>
        <v>15.873333333333335</v>
      </c>
      <c r="D9" s="98">
        <v>6</v>
      </c>
      <c r="E9" s="93">
        <v>2</v>
      </c>
      <c r="F9" s="93">
        <v>1</v>
      </c>
      <c r="G9" s="92">
        <f t="shared" ref="G9:G11" si="0">IF(B9="","",TRUNC(E9/F9,2))</f>
        <v>2</v>
      </c>
      <c r="H9" s="92">
        <f t="shared" ref="H9:H11" si="1">IF(B9="","",TRUNC(C9/D9*G9,2))</f>
        <v>5.29</v>
      </c>
      <c r="I9" s="202"/>
      <c r="J9" s="202"/>
    </row>
    <row r="10" spans="1:10" ht="22.5" customHeight="1" x14ac:dyDescent="0.2">
      <c r="A10" s="6">
        <f t="shared" ref="A10" si="2">A9+1</f>
        <v>3</v>
      </c>
      <c r="B10" s="204" t="s">
        <v>236</v>
      </c>
      <c r="C10" s="97">
        <f>Planilha1!H6</f>
        <v>68.65333333333335</v>
      </c>
      <c r="D10" s="98">
        <v>6</v>
      </c>
      <c r="E10" s="93">
        <v>1</v>
      </c>
      <c r="F10" s="93">
        <v>1</v>
      </c>
      <c r="G10" s="92">
        <f t="shared" si="0"/>
        <v>1</v>
      </c>
      <c r="H10" s="92">
        <f t="shared" si="1"/>
        <v>11.44</v>
      </c>
      <c r="I10" s="202"/>
      <c r="J10" s="202"/>
    </row>
    <row r="11" spans="1:10" ht="22.5" customHeight="1" x14ac:dyDescent="0.2">
      <c r="A11" s="6">
        <v>4</v>
      </c>
      <c r="B11" s="204" t="s">
        <v>242</v>
      </c>
      <c r="C11" s="97">
        <f>Planilha1!H7</f>
        <v>313.26333333333332</v>
      </c>
      <c r="D11" s="98">
        <v>30</v>
      </c>
      <c r="E11" s="93">
        <v>1</v>
      </c>
      <c r="F11" s="93">
        <v>1</v>
      </c>
      <c r="G11" s="92">
        <f t="shared" si="0"/>
        <v>1</v>
      </c>
      <c r="H11" s="92">
        <f t="shared" si="1"/>
        <v>10.44</v>
      </c>
      <c r="I11" s="202"/>
      <c r="J11" s="202"/>
    </row>
    <row r="12" spans="1:10" ht="22.5" customHeight="1" x14ac:dyDescent="0.2">
      <c r="A12" s="94"/>
      <c r="B12" s="95"/>
      <c r="C12" s="96"/>
      <c r="D12" s="96"/>
      <c r="E12" s="96"/>
      <c r="F12" s="354" t="s">
        <v>132</v>
      </c>
      <c r="G12" s="355"/>
      <c r="H12" s="259">
        <f>SUM(H8:H11)</f>
        <v>29.269999999999996</v>
      </c>
    </row>
  </sheetData>
  <mergeCells count="3">
    <mergeCell ref="F12:G12"/>
    <mergeCell ref="A4:H4"/>
    <mergeCell ref="A7:B7"/>
  </mergeCells>
  <pageMargins left="0.511811024" right="0.511811024" top="0.78740157499999996" bottom="0.78740157499999996" header="0.31496062000000002" footer="0.31496062000000002"/>
  <pageSetup paperSize="9" scale="83" orientation="portrait" horizontalDpi="4294967293" verticalDpi="4294967293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D25" sqref="D25"/>
    </sheetView>
  </sheetViews>
  <sheetFormatPr defaultRowHeight="12.75" x14ac:dyDescent="0.2"/>
  <cols>
    <col min="2" max="2" width="21.140625" customWidth="1"/>
    <col min="3" max="3" width="12.28515625" style="247" bestFit="1" customWidth="1"/>
    <col min="4" max="4" width="12.42578125" customWidth="1"/>
    <col min="5" max="5" width="12.28515625" bestFit="1" customWidth="1"/>
    <col min="7" max="7" width="11.7109375" customWidth="1"/>
    <col min="8" max="8" width="10.5703125" bestFit="1" customWidth="1"/>
  </cols>
  <sheetData>
    <row r="3" spans="1:8" x14ac:dyDescent="0.2">
      <c r="A3" s="250" t="s">
        <v>223</v>
      </c>
      <c r="B3" s="250" t="s">
        <v>14</v>
      </c>
      <c r="C3" s="250" t="s">
        <v>224</v>
      </c>
      <c r="D3" s="250" t="s">
        <v>227</v>
      </c>
      <c r="E3" s="250" t="s">
        <v>228</v>
      </c>
      <c r="F3" s="250" t="s">
        <v>229</v>
      </c>
      <c r="G3" s="250" t="s">
        <v>225</v>
      </c>
      <c r="H3" s="250" t="s">
        <v>230</v>
      </c>
    </row>
    <row r="4" spans="1:8" x14ac:dyDescent="0.2">
      <c r="A4" s="249">
        <v>1</v>
      </c>
      <c r="B4" s="248" t="s">
        <v>221</v>
      </c>
      <c r="C4" s="249">
        <v>1</v>
      </c>
      <c r="D4" s="248">
        <v>19.350000000000001</v>
      </c>
      <c r="E4" s="251">
        <v>10.9</v>
      </c>
      <c r="F4" s="248">
        <v>7.55</v>
      </c>
      <c r="G4" s="248">
        <f>SUM(D4:F4)</f>
        <v>37.799999999999997</v>
      </c>
      <c r="H4" s="251">
        <f>G4/3</f>
        <v>12.6</v>
      </c>
    </row>
    <row r="5" spans="1:8" x14ac:dyDescent="0.2">
      <c r="A5" s="249">
        <v>2</v>
      </c>
      <c r="B5" s="248" t="s">
        <v>226</v>
      </c>
      <c r="C5" s="249">
        <v>1</v>
      </c>
      <c r="D5" s="248">
        <v>4.6500000000000004</v>
      </c>
      <c r="E5" s="248">
        <v>3.51</v>
      </c>
      <c r="F5" s="251">
        <v>15.65</v>
      </c>
      <c r="G5" s="248">
        <f>SUM(D5:F5)*2</f>
        <v>47.620000000000005</v>
      </c>
      <c r="H5" s="251">
        <f>G5/3</f>
        <v>15.873333333333335</v>
      </c>
    </row>
    <row r="6" spans="1:8" x14ac:dyDescent="0.2">
      <c r="A6" s="249">
        <v>3</v>
      </c>
      <c r="B6" s="248" t="s">
        <v>222</v>
      </c>
      <c r="C6" s="249">
        <v>1</v>
      </c>
      <c r="D6" s="248">
        <v>77.680000000000007</v>
      </c>
      <c r="E6" s="248">
        <v>65.290000000000006</v>
      </c>
      <c r="F6" s="248">
        <v>62.99</v>
      </c>
      <c r="G6" s="248">
        <f t="shared" ref="G6:G7" si="0">SUM(D6:F6)</f>
        <v>205.96000000000004</v>
      </c>
      <c r="H6" s="251">
        <f>G6/3</f>
        <v>68.65333333333335</v>
      </c>
    </row>
    <row r="7" spans="1:8" x14ac:dyDescent="0.2">
      <c r="A7" s="249">
        <v>4</v>
      </c>
      <c r="B7" s="260" t="s">
        <v>242</v>
      </c>
      <c r="C7" s="249">
        <v>1</v>
      </c>
      <c r="D7" s="261">
        <v>329.9</v>
      </c>
      <c r="E7" s="260">
        <v>279.99</v>
      </c>
      <c r="F7" s="261">
        <v>329.9</v>
      </c>
      <c r="G7" s="248">
        <f t="shared" si="0"/>
        <v>939.79</v>
      </c>
      <c r="H7" s="251">
        <f>G7/3</f>
        <v>313.26333333333332</v>
      </c>
    </row>
    <row r="8" spans="1:8" x14ac:dyDescent="0.2">
      <c r="H8" s="251">
        <f>SUM(H4:H7)</f>
        <v>410.39</v>
      </c>
    </row>
    <row r="13" spans="1:8" ht="13.5" thickBot="1" x14ac:dyDescent="0.25"/>
    <row r="14" spans="1:8" ht="13.5" thickBot="1" x14ac:dyDescent="0.25">
      <c r="B14" s="361" t="s">
        <v>240</v>
      </c>
      <c r="C14" s="362"/>
      <c r="D14" s="362"/>
      <c r="E14" s="363"/>
    </row>
    <row r="15" spans="1:8" ht="13.5" thickBot="1" x14ac:dyDescent="0.25">
      <c r="B15" s="256" t="s">
        <v>237</v>
      </c>
      <c r="C15" s="253" t="s">
        <v>238</v>
      </c>
      <c r="D15" s="252" t="s">
        <v>239</v>
      </c>
      <c r="E15" s="253" t="s">
        <v>230</v>
      </c>
    </row>
    <row r="16" spans="1:8" ht="13.5" thickBot="1" x14ac:dyDescent="0.25">
      <c r="B16" s="257">
        <v>3135.69</v>
      </c>
      <c r="C16" s="255">
        <v>3343.97</v>
      </c>
      <c r="D16" s="254">
        <v>2518.64</v>
      </c>
      <c r="E16" s="254">
        <v>2999.43</v>
      </c>
    </row>
  </sheetData>
  <mergeCells count="1">
    <mergeCell ref="B14:E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Quadro resumo</vt:lpstr>
      <vt:lpstr>Técnico de Segurança</vt:lpstr>
      <vt:lpstr>Insumos</vt:lpstr>
      <vt:lpstr>Planilha1</vt:lpstr>
      <vt:lpstr>'Técnico de Segurança'!Area_de_impressao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Sonia de Bessa Alves</cp:lastModifiedBy>
  <cp:lastPrinted>2022-12-06T17:56:29Z</cp:lastPrinted>
  <dcterms:created xsi:type="dcterms:W3CDTF">2010-12-08T17:56:29Z</dcterms:created>
  <dcterms:modified xsi:type="dcterms:W3CDTF">2022-12-14T14:37:48Z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