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ADM\ALOG\DCAD\Processos Licitatórios\Editais\2022\Pregão\1 - Processamento\Limpeza e copeiragem SP RC 5293\"/>
    </mc:Choice>
  </mc:AlternateContent>
  <bookViews>
    <workbookView xWindow="0" yWindow="0" windowWidth="5388" windowHeight="5376" tabRatio="877" activeTab="3"/>
  </bookViews>
  <sheets>
    <sheet name="Quadro resumo" sheetId="7" r:id="rId1"/>
    <sheet name="Copeira" sheetId="28" r:id="rId2"/>
    <sheet name="ASG" sheetId="29" r:id="rId3"/>
    <sheet name="Insumos" sheetId="23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2" i="23" l="1"/>
  <c r="G72" i="23"/>
  <c r="F73" i="23"/>
  <c r="G73" i="23" s="1"/>
  <c r="F74" i="23"/>
  <c r="G74" i="23" s="1"/>
  <c r="F75" i="23"/>
  <c r="G75" i="23" s="1"/>
  <c r="F76" i="23"/>
  <c r="G76" i="23" s="1"/>
  <c r="F77" i="23"/>
  <c r="G77" i="23" s="1"/>
  <c r="F78" i="23"/>
  <c r="G78" i="23" s="1"/>
  <c r="F79" i="23"/>
  <c r="G79" i="23" s="1"/>
  <c r="D5" i="23"/>
  <c r="D6" i="23"/>
  <c r="F6" i="23" s="1"/>
  <c r="G6" i="23" s="1"/>
  <c r="D8" i="23"/>
  <c r="D10" i="23"/>
  <c r="F10" i="23" s="1"/>
  <c r="G10" i="23" s="1"/>
  <c r="F5" i="23"/>
  <c r="G5" i="23" s="1"/>
  <c r="F7" i="23"/>
  <c r="G7" i="23"/>
  <c r="F8" i="23"/>
  <c r="G8" i="23"/>
  <c r="F9" i="23"/>
  <c r="G9" i="23"/>
  <c r="F11" i="23"/>
  <c r="G11" i="23"/>
  <c r="F12" i="23"/>
  <c r="G12" i="23"/>
  <c r="D24" i="23"/>
  <c r="F24" i="23" s="1"/>
  <c r="G24" i="23" s="1"/>
  <c r="F23" i="23"/>
  <c r="G23" i="23" s="1"/>
  <c r="F25" i="23"/>
  <c r="G25" i="23" s="1"/>
  <c r="F26" i="23"/>
  <c r="G26" i="23"/>
  <c r="F27" i="23"/>
  <c r="G27" i="23"/>
  <c r="E34" i="23"/>
  <c r="F34" i="23" s="1"/>
  <c r="E35" i="23"/>
  <c r="F35" i="23"/>
  <c r="E36" i="23"/>
  <c r="F36" i="23"/>
  <c r="E37" i="23"/>
  <c r="F37" i="23" s="1"/>
  <c r="E38" i="23"/>
  <c r="F38" i="23"/>
  <c r="E39" i="23"/>
  <c r="F39" i="23"/>
  <c r="E40" i="23"/>
  <c r="F40" i="23" s="1"/>
  <c r="E41" i="23"/>
  <c r="F41" i="23"/>
  <c r="E42" i="23"/>
  <c r="F42" i="23"/>
  <c r="E43" i="23"/>
  <c r="F43" i="23" s="1"/>
  <c r="E44" i="23"/>
  <c r="F44" i="23"/>
  <c r="E45" i="23"/>
  <c r="F45" i="23"/>
  <c r="E46" i="23"/>
  <c r="F46" i="23" s="1"/>
  <c r="E47" i="23"/>
  <c r="F47" i="23"/>
  <c r="E48" i="23"/>
  <c r="F48" i="23"/>
  <c r="E49" i="23"/>
  <c r="F49" i="23" s="1"/>
  <c r="E50" i="23"/>
  <c r="F50" i="23"/>
  <c r="E51" i="23"/>
  <c r="F51" i="23"/>
  <c r="E52" i="23"/>
  <c r="F52" i="23" s="1"/>
  <c r="E53" i="23"/>
  <c r="F53" i="23"/>
  <c r="E54" i="23"/>
  <c r="F54" i="23"/>
  <c r="E55" i="23"/>
  <c r="F55" i="23" s="1"/>
  <c r="E56" i="23"/>
  <c r="F56" i="23"/>
  <c r="E57" i="23"/>
  <c r="F57" i="23"/>
  <c r="E58" i="23"/>
  <c r="F58" i="23" s="1"/>
  <c r="E59" i="23"/>
  <c r="F59" i="23"/>
  <c r="E60" i="23"/>
  <c r="F60" i="23"/>
  <c r="E61" i="23"/>
  <c r="F61" i="23" s="1"/>
  <c r="E62" i="23"/>
  <c r="F62" i="23"/>
  <c r="E63" i="23"/>
  <c r="F63" i="23"/>
  <c r="E64" i="23"/>
  <c r="F64" i="23" s="1"/>
  <c r="E65" i="23"/>
  <c r="F65" i="23"/>
  <c r="E66" i="23" l="1"/>
  <c r="A8" i="23"/>
  <c r="F66" i="23" l="1"/>
  <c r="H110" i="29" s="1"/>
  <c r="G13" i="23"/>
  <c r="H109" i="28" s="1"/>
  <c r="F28" i="23"/>
  <c r="G28" i="23"/>
  <c r="H109" i="29" s="1"/>
  <c r="G80" i="23"/>
  <c r="H111" i="29" s="1"/>
  <c r="F13" i="23"/>
  <c r="F80" i="23"/>
  <c r="H60" i="29" l="1"/>
  <c r="H61" i="29"/>
  <c r="H63" i="29"/>
  <c r="H60" i="28"/>
  <c r="H61" i="28"/>
  <c r="H63" i="28"/>
  <c r="G167" i="29" l="1"/>
  <c r="G166" i="29"/>
  <c r="G165" i="29"/>
  <c r="H153" i="29"/>
  <c r="H147" i="29"/>
  <c r="G120" i="29"/>
  <c r="H66" i="29"/>
  <c r="H72" i="29" s="1"/>
  <c r="G49" i="29"/>
  <c r="G56" i="29" s="1"/>
  <c r="G42" i="29"/>
  <c r="G41" i="29"/>
  <c r="G43" i="29" s="1"/>
  <c r="H34" i="29"/>
  <c r="H30" i="29" s="1"/>
  <c r="H27" i="29"/>
  <c r="H26" i="29"/>
  <c r="H28" i="29" l="1"/>
  <c r="H29" i="29"/>
  <c r="H26" i="28"/>
  <c r="G167" i="28"/>
  <c r="G166" i="28"/>
  <c r="G165" i="28"/>
  <c r="H153" i="28"/>
  <c r="H147" i="28"/>
  <c r="G120" i="28"/>
  <c r="G49" i="28"/>
  <c r="G56" i="28" s="1"/>
  <c r="G43" i="28"/>
  <c r="G42" i="28"/>
  <c r="G41" i="28"/>
  <c r="H34" i="28"/>
  <c r="H30" i="28" s="1"/>
  <c r="H27" i="28"/>
  <c r="H29" i="28"/>
  <c r="H32" i="29" l="1"/>
  <c r="H130" i="29" s="1"/>
  <c r="H42" i="29"/>
  <c r="H41" i="29"/>
  <c r="H66" i="28"/>
  <c r="H72" i="28" s="1"/>
  <c r="H28" i="28"/>
  <c r="H32" i="28" s="1"/>
  <c r="H43" i="29" l="1"/>
  <c r="H42" i="28"/>
  <c r="H41" i="28"/>
  <c r="H130" i="28"/>
  <c r="H43" i="28" l="1"/>
  <c r="H52" i="28" s="1"/>
  <c r="H70" i="29"/>
  <c r="H164" i="29"/>
  <c r="H55" i="29"/>
  <c r="H79" i="29" s="1"/>
  <c r="H47" i="29"/>
  <c r="H51" i="29"/>
  <c r="H54" i="29"/>
  <c r="H49" i="29"/>
  <c r="H48" i="29"/>
  <c r="H52" i="29"/>
  <c r="H53" i="29"/>
  <c r="H47" i="28"/>
  <c r="H55" i="28"/>
  <c r="H53" i="28"/>
  <c r="H48" i="28"/>
  <c r="H49" i="28"/>
  <c r="H54" i="28"/>
  <c r="H51" i="28"/>
  <c r="H70" i="28"/>
  <c r="H164" i="28"/>
  <c r="H56" i="29" l="1"/>
  <c r="H80" i="29"/>
  <c r="H78" i="29" s="1"/>
  <c r="H82" i="29"/>
  <c r="H81" i="29" s="1"/>
  <c r="H80" i="28"/>
  <c r="H82" i="28"/>
  <c r="H81" i="28" s="1"/>
  <c r="H56" i="28"/>
  <c r="H79" i="28"/>
  <c r="H71" i="29" l="1"/>
  <c r="H73" i="29" s="1"/>
  <c r="H83" i="29"/>
  <c r="H84" i="29" s="1"/>
  <c r="H78" i="28"/>
  <c r="H71" i="28"/>
  <c r="H73" i="28" s="1"/>
  <c r="H83" i="28"/>
  <c r="H132" i="29" l="1"/>
  <c r="H131" i="29"/>
  <c r="H92" i="29"/>
  <c r="H97" i="29"/>
  <c r="H98" i="29" s="1"/>
  <c r="H103" i="29" s="1"/>
  <c r="H84" i="28"/>
  <c r="H92" i="28" s="1"/>
  <c r="H131" i="28"/>
  <c r="H91" i="29" l="1"/>
  <c r="H90" i="29"/>
  <c r="H132" i="28"/>
  <c r="H97" i="28"/>
  <c r="H98" i="28" s="1"/>
  <c r="H103" i="28" s="1"/>
  <c r="H91" i="28"/>
  <c r="H90" i="28"/>
  <c r="H93" i="29" l="1"/>
  <c r="H102" i="29" s="1"/>
  <c r="H104" i="29" s="1"/>
  <c r="H133" i="29" s="1"/>
  <c r="H93" i="28"/>
  <c r="H102" i="28" s="1"/>
  <c r="H104" i="28" s="1"/>
  <c r="H133" i="28" s="1"/>
  <c r="H163" i="29" l="1"/>
  <c r="H165" i="29" s="1"/>
  <c r="H166" i="29" s="1"/>
  <c r="H167" i="29" s="1"/>
  <c r="H163" i="28"/>
  <c r="H165" i="28" s="1"/>
  <c r="H166" i="28" s="1"/>
  <c r="H168" i="29" l="1"/>
  <c r="H167" i="28"/>
  <c r="H168" i="28" s="1"/>
  <c r="H111" i="28" l="1"/>
  <c r="H113" i="28" l="1"/>
  <c r="H134" i="28" s="1"/>
  <c r="H135" i="28" s="1"/>
  <c r="H118" i="28" s="1"/>
  <c r="H119" i="28" s="1"/>
  <c r="H120" i="28" s="1"/>
  <c r="H113" i="29"/>
  <c r="H134" i="29" s="1"/>
  <c r="H135" i="29" s="1"/>
  <c r="H118" i="29" s="1"/>
  <c r="H123" i="28" l="1"/>
  <c r="H122" i="28"/>
  <c r="H121" i="28"/>
  <c r="H152" i="28" s="1"/>
  <c r="H155" i="28" s="1"/>
  <c r="H119" i="29"/>
  <c r="H120" i="29" s="1"/>
  <c r="H124" i="28" l="1"/>
  <c r="H154" i="28" s="1"/>
  <c r="H123" i="29"/>
  <c r="H122" i="29"/>
  <c r="H121" i="29"/>
  <c r="H152" i="29" s="1"/>
  <c r="H155" i="29" s="1"/>
  <c r="H136" i="28" l="1"/>
  <c r="H137" i="28" s="1"/>
  <c r="H162" i="28" s="1"/>
  <c r="H169" i="28" s="1"/>
  <c r="H124" i="29"/>
  <c r="H154" i="29" s="1"/>
  <c r="H136" i="29" l="1"/>
  <c r="H137" i="29" s="1"/>
  <c r="H162" i="29" s="1"/>
  <c r="H169" i="29" s="1"/>
  <c r="E9" i="7"/>
  <c r="F9" i="7" s="1"/>
  <c r="G9" i="7" s="1"/>
  <c r="E10" i="7" l="1"/>
  <c r="F10" i="7" s="1"/>
  <c r="G10" i="7" s="1"/>
  <c r="G12" i="7" s="1"/>
</calcChain>
</file>

<file path=xl/comments1.xml><?xml version="1.0" encoding="utf-8"?>
<comments xmlns="http://schemas.openxmlformats.org/spreadsheetml/2006/main">
  <authors>
    <author>michelly</author>
    <author>Felipe Mazza Mascarenhas</author>
  </authors>
  <commentList>
    <comment ref="B23" authorId="0" shapeId="0">
      <text>
        <r>
          <rPr>
            <sz val="9"/>
            <color indexed="81"/>
            <rFont val="Segoe UI"/>
            <family val="2"/>
          </rPr>
          <t xml:space="preserve">Nota 1: O Módulo 1 refere-se ao valor mensal devido ao empregado pela prestação do serviço no período de 12 meses.
</t>
        </r>
      </text>
    </comment>
    <comment ref="D27" authorId="0" shapeId="0">
      <text>
        <r>
          <rPr>
            <sz val="9"/>
            <color indexed="81"/>
            <rFont val="Segoe UI"/>
            <family val="2"/>
          </rPr>
          <t>Grau mínimo 10%, grau médio 20% e grau máximo 40%.</t>
        </r>
      </text>
    </comment>
    <comment ref="D30" authorId="0" shapeId="0">
      <text>
        <r>
          <rPr>
            <sz val="9"/>
            <color indexed="81"/>
            <rFont val="Segoe UI"/>
            <family val="2"/>
          </rPr>
          <t>Considerando 220h mensais</t>
        </r>
        <r>
          <rPr>
            <b/>
            <sz val="9"/>
            <color indexed="81"/>
            <rFont val="Segoe UI"/>
            <family val="2"/>
          </rPr>
          <t>.</t>
        </r>
      </text>
    </comment>
    <comment ref="B39" authorId="0" shapeId="0">
      <text>
        <r>
          <rPr>
            <sz val="9"/>
            <color indexed="81"/>
            <rFont val="Segoe UI"/>
            <family val="2"/>
          </rPr>
          <t>Nota 1: Como a planilha de custos e formação de preços é calculada mensalmente, provisiona-se proporcionalmente 1/12 (um doze avos) dos valores referentes a gratificação natalina e adicional de férias.
Nota 2: O adicional de férias contido no Submódulo 2.1 corresponde a 1/3 (um terço) da remuneração que por sua vez é divido por 12 (doze) conforme Nota 1 acima.</t>
        </r>
      </text>
    </comment>
    <comment ref="G41" authorId="1" shapeId="0">
      <text>
        <r>
          <rPr>
            <sz val="9"/>
            <color indexed="81"/>
            <rFont val="Segoe UI"/>
            <family val="2"/>
          </rPr>
          <t>Tot.1 ÷ 12 meses</t>
        </r>
      </text>
    </comment>
    <comment ref="G42" authorId="1" shapeId="0">
      <text>
        <r>
          <rPr>
            <sz val="9"/>
            <color indexed="81"/>
            <rFont val="Segoe UI"/>
            <family val="2"/>
          </rPr>
          <t>(Tot.1 ÷ 12 meses) + [(Tot.1 ÷ 3) ÷ 12 meses]</t>
        </r>
      </text>
    </comment>
    <comment ref="B45" authorId="0" shapeId="0">
      <text>
        <r>
          <rPr>
            <sz val="9"/>
            <color indexed="81"/>
            <rFont val="Segoe UI"/>
            <family val="2"/>
          </rPr>
          <t xml:space="preserve">Nota 1: Os percentuais dos encargos previdenciários, do FGTS e demais contribuições são aqueles estabelecidos pela legislação vigente.
Nota 2: O SAT a depender do grau de risco do serviço irá variar entre 1%, para risco leve, de 2%, para risco médio, e de 3% de risco grave.
Nota 3: Esses percentuais incidem sobre o Módulo 1 e o Submódulo 2.1.
</t>
        </r>
      </text>
    </comment>
    <comment ref="G47" authorId="0" shapeId="0">
      <text>
        <r>
          <rPr>
            <sz val="9"/>
            <color indexed="81"/>
            <rFont val="Segoe UI"/>
            <family val="2"/>
          </rPr>
          <t>Percentual fixo:
Lei 8.212/91, Art. 22, I</t>
        </r>
      </text>
    </comment>
    <comment ref="G48" authorId="0" shapeId="0">
      <text>
        <r>
          <rPr>
            <sz val="9"/>
            <color indexed="81"/>
            <rFont val="Segoe UI"/>
            <family val="2"/>
          </rPr>
          <t>Percentual fixo:
- C.F./88, Art. 212, §5º
- Decreto 6.003/2006, Art. 1º, §1º</t>
        </r>
      </text>
    </comment>
    <comment ref="E49" authorId="0" shapeId="0">
      <text>
        <r>
          <rPr>
            <sz val="9"/>
            <color indexed="81"/>
            <rFont val="Segoe UI"/>
            <family val="2"/>
          </rPr>
          <t>Riscos Ambientais do Trabalho:
1%, 2% ou 3%
Lei 8.212/91, Art. 22, II</t>
        </r>
      </text>
    </comment>
    <comment ref="F49" authorId="0" shapeId="0">
      <text>
        <r>
          <rPr>
            <sz val="9"/>
            <color indexed="81"/>
            <rFont val="Segoe UI"/>
            <family val="2"/>
          </rPr>
          <t>Fator Acidentário de Prevenção:
0,50 a 2
Decreto 6.957/09, Art. 1º, §1º</t>
        </r>
      </text>
    </comment>
    <comment ref="G51" authorId="0" shapeId="0">
      <text>
        <r>
          <rPr>
            <sz val="9"/>
            <color indexed="81"/>
            <rFont val="Segoe UI"/>
            <family val="2"/>
          </rPr>
          <t>Percentual fixo:
- Lei 8.036/90, Art. 30</t>
        </r>
      </text>
    </comment>
    <comment ref="G52" authorId="0" shapeId="0">
      <text>
        <r>
          <rPr>
            <sz val="9"/>
            <color indexed="81"/>
            <rFont val="Segoe UI"/>
            <family val="2"/>
          </rPr>
          <t>Percentual fixo:
- Decreto-Lei 6.246/44, Art. 1º
- Decreto-Lei 8.621/46, Art. 4º</t>
        </r>
      </text>
    </comment>
    <comment ref="G53" authorId="0" shapeId="0">
      <text>
        <r>
          <rPr>
            <sz val="9"/>
            <color indexed="81"/>
            <rFont val="Segoe UI"/>
            <family val="2"/>
          </rPr>
          <t>Percentual fixo:
- Lei 8.029/90, alterada pela Lei 8.154/90</t>
        </r>
      </text>
    </comment>
    <comment ref="G54" authorId="0" shapeId="0">
      <text>
        <r>
          <rPr>
            <sz val="9"/>
            <color indexed="81"/>
            <rFont val="Segoe UI"/>
            <family val="2"/>
          </rPr>
          <t>Percentual fixo:
- Decreto-Lei 1.146/70, Art. 1º, inciso I</t>
        </r>
      </text>
    </comment>
    <comment ref="G55" authorId="0" shapeId="0">
      <text>
        <r>
          <rPr>
            <sz val="9"/>
            <color indexed="81"/>
            <rFont val="Segoe UI"/>
            <family val="2"/>
          </rPr>
          <t>Percentual fixo:
- Lei 8.036/90, Art. 15</t>
        </r>
      </text>
    </comment>
    <comment ref="B58" authorId="0" shapeId="0">
      <text>
        <r>
          <rPr>
            <sz val="9"/>
            <color indexed="81"/>
            <rFont val="Segoe UI"/>
            <family val="2"/>
          </rPr>
          <t>Nota 1: O valor informado deverá ser o custo real do benefício (descontado o valor eventualmente pago pelo empregado).
Nota 2: Observar a previsão dos benefícios contidos em Acordos, Convenções e Dissídios Coletivos de Trabalho e atentar-se ao disposto no art. 6º da IN 05, de 25/05/2017.</t>
        </r>
      </text>
    </comment>
    <comment ref="C59" authorId="1" shapeId="0">
      <text>
        <r>
          <rPr>
            <sz val="9"/>
            <color indexed="81"/>
            <rFont val="Segoe UI"/>
            <family val="2"/>
          </rPr>
          <t>*Considerada média de 22 dias úteis mensais</t>
        </r>
      </text>
    </comment>
    <comment ref="C79" authorId="1" shapeId="0">
      <text>
        <r>
          <rPr>
            <sz val="9"/>
            <color indexed="81"/>
            <rFont val="Segoe UI"/>
            <family val="2"/>
          </rPr>
          <t>O pagamento relativo à rubrica de benefícios dependerá de como a Convenção Coletiva de Trabalho aborda o assunto. Se pagamento por dia trabalhado, não deve constar esses valores na memória de cálculo.
(Remuneração +13º salário + Férias e Adicional de férias + FGTS + Benefícios - Vale Transporte) ÷ 12 meses</t>
        </r>
      </text>
    </comment>
    <comment ref="F80" authorId="1" shapeId="0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G81" authorId="1" shapeId="0">
      <text>
        <r>
          <rPr>
            <sz val="9"/>
            <color indexed="81"/>
            <rFont val="Segoe UI"/>
            <family val="2"/>
          </rPr>
          <t>Percentual variável, desde que maior que 100%</t>
        </r>
      </text>
    </comment>
    <comment ref="F82" authorId="1" shapeId="0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C83" authorId="1" shapeId="0">
      <text>
        <r>
          <rPr>
            <sz val="9"/>
            <color indexed="81"/>
            <rFont val="Segoe UI"/>
            <family val="2"/>
          </rPr>
          <t>(Remuneração +13º salário + Férias e Adicional de férias + FGTS + Benefícios) ÷ 12 meses</t>
        </r>
      </text>
    </comment>
    <comment ref="F83" authorId="1" shapeId="0">
      <text>
        <r>
          <rPr>
            <sz val="9"/>
            <color indexed="81"/>
            <rFont val="Segoe UI"/>
            <family val="2"/>
          </rPr>
          <t>Prazo do contrato em meses</t>
        </r>
      </text>
    </comment>
    <comment ref="G83" authorId="1" shapeId="0">
      <text>
        <r>
          <rPr>
            <sz val="9"/>
            <color indexed="81"/>
            <rFont val="Segoe UI"/>
            <family val="2"/>
          </rPr>
          <t>Lei nº 12.506, de 2011.
“Art. 1º O aviso prévio, de que trata o Capítulo VI do Título IV da Consolidação das Leis do Trabalho - CLT, aprovada pelo Decreto-Lei nº 5.452, de 1º de maio de 1943, será concedido na proporção de 30 (trinta) dias aos empregados que contem até 1 (um) ano de serviço na mesma empresa.
Parágrafo único. Ao aviso prévio previsto neste artigo serão acrescidos 3 (três) dias por ano de serviço prestado na mesma empresa, até o máximo de 60 (sessenta) dias, perfazendo um total de até 90 (noventa) dias.”</t>
        </r>
      </text>
    </comment>
    <comment ref="B87" authorId="0" shapeId="0">
      <text>
        <r>
          <rPr>
            <sz val="9"/>
            <color indexed="81"/>
            <rFont val="Segoe UI"/>
            <family val="2"/>
          </rPr>
          <t>Nota 1: Os itens que contemplam o módulo 4 se referem ao custo dos dias trabalhados pelo repositor/substituto, quando o empregado alocado na prestação de serviço estiver ausente, conforme as previsões estabelecidas na legislação.</t>
        </r>
      </text>
    </comment>
    <comment ref="G89" authorId="0" shapeId="0">
      <text>
        <r>
          <rPr>
            <sz val="9"/>
            <color indexed="81"/>
            <rFont val="Segoe UI"/>
            <family val="2"/>
          </rPr>
          <t xml:space="preserve">Estimativa de dias:
Férias – 30 dias/ano
Ausências Legais – 2,96 faltas/ano
Licença Paternidade – 0,075 (5 dias/ano * 1,5% incidência)
Ausência por Acidente de Trabalho – 1,2 (15 dia/ano * 8% incidência)
Afastamento Maternidade – 2,4 (4 meses/ano * 2% incidência)
Outras Ausências - 1 falta/ano
Total de 38 dias (aproximadamente) de ausência ao ano.
</t>
        </r>
      </text>
    </comment>
    <comment ref="G90" authorId="1" shapeId="0">
      <text>
        <r>
          <rPr>
            <sz val="9"/>
            <color indexed="81"/>
            <rFont val="Segoe UI"/>
            <family val="2"/>
          </rPr>
          <t xml:space="preserve">Quantidade </t>
        </r>
        <r>
          <rPr>
            <b/>
            <sz val="9"/>
            <color indexed="81"/>
            <rFont val="Segoe UI"/>
            <family val="2"/>
          </rPr>
          <t>fixa</t>
        </r>
        <r>
          <rPr>
            <sz val="9"/>
            <color indexed="81"/>
            <rFont val="Segoe UI"/>
            <family val="2"/>
          </rPr>
          <t xml:space="preserve"> de dias = 30</t>
        </r>
      </text>
    </comment>
    <comment ref="G91" authorId="0" shapeId="0">
      <text>
        <r>
          <rPr>
            <sz val="9"/>
            <color indexed="81"/>
            <rFont val="Segoe UI"/>
            <family val="2"/>
          </rPr>
          <t>Necessidade da empresa, de acordo com as probabilidades consignadas em sua proposta, de um repositor durante o ano (em dias).</t>
        </r>
      </text>
    </comment>
    <comment ref="C92" authorId="1" shapeId="0">
      <text>
        <r>
          <rPr>
            <sz val="9"/>
            <color indexed="81"/>
            <rFont val="Segoe UI"/>
            <family val="2"/>
          </rPr>
          <t>(Módulo 1 + Módulo 2 + Módulo 3) ÷ 30 dias</t>
        </r>
      </text>
    </comment>
    <comment ref="G96" authorId="0" shapeId="0">
      <text>
        <r>
          <rPr>
            <sz val="9"/>
            <color indexed="81"/>
            <rFont val="Segoe UI"/>
            <family val="2"/>
          </rPr>
          <t xml:space="preserve">Dias necessários para substituição.
</t>
        </r>
      </text>
    </comment>
    <comment ref="B107" authorId="0" shapeId="0">
      <text>
        <r>
          <rPr>
            <sz val="9"/>
            <color indexed="81"/>
            <rFont val="Segoe UI"/>
            <family val="2"/>
          </rPr>
          <t>Nota: Valores mensais por posto</t>
        </r>
      </text>
    </comment>
  </commentList>
</comments>
</file>

<file path=xl/comments2.xml><?xml version="1.0" encoding="utf-8"?>
<comments xmlns="http://schemas.openxmlformats.org/spreadsheetml/2006/main">
  <authors>
    <author>michelly</author>
    <author>Felipe Mazza Mascarenhas</author>
  </authors>
  <commentList>
    <comment ref="B23" authorId="0" shapeId="0">
      <text>
        <r>
          <rPr>
            <sz val="9"/>
            <color indexed="81"/>
            <rFont val="Segoe UI"/>
            <family val="2"/>
          </rPr>
          <t xml:space="preserve">Nota 1: O Módulo 1 refere-se ao valor mensal devido ao empregado pela prestação do serviço no período de 12 meses.
</t>
        </r>
      </text>
    </comment>
    <comment ref="D27" authorId="0" shapeId="0">
      <text>
        <r>
          <rPr>
            <sz val="9"/>
            <color indexed="81"/>
            <rFont val="Segoe UI"/>
            <family val="2"/>
          </rPr>
          <t>Grau mínimo 10%, grau médio 20% e grau máximo 40%.</t>
        </r>
      </text>
    </comment>
    <comment ref="D30" authorId="0" shapeId="0">
      <text>
        <r>
          <rPr>
            <sz val="9"/>
            <color indexed="81"/>
            <rFont val="Segoe UI"/>
            <family val="2"/>
          </rPr>
          <t>Considerando 220h mensais</t>
        </r>
        <r>
          <rPr>
            <b/>
            <sz val="9"/>
            <color indexed="81"/>
            <rFont val="Segoe UI"/>
            <family val="2"/>
          </rPr>
          <t>.</t>
        </r>
      </text>
    </comment>
    <comment ref="B39" authorId="0" shapeId="0">
      <text>
        <r>
          <rPr>
            <sz val="9"/>
            <color indexed="81"/>
            <rFont val="Segoe UI"/>
            <family val="2"/>
          </rPr>
          <t>Nota 1: Como a planilha de custos e formação de preços é calculada mensalmente, provisiona-se proporcionalmente 1/12 (um doze avos) dos valores referentes a gratificação natalina e adicional de férias.
Nota 2: O adicional de férias contido no Submódulo 2.1 corresponde a 1/3 (um terço) da remuneração que por sua vez é divido por 12 (doze) conforme Nota 1 acima.</t>
        </r>
      </text>
    </comment>
    <comment ref="G41" authorId="1" shapeId="0">
      <text>
        <r>
          <rPr>
            <sz val="9"/>
            <color indexed="81"/>
            <rFont val="Segoe UI"/>
            <family val="2"/>
          </rPr>
          <t>Tot.1 ÷ 12 meses</t>
        </r>
      </text>
    </comment>
    <comment ref="G42" authorId="1" shapeId="0">
      <text>
        <r>
          <rPr>
            <sz val="9"/>
            <color indexed="81"/>
            <rFont val="Segoe UI"/>
            <family val="2"/>
          </rPr>
          <t>(Tot.1 ÷ 12 meses) + [(Tot.1 ÷ 3) ÷ 12 meses]</t>
        </r>
      </text>
    </comment>
    <comment ref="B45" authorId="0" shapeId="0">
      <text>
        <r>
          <rPr>
            <sz val="9"/>
            <color indexed="81"/>
            <rFont val="Segoe UI"/>
            <family val="2"/>
          </rPr>
          <t xml:space="preserve">Nota 1: Os percentuais dos encargos previdenciários, do FGTS e demais contribuições são aqueles estabelecidos pela legislação vigente.
Nota 2: O SAT a depender do grau de risco do serviço irá variar entre 1%, para risco leve, de 2%, para risco médio, e de 3% de risco grave.
Nota 3: Esses percentuais incidem sobre o Módulo 1 e o Submódulo 2.1.
</t>
        </r>
      </text>
    </comment>
    <comment ref="G47" authorId="0" shapeId="0">
      <text>
        <r>
          <rPr>
            <sz val="9"/>
            <color indexed="81"/>
            <rFont val="Segoe UI"/>
            <family val="2"/>
          </rPr>
          <t>Percentual fixo:
Lei 8.212/91, Art. 22, I</t>
        </r>
      </text>
    </comment>
    <comment ref="G48" authorId="0" shapeId="0">
      <text>
        <r>
          <rPr>
            <sz val="9"/>
            <color indexed="81"/>
            <rFont val="Segoe UI"/>
            <family val="2"/>
          </rPr>
          <t>Percentual fixo:
- C.F./88, Art. 212, §5º
- Decreto 6.003/2006, Art. 1º, §1º</t>
        </r>
      </text>
    </comment>
    <comment ref="E49" authorId="0" shapeId="0">
      <text>
        <r>
          <rPr>
            <sz val="9"/>
            <color indexed="81"/>
            <rFont val="Segoe UI"/>
            <family val="2"/>
          </rPr>
          <t>Riscos Ambientais do Trabalho:
1%, 2% ou 3%
Lei 8.212/91, Art. 22, II</t>
        </r>
      </text>
    </comment>
    <comment ref="F49" authorId="0" shapeId="0">
      <text>
        <r>
          <rPr>
            <sz val="9"/>
            <color indexed="81"/>
            <rFont val="Segoe UI"/>
            <family val="2"/>
          </rPr>
          <t>Fator Acidentário de Prevenção:
0,50 a 2
Decreto 6.957/09, Art. 1º, §1º</t>
        </r>
      </text>
    </comment>
    <comment ref="G51" authorId="0" shapeId="0">
      <text>
        <r>
          <rPr>
            <sz val="9"/>
            <color indexed="81"/>
            <rFont val="Segoe UI"/>
            <family val="2"/>
          </rPr>
          <t>Percentual fixo:
- Lei 8.036/90, Art. 30</t>
        </r>
      </text>
    </comment>
    <comment ref="G52" authorId="0" shapeId="0">
      <text>
        <r>
          <rPr>
            <sz val="9"/>
            <color indexed="81"/>
            <rFont val="Segoe UI"/>
            <family val="2"/>
          </rPr>
          <t>Percentual fixo:
- Decreto-Lei 6.246/44, Art. 1º
- Decreto-Lei 8.621/46, Art. 4º</t>
        </r>
      </text>
    </comment>
    <comment ref="G53" authorId="0" shapeId="0">
      <text>
        <r>
          <rPr>
            <sz val="9"/>
            <color indexed="81"/>
            <rFont val="Segoe UI"/>
            <family val="2"/>
          </rPr>
          <t>Percentual fixo:
- Lei 8.029/90, alterada pela Lei 8.154/90</t>
        </r>
      </text>
    </comment>
    <comment ref="G54" authorId="0" shapeId="0">
      <text>
        <r>
          <rPr>
            <sz val="9"/>
            <color indexed="81"/>
            <rFont val="Segoe UI"/>
            <family val="2"/>
          </rPr>
          <t>Percentual fixo:
- Decreto-Lei 1.146/70, Art. 1º, inciso I</t>
        </r>
      </text>
    </comment>
    <comment ref="G55" authorId="0" shapeId="0">
      <text>
        <r>
          <rPr>
            <sz val="9"/>
            <color indexed="81"/>
            <rFont val="Segoe UI"/>
            <family val="2"/>
          </rPr>
          <t>Percentual fixo:
- Lei 8.036/90, Art. 15</t>
        </r>
      </text>
    </comment>
    <comment ref="B58" authorId="0" shapeId="0">
      <text>
        <r>
          <rPr>
            <sz val="9"/>
            <color indexed="81"/>
            <rFont val="Segoe UI"/>
            <family val="2"/>
          </rPr>
          <t>Nota 1: O valor informado deverá ser o custo real do benefício (descontado o valor eventualmente pago pelo empregado).
Nota 2: Observar a previsão dos benefícios contidos em Acordos, Convenções e Dissídios Coletivos de Trabalho e atentar-se ao disposto no art. 6º da IN 05, de 25/05/2017.</t>
        </r>
      </text>
    </comment>
    <comment ref="C59" authorId="1" shapeId="0">
      <text>
        <r>
          <rPr>
            <sz val="9"/>
            <color indexed="81"/>
            <rFont val="Segoe UI"/>
            <family val="2"/>
          </rPr>
          <t>*Considerada média de 22 dias úteis mensais</t>
        </r>
      </text>
    </comment>
    <comment ref="C79" authorId="1" shapeId="0">
      <text>
        <r>
          <rPr>
            <sz val="9"/>
            <color indexed="81"/>
            <rFont val="Segoe UI"/>
            <family val="2"/>
          </rPr>
          <t>O pagamento relativo à rubrica de benefícios dependerá de como a Convenção Coletiva de Trabalho aborda o assunto. Se pagamento por dia trabalhado, não deve constar esses valores na memória de cálculo.
(Remuneração +13º salário + Férias e Adicional de férias + FGTS + Benefícios - Vale Transporte) ÷ 12 meses</t>
        </r>
      </text>
    </comment>
    <comment ref="F80" authorId="1" shapeId="0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G81" authorId="1" shapeId="0">
      <text>
        <r>
          <rPr>
            <sz val="9"/>
            <color indexed="81"/>
            <rFont val="Segoe UI"/>
            <family val="2"/>
          </rPr>
          <t>Percentual variável, desde que maior que 100%</t>
        </r>
      </text>
    </comment>
    <comment ref="F82" authorId="1" shapeId="0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C83" authorId="1" shapeId="0">
      <text>
        <r>
          <rPr>
            <sz val="9"/>
            <color indexed="81"/>
            <rFont val="Segoe UI"/>
            <family val="2"/>
          </rPr>
          <t>(Remuneração +13º salário + Férias e Adicional de férias + FGTS + Benefícios) ÷ 12 meses</t>
        </r>
      </text>
    </comment>
    <comment ref="F83" authorId="1" shapeId="0">
      <text>
        <r>
          <rPr>
            <sz val="9"/>
            <color indexed="81"/>
            <rFont val="Segoe UI"/>
            <family val="2"/>
          </rPr>
          <t>Prazo do contrato em meses</t>
        </r>
      </text>
    </comment>
    <comment ref="G83" authorId="1" shapeId="0">
      <text>
        <r>
          <rPr>
            <sz val="9"/>
            <color indexed="81"/>
            <rFont val="Segoe UI"/>
            <family val="2"/>
          </rPr>
          <t>Lei nº 12.506, de 2011.
“Art. 1º O aviso prévio, de que trata o Capítulo VI do Título IV da Consolidação das Leis do Trabalho - CLT, aprovada pelo Decreto-Lei nº 5.452, de 1º de maio de 1943, será concedido na proporção de 30 (trinta) dias aos empregados que contem até 1 (um) ano de serviço na mesma empresa.
Parágrafo único. Ao aviso prévio previsto neste artigo serão acrescidos 3 (três) dias por ano de serviço prestado na mesma empresa, até o máximo de 60 (sessenta) dias, perfazendo um total de até 90 (noventa) dias.”</t>
        </r>
      </text>
    </comment>
    <comment ref="B87" authorId="0" shapeId="0">
      <text>
        <r>
          <rPr>
            <sz val="9"/>
            <color indexed="81"/>
            <rFont val="Segoe UI"/>
            <family val="2"/>
          </rPr>
          <t>Nota 1: Os itens que contemplam o módulo 4 se referem ao custo dos dias trabalhados pelo repositor/substituto, quando o empregado alocado na prestação de serviço estiver ausente, conforme as previsões estabelecidas na legislação.</t>
        </r>
      </text>
    </comment>
    <comment ref="G89" authorId="0" shapeId="0">
      <text>
        <r>
          <rPr>
            <sz val="9"/>
            <color indexed="81"/>
            <rFont val="Segoe UI"/>
            <family val="2"/>
          </rPr>
          <t xml:space="preserve">Estimativa de dias:
Férias – 30 dias/ano
Ausências Legais – 2,96 faltas/ano
Licença Paternidade – 0,075 (5 dias/ano * 1,5% incidência)
Ausência por Acidente de Trabalho – 1,2 (15 dia/ano * 8% incidência)
Afastamento Maternidade – 2,4 (4 meses/ano * 2% incidência)
Outras Ausências - 1 falta/ano
Total de 38 dias (aproximadamente) de ausência ao ano.
</t>
        </r>
      </text>
    </comment>
    <comment ref="G90" authorId="1" shapeId="0">
      <text>
        <r>
          <rPr>
            <sz val="9"/>
            <color indexed="81"/>
            <rFont val="Segoe UI"/>
            <family val="2"/>
          </rPr>
          <t xml:space="preserve">Quantidade </t>
        </r>
        <r>
          <rPr>
            <b/>
            <sz val="9"/>
            <color indexed="81"/>
            <rFont val="Segoe UI"/>
            <family val="2"/>
          </rPr>
          <t>fixa</t>
        </r>
        <r>
          <rPr>
            <sz val="9"/>
            <color indexed="81"/>
            <rFont val="Segoe UI"/>
            <family val="2"/>
          </rPr>
          <t xml:space="preserve"> de dias = 30</t>
        </r>
      </text>
    </comment>
    <comment ref="G91" authorId="0" shapeId="0">
      <text>
        <r>
          <rPr>
            <sz val="9"/>
            <color indexed="81"/>
            <rFont val="Segoe UI"/>
            <family val="2"/>
          </rPr>
          <t>Necessidade da empresa, de acordo com as probabilidades consignadas em sua proposta, de um repositor durante o ano (em dias).</t>
        </r>
      </text>
    </comment>
    <comment ref="C92" authorId="1" shapeId="0">
      <text>
        <r>
          <rPr>
            <sz val="9"/>
            <color indexed="81"/>
            <rFont val="Segoe UI"/>
            <family val="2"/>
          </rPr>
          <t>(Módulo 1 + Módulo 2 + Módulo 3) ÷ 30 dias</t>
        </r>
      </text>
    </comment>
    <comment ref="G96" authorId="0" shapeId="0">
      <text>
        <r>
          <rPr>
            <sz val="9"/>
            <color indexed="81"/>
            <rFont val="Segoe UI"/>
            <family val="2"/>
          </rPr>
          <t xml:space="preserve">Dias necessários para substituição.
</t>
        </r>
      </text>
    </comment>
    <comment ref="B107" authorId="0" shapeId="0">
      <text>
        <r>
          <rPr>
            <sz val="9"/>
            <color indexed="81"/>
            <rFont val="Segoe UI"/>
            <family val="2"/>
          </rPr>
          <t>Nota: Valores mensais por posto</t>
        </r>
      </text>
    </comment>
  </commentList>
</comments>
</file>

<file path=xl/sharedStrings.xml><?xml version="1.0" encoding="utf-8"?>
<sst xmlns="http://schemas.openxmlformats.org/spreadsheetml/2006/main" count="705" uniqueCount="285">
  <si>
    <t>VALOR (R$)</t>
  </si>
  <si>
    <t>Adicional Noturno</t>
  </si>
  <si>
    <t>%</t>
  </si>
  <si>
    <t>Outros (especificar)</t>
  </si>
  <si>
    <t>Lucro</t>
  </si>
  <si>
    <t>A</t>
  </si>
  <si>
    <t>B</t>
  </si>
  <si>
    <t>C</t>
  </si>
  <si>
    <t>D</t>
  </si>
  <si>
    <t>E</t>
  </si>
  <si>
    <t>F</t>
  </si>
  <si>
    <t>G</t>
  </si>
  <si>
    <t>H</t>
  </si>
  <si>
    <t>Materiais</t>
  </si>
  <si>
    <t>Equipamentos</t>
  </si>
  <si>
    <t>Nota(1):</t>
  </si>
  <si>
    <t>TOTAL</t>
  </si>
  <si>
    <t>4.1</t>
  </si>
  <si>
    <t>4.2</t>
  </si>
  <si>
    <t>Custos Indiretos</t>
  </si>
  <si>
    <t>Quadro Resumo - VALOR MENSAL DOS SERVIÇOS</t>
  </si>
  <si>
    <t>Qde Postos (E)</t>
  </si>
  <si>
    <t>Tipo de Serviço (A)</t>
  </si>
  <si>
    <t>Serviço 1 (indicar)</t>
  </si>
  <si>
    <t>Serviço 2 (indicar)</t>
  </si>
  <si>
    <t>Serviço 3 (indicar)</t>
  </si>
  <si>
    <t>Serviço ... (indicar)</t>
  </si>
  <si>
    <t>VALOR MENSAL DOS SERVIÇOS (I + II + III + ...)</t>
  </si>
  <si>
    <t>Anexo III-D</t>
  </si>
  <si>
    <t>Quadro Demonstrativo - VALOR GLOBAL DA PROPOSTA</t>
  </si>
  <si>
    <t>VALOR GLOBAL DA PROPOSTA</t>
  </si>
  <si>
    <t>Descrição</t>
  </si>
  <si>
    <t>Valor proposto por unidade de medida*</t>
  </si>
  <si>
    <t>Valor mensal do serviço</t>
  </si>
  <si>
    <t>Valor Global da Proposta (valor mensal do serviço X nº meses do contrato).</t>
  </si>
  <si>
    <t>Informar o valor da unidade de medida por tipo de serviço.</t>
  </si>
  <si>
    <t>Salário Base</t>
  </si>
  <si>
    <t>PIS</t>
  </si>
  <si>
    <t>COFINS</t>
  </si>
  <si>
    <t>ISS</t>
  </si>
  <si>
    <t>C.1</t>
  </si>
  <si>
    <t>C.2</t>
  </si>
  <si>
    <t>C.3</t>
  </si>
  <si>
    <t xml:space="preserve">Adicional Periculosidade </t>
  </si>
  <si>
    <t>Adicional Insalubridade</t>
  </si>
  <si>
    <t>Adicional de Hora Noturna Reduzida</t>
  </si>
  <si>
    <t>13º Salário, Férias e Adicional de Férias</t>
  </si>
  <si>
    <t>GPS, FGTS e Outras Contribuições</t>
  </si>
  <si>
    <t>SESC ou SESI</t>
  </si>
  <si>
    <t xml:space="preserve">INSS </t>
  </si>
  <si>
    <t xml:space="preserve">Salário Educação </t>
  </si>
  <si>
    <t xml:space="preserve">SENAI - SENAC </t>
  </si>
  <si>
    <t xml:space="preserve">SEBRAE </t>
  </si>
  <si>
    <t xml:space="preserve">INCRA </t>
  </si>
  <si>
    <t xml:space="preserve">FGTS </t>
  </si>
  <si>
    <t>Submódulo 2.1 - 13º Salário, Férias e Adicional de Férias</t>
  </si>
  <si>
    <t>Submódulo 2.3 - Benefícios Mensais e Diários</t>
  </si>
  <si>
    <t>2.1</t>
  </si>
  <si>
    <t>2.2</t>
  </si>
  <si>
    <t>2.3</t>
  </si>
  <si>
    <t>Benefícios Mensais e Diários</t>
  </si>
  <si>
    <t>Ausências Legais</t>
  </si>
  <si>
    <t>Módulo 4 - Custo de Reposição do Profissional Ausente</t>
  </si>
  <si>
    <t>Intrajornada</t>
  </si>
  <si>
    <t xml:space="preserve">Uniformes </t>
  </si>
  <si>
    <t>Subtotal (A + B + C + D + E)</t>
  </si>
  <si>
    <t xml:space="preserve">Transporte </t>
  </si>
  <si>
    <t xml:space="preserve">Auxílio-Refeição/Alimentação  </t>
  </si>
  <si>
    <t>Valor (R$)</t>
  </si>
  <si>
    <t>PLANILHA DE CUSTOS E FORMAÇÃO DE PREÇOS</t>
  </si>
  <si>
    <t xml:space="preserve">Dados para composição dos custos referentes a mão de obra </t>
  </si>
  <si>
    <t xml:space="preserve">Tipo de Serviço (mesmo serviço com características distintas) </t>
  </si>
  <si>
    <t>Validade da Proposta:</t>
  </si>
  <si>
    <t>dias</t>
  </si>
  <si>
    <t xml:space="preserve">Classificação Brasileira de Ocupações (CBO) </t>
  </si>
  <si>
    <t xml:space="preserve">Salário Normativo da Categoria Profissional </t>
  </si>
  <si>
    <t>Data-Base da Categoria (dia/mês/ano)</t>
  </si>
  <si>
    <t xml:space="preserve">Ano do Acordo, Convenção ou Dissídio Coletivo: </t>
  </si>
  <si>
    <t>Indicação dos sindicatos, acordos coletivos ou convenções coletivas</t>
  </si>
  <si>
    <t>Composição da Remuneração</t>
  </si>
  <si>
    <t>Total</t>
  </si>
  <si>
    <t>Provisão para Rescisão</t>
  </si>
  <si>
    <t>Insumos Diversos</t>
  </si>
  <si>
    <t>Custos Indiretos, Tributos e Lucro</t>
  </si>
  <si>
    <t>Férias e Adicional de Férias</t>
  </si>
  <si>
    <t>Módulo 1 - COMPOSIÇÃO DA REMUNERAÇÃO</t>
  </si>
  <si>
    <t>Módulo 2 - ENCARGOS E BENEFÍCIOS ANUAIS, MENSAIS E DIÁRIOS</t>
  </si>
  <si>
    <t>Submódulo 2.2 - Encargos Previdenciários (GPS), Fundo de Garantia por Tempo de Serviço (FGTS) e outras contribuições</t>
  </si>
  <si>
    <t>GPS, FGTS e outras contribuições</t>
  </si>
  <si>
    <t>Encargos e Benefícios Anuais, Mensais e Diários</t>
  </si>
  <si>
    <t>Quadro-Resumo do Módulo 2 - Encargos e Benefícios anuais, mensais e diários</t>
  </si>
  <si>
    <t>Módulo 3 - PROVISÃO PARA RESCISÃO</t>
  </si>
  <si>
    <t>Módulo 4 - CUSTO DE REPOSIÇÃO DO PROFISSIONAL AUSENTE</t>
  </si>
  <si>
    <t>Quadro-Resumo do Módulo 4 - Custo De Reposição do Profissional Ausente</t>
  </si>
  <si>
    <t>Custo de Reposição do Profissional Ausente</t>
  </si>
  <si>
    <t>Módulo 5 - INSUMOS DIVERSOS</t>
  </si>
  <si>
    <t>Módulo 6 - CUSTOS INDIRETOS, TRIBUTOS E LUCRO</t>
  </si>
  <si>
    <t>VALOR TOTAL POR EMPREGADO</t>
  </si>
  <si>
    <t>Módulo 1 - Composição da Remuneração</t>
  </si>
  <si>
    <t>Módulo 2 - Encargos e Benefícios Anuais, Mensais e Diários</t>
  </si>
  <si>
    <t>Módulo 3 - Provisão para Rescisão</t>
  </si>
  <si>
    <t>Módulo 5 - Insumos Diversos</t>
  </si>
  <si>
    <t>Módulo 6 - Custos Indiretos, Tributos e Lucro</t>
  </si>
  <si>
    <t>Item</t>
  </si>
  <si>
    <t>Custo Unitário</t>
  </si>
  <si>
    <t>Cargo</t>
  </si>
  <si>
    <t>Meses</t>
  </si>
  <si>
    <t>Valor Total</t>
  </si>
  <si>
    <t>QUADRO RESUMO</t>
  </si>
  <si>
    <t>Submódulo 4.1 - Substituto nas Ausências Legais</t>
  </si>
  <si>
    <t>Substituto nas Ausências Legais</t>
  </si>
  <si>
    <t>Submódulo 4.2 - Substituto na Intrajornada</t>
  </si>
  <si>
    <t>Substituto na Intrajornada</t>
  </si>
  <si>
    <t>Substituto na cobertura de Intervalo para repouso ou alimentação</t>
  </si>
  <si>
    <t>API com Probabilidade</t>
  </si>
  <si>
    <t>Aviso Prévio Indenizado - API</t>
  </si>
  <si>
    <t>Multa do FGTS do API</t>
  </si>
  <si>
    <t>APT com Probabilidade</t>
  </si>
  <si>
    <t>Multa do FGTS do APT</t>
  </si>
  <si>
    <t xml:space="preserve">FAP </t>
  </si>
  <si>
    <t>SAT - GIIL/RAT</t>
  </si>
  <si>
    <t xml:space="preserve">RAT </t>
  </si>
  <si>
    <t>Dias</t>
  </si>
  <si>
    <t>Valor Total por Empregado</t>
  </si>
  <si>
    <t>Tributos</t>
  </si>
  <si>
    <t>Total Custo Variável (Pagamento pelo Fato Gerador)</t>
  </si>
  <si>
    <t>Adicional de Hora Extra</t>
  </si>
  <si>
    <t>Quant. h/mês</t>
  </si>
  <si>
    <t>Férias</t>
  </si>
  <si>
    <r>
      <t>13º (Décimo-terceiro) salário</t>
    </r>
    <r>
      <rPr>
        <sz val="9"/>
        <color indexed="10"/>
        <rFont val="Tahoma"/>
        <family val="2"/>
      </rPr>
      <t xml:space="preserve"> </t>
    </r>
  </si>
  <si>
    <t>Custo diário do substituto</t>
  </si>
  <si>
    <t>MATERIAIS</t>
  </si>
  <si>
    <t>EQUIPAMENTOS</t>
  </si>
  <si>
    <t>Nº de Mudas por posto</t>
  </si>
  <si>
    <t>Custo anual por posto</t>
  </si>
  <si>
    <t>Custo mensal por posto</t>
  </si>
  <si>
    <t>BASE DE CÁLCULO DOS TRIBUTOS</t>
  </si>
  <si>
    <t>Mão de Obra vinculada à execução contratual (valor por posto)</t>
  </si>
  <si>
    <t>Memória de cálculo da hora extra</t>
  </si>
  <si>
    <t>VALOR TOTAL</t>
  </si>
  <si>
    <t>Valor da hora extra</t>
  </si>
  <si>
    <r>
      <t>Quantidade (</t>
    </r>
    <r>
      <rPr>
        <b/>
        <sz val="9"/>
        <color rgb="FFFF0000"/>
        <rFont val="Tahoma"/>
        <family val="2"/>
      </rPr>
      <t>Posto</t>
    </r>
    <r>
      <rPr>
        <b/>
        <sz val="9"/>
        <color theme="1"/>
        <rFont val="Tahoma"/>
        <family val="2"/>
      </rPr>
      <t xml:space="preserve">) </t>
    </r>
  </si>
  <si>
    <t>Anexo II</t>
  </si>
  <si>
    <r>
      <t xml:space="preserve">Ref.: Pregão eletrônico nº </t>
    </r>
    <r>
      <rPr>
        <b/>
        <sz val="9"/>
        <color rgb="FFFF0000"/>
        <rFont val="Tahoma"/>
        <family val="2"/>
      </rPr>
      <t>XX</t>
    </r>
    <r>
      <rPr>
        <b/>
        <sz val="9"/>
        <rFont val="Tahoma"/>
        <family val="2"/>
      </rPr>
      <t>/202</t>
    </r>
    <r>
      <rPr>
        <b/>
        <sz val="9"/>
        <color rgb="FFFF0000"/>
        <rFont val="Tahoma"/>
        <family val="2"/>
      </rPr>
      <t>X</t>
    </r>
  </si>
  <si>
    <t>Os valores destinados ao pagamento de férias, décimo terceiro salário, ausências legais e verbas rescisórias dos empregados da contratada que participarem da execução dos serviços contratados serão efetuados pela contratante à contratada somente na ocorrência do fato gerador</t>
  </si>
  <si>
    <t>Pagamento Mensal Sem Fato Gerador</t>
  </si>
  <si>
    <t>1.A x 30%</t>
  </si>
  <si>
    <t>Tot.1</t>
  </si>
  <si>
    <t>Tot.1 x 8,33%</t>
  </si>
  <si>
    <t>Tot.2.1</t>
  </si>
  <si>
    <t>Tot.1 x 11,11%</t>
  </si>
  <si>
    <t>(Tot.1 + Tot.2.1) x 20%</t>
  </si>
  <si>
    <t>(Tot.1 + Tot.2.1) x 2,5%</t>
  </si>
  <si>
    <t>(Tot.1 + Tot.2.1) x 1,5%</t>
  </si>
  <si>
    <t>(Tot.1 + Tot.2.1) x 1%</t>
  </si>
  <si>
    <t>(Tot.1 + Tot.2.1) x 0,6%</t>
  </si>
  <si>
    <t>(Tot.1 + Tot.2.1) x 0,2%</t>
  </si>
  <si>
    <t>(Tot.1 + Tot.2.1) x 8%</t>
  </si>
  <si>
    <t>(Tot.1 + Tot.2.1) x (RAT x FAP)</t>
  </si>
  <si>
    <t>Tot.2.2</t>
  </si>
  <si>
    <t>Tot.2.3</t>
  </si>
  <si>
    <t>Tot.2</t>
  </si>
  <si>
    <t>(VT diário x 22 d.u.) - (1.A x 6%)</t>
  </si>
  <si>
    <t>(VR/VA x 22 d.u.) - (Custo do empregado)</t>
  </si>
  <si>
    <t>(Tot.1 + Tot.2 + Tot.3) ÷ 30 dias</t>
  </si>
  <si>
    <t>Tot.3</t>
  </si>
  <si>
    <t>Tot.4.1</t>
  </si>
  <si>
    <t>Tot.4.2</t>
  </si>
  <si>
    <t>Tot.4</t>
  </si>
  <si>
    <t>Tot.5</t>
  </si>
  <si>
    <t>Tot.6</t>
  </si>
  <si>
    <t>(4.1.C x 30 dias) ÷ 12 meses</t>
  </si>
  <si>
    <t>6.A + 6.B + 6.C.1 + 6.C.2 + 6.C.3</t>
  </si>
  <si>
    <t>Tot.7</t>
  </si>
  <si>
    <t>Tot.8</t>
  </si>
  <si>
    <t>Provisão para férias, 13º salário , ausências legais, Rescisão</t>
  </si>
  <si>
    <t>Tot.2.1 + Tot.3 + Tot.4.1</t>
  </si>
  <si>
    <t>Outros (ausências legais, paternidade,  acidente de trabalho, maternidade, outros)</t>
  </si>
  <si>
    <r>
      <t xml:space="preserve">(3.B + 3.C)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>%</t>
    </r>
  </si>
  <si>
    <r>
      <t xml:space="preserve">3.E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>%</t>
    </r>
  </si>
  <si>
    <r>
      <t xml:space="preserve">(4.1.C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 xml:space="preserve"> dias) ÷ 12 meses</t>
    </r>
  </si>
  <si>
    <r>
      <t xml:space="preserve">7.F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>%</t>
    </r>
  </si>
  <si>
    <r>
      <t xml:space="preserve">(7.F + 6.A)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>%</t>
    </r>
  </si>
  <si>
    <r>
      <t xml:space="preserve">(7.F + 6.A + 6.B) ÷ </t>
    </r>
    <r>
      <rPr>
        <sz val="8"/>
        <color rgb="FFFF0000"/>
        <rFont val="Tahoma"/>
        <family val="2"/>
      </rPr>
      <t>XX</t>
    </r>
  </si>
  <si>
    <r>
      <t xml:space="preserve">6.C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>%</t>
    </r>
  </si>
  <si>
    <r>
      <t xml:space="preserve">(8.B + 8.C) x </t>
    </r>
    <r>
      <rPr>
        <sz val="8"/>
        <color rgb="FFFF0000"/>
        <rFont val="Tahoma"/>
        <family val="2"/>
      </rPr>
      <t>XX</t>
    </r>
    <r>
      <rPr>
        <sz val="8"/>
        <color theme="1"/>
        <rFont val="Tahoma"/>
        <family val="2"/>
      </rPr>
      <t>%</t>
    </r>
  </si>
  <si>
    <r>
      <t xml:space="preserve">(8.B + 8.C + 8.D) x </t>
    </r>
    <r>
      <rPr>
        <sz val="8"/>
        <color rgb="FFFF0000"/>
        <rFont val="Tahoma"/>
        <family val="2"/>
      </rPr>
      <t>XX</t>
    </r>
    <r>
      <rPr>
        <sz val="8"/>
        <color theme="1"/>
        <rFont val="Tahoma"/>
        <family val="2"/>
      </rPr>
      <t>%</t>
    </r>
  </si>
  <si>
    <t>7.F + 7.G</t>
  </si>
  <si>
    <t>7.A + 7.B + 7.C + 7.D + 7.E</t>
  </si>
  <si>
    <r>
      <t xml:space="preserve">1.A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 xml:space="preserve">% </t>
    </r>
    <r>
      <rPr>
        <sz val="8"/>
        <color rgb="FFFF0000"/>
        <rFont val="Tahoma"/>
        <family val="2"/>
      </rPr>
      <t>(10%, 20% ou 40%)</t>
    </r>
  </si>
  <si>
    <t>2.2.H x 40%</t>
  </si>
  <si>
    <r>
      <t xml:space="preserve">{[(Tot.1+Tot.2.1+Tot.2.2)÷30 dias]x </t>
    </r>
    <r>
      <rPr>
        <sz val="7.5"/>
        <color rgb="FFFF0000"/>
        <rFont val="Tahoma"/>
        <family val="2"/>
      </rPr>
      <t>XX</t>
    </r>
    <r>
      <rPr>
        <sz val="7.5"/>
        <rFont val="Tahoma"/>
        <family val="2"/>
      </rPr>
      <t xml:space="preserve"> dias}÷ </t>
    </r>
    <r>
      <rPr>
        <sz val="7.5"/>
        <color rgb="FFFF0000"/>
        <rFont val="Tahoma"/>
        <family val="2"/>
      </rPr>
      <t>XX</t>
    </r>
    <r>
      <rPr>
        <sz val="7.5"/>
        <rFont val="Tahoma"/>
        <family val="2"/>
      </rPr>
      <t xml:space="preserve"> meses</t>
    </r>
  </si>
  <si>
    <t>Encargos Previdenciários, FGTS e outras contribuições</t>
  </si>
  <si>
    <t>8.A - 8.G</t>
  </si>
  <si>
    <r>
      <t xml:space="preserve">(8.B + 8.C + 8.D + 8.E) x </t>
    </r>
    <r>
      <rPr>
        <sz val="8"/>
        <color rgb="FFFF0000"/>
        <rFont val="Tahoma"/>
        <family val="2"/>
      </rPr>
      <t>XX</t>
    </r>
    <r>
      <rPr>
        <sz val="8"/>
        <color theme="1"/>
        <rFont val="Tahoma"/>
        <family val="2"/>
      </rPr>
      <t>%</t>
    </r>
  </si>
  <si>
    <t>8.B + 8.C + 8.D + 8.E + 8.F</t>
  </si>
  <si>
    <t>Aviso Prévio - Lei nº 12.506/2011, Art. 1º</t>
  </si>
  <si>
    <t>[(1.A + 1.B) x 20%]/220h x 8h x nº dias trabalhados mês</t>
  </si>
  <si>
    <r>
      <t xml:space="preserve">{[(1.A + 1.B + 1.C) ÷ 220h]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 xml:space="preserve"> h}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 xml:space="preserve">% </t>
    </r>
    <r>
      <rPr>
        <sz val="8"/>
        <color rgb="FFFF0000"/>
        <rFont val="Tahoma"/>
        <family val="2"/>
      </rPr>
      <t>(50% ou 100%)</t>
    </r>
  </si>
  <si>
    <t>(Tot.1 + Tot.2.1 + 2.2.H + Tot.2.3 - 2.3.A) ÷ 12 meses</t>
  </si>
  <si>
    <t>Tot. 2.1 x Encargos % 2.2</t>
  </si>
  <si>
    <r>
      <t xml:space="preserve">(Tot.1 + Tot.2 + Tot.3) ÷ 220h x (1+50%)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 xml:space="preserve"> dias</t>
    </r>
  </si>
  <si>
    <t>excluir, se for o caso</t>
  </si>
  <si>
    <r>
      <t>[Local]</t>
    </r>
    <r>
      <rPr>
        <sz val="9"/>
        <rFont val="Tahoma"/>
        <family val="2"/>
      </rPr>
      <t xml:space="preserve">, </t>
    </r>
    <r>
      <rPr>
        <sz val="9"/>
        <color rgb="FFFF0000"/>
        <rFont val="Tahoma"/>
        <family val="2"/>
      </rPr>
      <t>XX</t>
    </r>
    <r>
      <rPr>
        <sz val="9"/>
        <rFont val="Tahoma"/>
        <family val="2"/>
      </rPr>
      <t xml:space="preserve"> de </t>
    </r>
    <r>
      <rPr>
        <sz val="9"/>
        <color rgb="FFFF0000"/>
        <rFont val="Tahoma"/>
        <family val="2"/>
      </rPr>
      <t>XXXXXX</t>
    </r>
    <r>
      <rPr>
        <sz val="9"/>
        <rFont val="Tahoma"/>
        <family val="2"/>
      </rPr>
      <t xml:space="preserve"> de </t>
    </r>
    <r>
      <rPr>
        <sz val="9"/>
        <color rgb="FFFF0000"/>
        <rFont val="Tahoma"/>
        <family val="2"/>
      </rPr>
      <t>XXXX</t>
    </r>
    <r>
      <rPr>
        <sz val="9"/>
        <rFont val="Tahoma"/>
        <family val="2"/>
      </rPr>
      <t>.</t>
    </r>
  </si>
  <si>
    <t>________________________________________</t>
  </si>
  <si>
    <t>[Assinatura do Representante legal]</t>
  </si>
  <si>
    <t xml:space="preserve"> Nome: ___________________</t>
  </si>
  <si>
    <t xml:space="preserve"> Cargo: ___________________</t>
  </si>
  <si>
    <t>CPF: ____________________</t>
  </si>
  <si>
    <t>RG: _____________________</t>
  </si>
  <si>
    <t>A contar do dia da sessão de recebimento da mesma (observar o subitem 5.5 do Edital).</t>
  </si>
  <si>
    <t>Preencher apenas as células em amarelo e substituir os caracteres em vermelho</t>
  </si>
  <si>
    <t>CUSTO POR EMPREGADO</t>
  </si>
  <si>
    <t>Módulo 7 - QUADRO-RESUMO DO CUSTO POR EMPREGADO</t>
  </si>
  <si>
    <t>PAGAMENTO MÍNIMO MENSAL SEM FATO GERADOR E/OU OUTRAS OCORRÊNCIAS</t>
  </si>
  <si>
    <t>Módulo 8- QUADRO-RESUMO DO PAGAMENTO MENSAL SEM FATO GERADOR E/OU OUTRAS OCORRÊNCIAS</t>
  </si>
  <si>
    <t xml:space="preserve">item </t>
  </si>
  <si>
    <t>Copeira</t>
  </si>
  <si>
    <t xml:space="preserve">Auxiliar de Limpeza </t>
  </si>
  <si>
    <t>Valor Unitário por posto</t>
  </si>
  <si>
    <t xml:space="preserve">Valor Mensal para o item </t>
  </si>
  <si>
    <r>
      <t>OBJETO:</t>
    </r>
    <r>
      <rPr>
        <sz val="9"/>
        <rFont val="Tahoma"/>
        <family val="2"/>
      </rPr>
      <t xml:space="preserve"> Contratação de empresa especializada na prestação de serviço continuado de limpeza, conservação e copeiragem, com fornecimento de materiais e equipamentos para as dependências da Finep em São Paulo.</t>
    </r>
  </si>
  <si>
    <t>Cesta Básica</t>
  </si>
  <si>
    <t xml:space="preserve">Auxílio Saúde </t>
  </si>
  <si>
    <t>Benefício Social Sindical</t>
  </si>
  <si>
    <t>Tiquete-extra dia do trabalhador (asseio e conservação)</t>
  </si>
  <si>
    <t>Auxiliar de Serviços Gerais</t>
  </si>
  <si>
    <t xml:space="preserve">Categoria Profissional </t>
  </si>
  <si>
    <t>UNIFORMES COPEIRO (A)</t>
  </si>
  <si>
    <t>Par de meias</t>
  </si>
  <si>
    <t>Agasalhos</t>
  </si>
  <si>
    <t>Avental</t>
  </si>
  <si>
    <t>Touca</t>
  </si>
  <si>
    <t>UNIFORMES ASG</t>
  </si>
  <si>
    <t>Calça Para Limpeza</t>
  </si>
  <si>
    <t>Par de Meias branca</t>
  </si>
  <si>
    <t>Bota de Limpeza</t>
  </si>
  <si>
    <t>Quantidade Mensal</t>
  </si>
  <si>
    <t xml:space="preserve">Alcool 70º </t>
  </si>
  <si>
    <t>Neutraliador de Odores</t>
  </si>
  <si>
    <t>Aromatizante Aerosol</t>
  </si>
  <si>
    <t>Desinfetante Concentrado</t>
  </si>
  <si>
    <t>Detergente Biodegradável</t>
  </si>
  <si>
    <t>Esponja Dupla Face</t>
  </si>
  <si>
    <t>Flanela Branca</t>
  </si>
  <si>
    <t>Hipoclorito de Sódio</t>
  </si>
  <si>
    <t>Lustra Móveis</t>
  </si>
  <si>
    <t>Luva Multiuso P</t>
  </si>
  <si>
    <t>Luva Multiuso M</t>
  </si>
  <si>
    <t>Luva Multiuso G</t>
  </si>
  <si>
    <t>Multiuso</t>
  </si>
  <si>
    <t>Pano de Limpeza Branco</t>
  </si>
  <si>
    <t>Saco de Lixo 100 L Verde</t>
  </si>
  <si>
    <t>Saco de Lixo 100 L Vermelho</t>
  </si>
  <si>
    <t>Saco de Lixo 100 L Azul</t>
  </si>
  <si>
    <t>Saco de Lixo 100 L Amarelo</t>
  </si>
  <si>
    <t xml:space="preserve">Saco de Lixo 100 L Marrom </t>
  </si>
  <si>
    <t>Saco de Lixo 60 L Azul</t>
  </si>
  <si>
    <t>Escova Oval</t>
  </si>
  <si>
    <t>Esponja de Aço</t>
  </si>
  <si>
    <t>Vaselina Líquida</t>
  </si>
  <si>
    <t>Fibra LT</t>
  </si>
  <si>
    <t>Pano Multiuso</t>
  </si>
  <si>
    <t>Pasta de Limpeza Multiuso</t>
  </si>
  <si>
    <t>Papel Higiênico 8000 Folhas</t>
  </si>
  <si>
    <t>Papel Toalha 5000 Folhas</t>
  </si>
  <si>
    <t>Sabonete Líquido Erva Doce</t>
  </si>
  <si>
    <t>Café Torrado e Moído</t>
  </si>
  <si>
    <t>Açúcar Refinado</t>
  </si>
  <si>
    <t>Adoçante Dietético</t>
  </si>
  <si>
    <t>Quantidade Única</t>
  </si>
  <si>
    <t>Aspirador de Pó</t>
  </si>
  <si>
    <t>Carrinho Funcional</t>
  </si>
  <si>
    <t>Vassoura Feiticeira</t>
  </si>
  <si>
    <t>Vassoura Noviça</t>
  </si>
  <si>
    <t>Rodo Médio</t>
  </si>
  <si>
    <t>Dispenser Sabonete Espuma</t>
  </si>
  <si>
    <t>Dispenser Detergente</t>
  </si>
  <si>
    <t>Vassoura Limpa Vidros</t>
  </si>
  <si>
    <t xml:space="preserve">Cinto </t>
  </si>
  <si>
    <t>Calça Social</t>
  </si>
  <si>
    <t xml:space="preserve">Camisa Social </t>
  </si>
  <si>
    <t xml:space="preserve">Sapato Social </t>
  </si>
  <si>
    <t xml:space="preserve">Camisa Polo </t>
  </si>
  <si>
    <t>Vida Útil (Meses)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</si>
</sst>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#,##0.00_ ;\-#,##0.00\ "/>
    <numFmt numFmtId="166" formatCode="#,##0_ ;\-#,##0\ "/>
  </numFmts>
  <fonts count="3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Tahoma"/>
      <family val="2"/>
    </font>
    <font>
      <sz val="9"/>
      <name val="Tahoma"/>
      <family val="2"/>
    </font>
    <font>
      <b/>
      <sz val="10"/>
      <name val="Tahoma"/>
      <family val="2"/>
    </font>
    <font>
      <b/>
      <sz val="9"/>
      <color rgb="FFFF0000"/>
      <name val="Tahoma"/>
      <family val="2"/>
    </font>
    <font>
      <sz val="9"/>
      <color indexed="10"/>
      <name val="Tahoma"/>
      <family val="2"/>
    </font>
    <font>
      <sz val="9"/>
      <color rgb="FFFF0000"/>
      <name val="Tahoma"/>
      <family val="2"/>
    </font>
    <font>
      <b/>
      <sz val="11"/>
      <color theme="1"/>
      <name val="Tahoma"/>
      <family val="2"/>
    </font>
    <font>
      <sz val="8"/>
      <color theme="1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sz val="8"/>
      <name val="Tahoma"/>
      <family val="2"/>
    </font>
    <font>
      <sz val="8"/>
      <color rgb="FFFF0000"/>
      <name val="Arial"/>
      <family val="2"/>
    </font>
    <font>
      <sz val="8"/>
      <color rgb="FFFF0000"/>
      <name val="Tahoma"/>
      <family val="2"/>
    </font>
    <font>
      <b/>
      <sz val="8"/>
      <color rgb="FFFF0000"/>
      <name val="Tahoma"/>
      <family val="2"/>
    </font>
    <font>
      <b/>
      <sz val="9"/>
      <color theme="3"/>
      <name val="Tahoma"/>
      <family val="2"/>
    </font>
    <font>
      <sz val="9"/>
      <color indexed="8"/>
      <name val="Tahoma"/>
      <family val="2"/>
    </font>
    <font>
      <b/>
      <sz val="8"/>
      <name val="Tahoma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name val="Tahoma"/>
      <family val="2"/>
    </font>
    <font>
      <sz val="12"/>
      <name val="Arial"/>
      <family val="2"/>
    </font>
    <font>
      <sz val="12"/>
      <color rgb="FFFF0000"/>
      <name val="Tahoma"/>
      <family val="2"/>
    </font>
    <font>
      <sz val="12"/>
      <name val="Tahoma"/>
      <family val="2"/>
    </font>
    <font>
      <b/>
      <sz val="8"/>
      <color theme="1"/>
      <name val="Tahoma"/>
      <family val="2"/>
    </font>
    <font>
      <sz val="7.5"/>
      <name val="Tahoma"/>
      <family val="2"/>
    </font>
    <font>
      <sz val="7.5"/>
      <color rgb="FFFF0000"/>
      <name val="Tahoma"/>
      <family val="2"/>
    </font>
    <font>
      <sz val="9"/>
      <color theme="3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</borders>
  <cellStyleXfs count="14">
    <xf numFmtId="0" fontId="0" fillId="0" borderId="0"/>
    <xf numFmtId="164" fontId="3" fillId="0" borderId="0" applyFill="0" applyBorder="0" applyAlignment="0" applyProtection="0"/>
    <xf numFmtId="9" fontId="3" fillId="0" borderId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53">
    <xf numFmtId="0" fontId="0" fillId="0" borderId="0" xfId="0"/>
    <xf numFmtId="0" fontId="17" fillId="0" borderId="0" xfId="0" applyFont="1" applyAlignment="1">
      <alignment vertical="center"/>
    </xf>
    <xf numFmtId="0" fontId="17" fillId="0" borderId="0" xfId="0" applyFont="1" applyFill="1" applyAlignment="1">
      <alignment vertical="center"/>
    </xf>
    <xf numFmtId="0" fontId="17" fillId="0" borderId="23" xfId="0" applyFont="1" applyBorder="1" applyAlignment="1">
      <alignment vertical="center"/>
    </xf>
    <xf numFmtId="0" fontId="17" fillId="0" borderId="24" xfId="0" applyFont="1" applyBorder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8" fontId="17" fillId="0" borderId="1" xfId="0" applyNumberFormat="1" applyFont="1" applyBorder="1" applyAlignment="1">
      <alignment vertical="center" wrapText="1"/>
    </xf>
    <xf numFmtId="8" fontId="17" fillId="5" borderId="1" xfId="0" applyNumberFormat="1" applyFont="1" applyFill="1" applyBorder="1" applyAlignment="1">
      <alignment horizontal="right" vertical="center" wrapText="1"/>
    </xf>
    <xf numFmtId="8" fontId="18" fillId="0" borderId="1" xfId="0" applyNumberFormat="1" applyFont="1" applyBorder="1" applyAlignment="1">
      <alignment vertical="center"/>
    </xf>
    <xf numFmtId="8" fontId="9" fillId="0" borderId="1" xfId="0" applyNumberFormat="1" applyFont="1" applyFill="1" applyBorder="1" applyAlignment="1">
      <alignment vertical="center"/>
    </xf>
    <xf numFmtId="0" fontId="24" fillId="6" borderId="42" xfId="0" applyFont="1" applyFill="1" applyBorder="1" applyAlignment="1">
      <alignment horizontal="center" vertical="center"/>
    </xf>
    <xf numFmtId="165" fontId="17" fillId="5" borderId="1" xfId="0" applyNumberFormat="1" applyFont="1" applyFill="1" applyBorder="1" applyAlignment="1">
      <alignment vertical="center"/>
    </xf>
    <xf numFmtId="10" fontId="17" fillId="0" borderId="1" xfId="2" applyNumberFormat="1" applyFont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21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vertical="center"/>
    </xf>
    <xf numFmtId="43" fontId="10" fillId="0" borderId="1" xfId="3" applyFont="1" applyBorder="1" applyAlignment="1">
      <alignment vertical="center"/>
    </xf>
    <xf numFmtId="43" fontId="9" fillId="3" borderId="1" xfId="3" applyFont="1" applyFill="1" applyBorder="1" applyAlignment="1">
      <alignment vertical="center"/>
    </xf>
    <xf numFmtId="43" fontId="9" fillId="0" borderId="0" xfId="3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10" fontId="10" fillId="0" borderId="1" xfId="0" applyNumberFormat="1" applyFont="1" applyFill="1" applyBorder="1" applyAlignment="1">
      <alignment horizontal="center" vertical="center"/>
    </xf>
    <xf numFmtId="43" fontId="10" fillId="0" borderId="1" xfId="3" applyFont="1" applyFill="1" applyBorder="1" applyAlignment="1">
      <alignment vertical="center"/>
    </xf>
    <xf numFmtId="10" fontId="9" fillId="3" borderId="1" xfId="0" applyNumberFormat="1" applyFont="1" applyFill="1" applyBorder="1" applyAlignment="1">
      <alignment horizontal="center" vertical="center"/>
    </xf>
    <xf numFmtId="10" fontId="9" fillId="3" borderId="36" xfId="0" applyNumberFormat="1" applyFont="1" applyFill="1" applyBorder="1" applyAlignment="1">
      <alignment horizontal="center" vertical="center"/>
    </xf>
    <xf numFmtId="43" fontId="9" fillId="3" borderId="36" xfId="3" applyFont="1" applyFill="1" applyBorder="1" applyAlignment="1">
      <alignment vertical="center"/>
    </xf>
    <xf numFmtId="43" fontId="9" fillId="0" borderId="1" xfId="3" applyFont="1" applyFill="1" applyBorder="1" applyAlignment="1">
      <alignment vertical="center"/>
    </xf>
    <xf numFmtId="10" fontId="14" fillId="0" borderId="1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 vertical="center" wrapText="1"/>
    </xf>
    <xf numFmtId="43" fontId="10" fillId="0" borderId="1" xfId="3" applyFont="1" applyFill="1" applyBorder="1" applyAlignment="1">
      <alignment horizontal="center" vertical="center"/>
    </xf>
    <xf numFmtId="2" fontId="9" fillId="0" borderId="0" xfId="0" applyNumberFormat="1" applyFont="1" applyFill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164" fontId="9" fillId="3" borderId="1" xfId="1" applyFont="1" applyFill="1" applyBorder="1" applyAlignment="1">
      <alignment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2" fontId="7" fillId="0" borderId="12" xfId="0" applyNumberFormat="1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6" xfId="0" applyFont="1" applyBorder="1" applyAlignment="1">
      <alignment vertical="center"/>
    </xf>
    <xf numFmtId="2" fontId="7" fillId="0" borderId="13" xfId="0" applyNumberFormat="1" applyFont="1" applyFill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16" xfId="0" applyFont="1" applyBorder="1" applyAlignment="1">
      <alignment vertical="center"/>
    </xf>
    <xf numFmtId="0" fontId="8" fillId="0" borderId="40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2" fontId="7" fillId="0" borderId="14" xfId="0" applyNumberFormat="1" applyFont="1" applyFill="1" applyBorder="1" applyAlignment="1">
      <alignment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2" fontId="8" fillId="0" borderId="10" xfId="0" applyNumberFormat="1" applyFont="1" applyFill="1" applyBorder="1" applyAlignment="1">
      <alignment vertical="center"/>
    </xf>
    <xf numFmtId="0" fontId="8" fillId="0" borderId="20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8" fillId="0" borderId="28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32" xfId="0" applyFont="1" applyBorder="1" applyAlignment="1">
      <alignment horizontal="left" vertical="center"/>
    </xf>
    <xf numFmtId="0" fontId="7" fillId="0" borderId="41" xfId="0" applyFont="1" applyBorder="1" applyAlignment="1">
      <alignment horizontal="left" vertical="center"/>
    </xf>
    <xf numFmtId="0" fontId="7" fillId="0" borderId="33" xfId="0" applyFont="1" applyBorder="1" applyAlignment="1">
      <alignment horizontal="left" vertical="center"/>
    </xf>
    <xf numFmtId="2" fontId="7" fillId="0" borderId="5" xfId="0" applyNumberFormat="1" applyFont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3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2" fontId="7" fillId="0" borderId="2" xfId="0" applyNumberFormat="1" applyFont="1" applyFill="1" applyBorder="1" applyAlignment="1">
      <alignment vertical="center"/>
    </xf>
    <xf numFmtId="0" fontId="7" fillId="0" borderId="26" xfId="0" applyFont="1" applyBorder="1" applyAlignment="1">
      <alignment horizontal="left" vertical="center"/>
    </xf>
    <xf numFmtId="0" fontId="7" fillId="0" borderId="40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2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65" fontId="18" fillId="2" borderId="1" xfId="0" applyNumberFormat="1" applyFont="1" applyFill="1" applyBorder="1" applyAlignment="1">
      <alignment vertical="center"/>
    </xf>
    <xf numFmtId="43" fontId="10" fillId="7" borderId="1" xfId="3" applyFont="1" applyFill="1" applyBorder="1" applyAlignment="1">
      <alignment vertical="center"/>
    </xf>
    <xf numFmtId="9" fontId="10" fillId="7" borderId="1" xfId="2" applyNumberFormat="1" applyFont="1" applyFill="1" applyBorder="1" applyAlignment="1">
      <alignment horizontal="center" vertical="center"/>
    </xf>
    <xf numFmtId="10" fontId="10" fillId="7" borderId="1" xfId="2" applyNumberFormat="1" applyFont="1" applyFill="1" applyBorder="1" applyAlignment="1">
      <alignment horizontal="center" vertical="center"/>
    </xf>
    <xf numFmtId="43" fontId="10" fillId="0" borderId="1" xfId="0" applyNumberFormat="1" applyFont="1" applyFill="1" applyBorder="1" applyAlignment="1">
      <alignment vertical="center"/>
    </xf>
    <xf numFmtId="9" fontId="10" fillId="7" borderId="7" xfId="0" applyNumberFormat="1" applyFont="1" applyFill="1" applyBorder="1" applyAlignment="1">
      <alignment horizontal="center" vertical="center"/>
    </xf>
    <xf numFmtId="0" fontId="10" fillId="7" borderId="7" xfId="0" applyFont="1" applyFill="1" applyBorder="1" applyAlignment="1">
      <alignment horizontal="center" vertical="center"/>
    </xf>
    <xf numFmtId="43" fontId="10" fillId="7" borderId="1" xfId="3" applyFont="1" applyFill="1" applyBorder="1" applyAlignment="1">
      <alignment horizontal="right" vertical="center"/>
    </xf>
    <xf numFmtId="10" fontId="10" fillId="7" borderId="1" xfId="0" applyNumberFormat="1" applyFont="1" applyFill="1" applyBorder="1" applyAlignment="1">
      <alignment horizontal="center" vertical="center"/>
    </xf>
    <xf numFmtId="1" fontId="10" fillId="3" borderId="1" xfId="0" applyNumberFormat="1" applyFont="1" applyFill="1" applyBorder="1" applyAlignment="1">
      <alignment horizontal="center" vertical="center"/>
    </xf>
    <xf numFmtId="9" fontId="10" fillId="3" borderId="1" xfId="0" applyNumberFormat="1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17" fillId="5" borderId="0" xfId="0" applyFont="1" applyFill="1" applyAlignment="1">
      <alignment horizontal="center" vertical="center" wrapText="1"/>
    </xf>
    <xf numFmtId="0" fontId="18" fillId="5" borderId="0" xfId="0" applyFont="1" applyFill="1" applyAlignment="1">
      <alignment horizontal="center" vertical="center" wrapText="1"/>
    </xf>
    <xf numFmtId="0" fontId="17" fillId="5" borderId="0" xfId="0" applyFont="1" applyFill="1" applyBorder="1" applyAlignment="1">
      <alignment horizontal="center" vertical="center" wrapText="1"/>
    </xf>
    <xf numFmtId="0" fontId="18" fillId="5" borderId="0" xfId="0" applyFont="1" applyFill="1" applyBorder="1" applyAlignment="1">
      <alignment horizontal="center" vertical="center" wrapText="1"/>
    </xf>
    <xf numFmtId="4" fontId="18" fillId="5" borderId="0" xfId="0" applyNumberFormat="1" applyFont="1" applyFill="1" applyBorder="1" applyAlignment="1">
      <alignment horizontal="center" vertical="center" wrapText="1"/>
    </xf>
    <xf numFmtId="4" fontId="17" fillId="7" borderId="1" xfId="0" applyNumberFormat="1" applyFont="1" applyFill="1" applyBorder="1" applyAlignment="1">
      <alignment horizontal="center" vertical="center" wrapText="1"/>
    </xf>
    <xf numFmtId="10" fontId="10" fillId="7" borderId="1" xfId="0" applyNumberFormat="1" applyFont="1" applyFill="1" applyBorder="1" applyAlignment="1">
      <alignment horizontal="right" vertical="center"/>
    </xf>
    <xf numFmtId="10" fontId="10" fillId="7" borderId="1" xfId="2" applyNumberFormat="1" applyFont="1" applyFill="1" applyBorder="1" applyAlignment="1">
      <alignment horizontal="right" vertical="center"/>
    </xf>
    <xf numFmtId="0" fontId="10" fillId="3" borderId="1" xfId="2" applyNumberFormat="1" applyFont="1" applyFill="1" applyBorder="1" applyAlignment="1">
      <alignment horizontal="right" vertical="center"/>
    </xf>
    <xf numFmtId="43" fontId="10" fillId="0" borderId="1" xfId="3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166" fontId="17" fillId="0" borderId="1" xfId="3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8" fontId="10" fillId="0" borderId="0" xfId="0" applyNumberFormat="1" applyFont="1" applyAlignment="1">
      <alignment vertical="center"/>
    </xf>
    <xf numFmtId="0" fontId="10" fillId="0" borderId="0" xfId="0" applyFont="1" applyFill="1" applyAlignment="1">
      <alignment vertical="center"/>
    </xf>
    <xf numFmtId="2" fontId="10" fillId="7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7" fillId="5" borderId="0" xfId="0" applyFont="1" applyFill="1" applyBorder="1" applyAlignment="1">
      <alignment vertical="center"/>
    </xf>
    <xf numFmtId="0" fontId="7" fillId="5" borderId="0" xfId="0" applyFont="1" applyFill="1" applyAlignment="1">
      <alignment vertical="center"/>
    </xf>
    <xf numFmtId="0" fontId="6" fillId="5" borderId="0" xfId="0" applyFont="1" applyFill="1" applyAlignment="1">
      <alignment vertical="center"/>
    </xf>
    <xf numFmtId="0" fontId="21" fillId="5" borderId="0" xfId="0" applyFont="1" applyFill="1" applyAlignment="1">
      <alignment vertical="center"/>
    </xf>
    <xf numFmtId="0" fontId="19" fillId="5" borderId="0" xfId="0" applyFont="1" applyFill="1" applyAlignment="1">
      <alignment vertical="center"/>
    </xf>
    <xf numFmtId="0" fontId="5" fillId="5" borderId="0" xfId="0" applyFont="1" applyFill="1" applyAlignment="1">
      <alignment vertical="center"/>
    </xf>
    <xf numFmtId="0" fontId="22" fillId="5" borderId="0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left" vertical="center"/>
    </xf>
    <xf numFmtId="0" fontId="10" fillId="5" borderId="0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left" vertical="center"/>
    </xf>
    <xf numFmtId="0" fontId="10" fillId="5" borderId="23" xfId="0" applyFont="1" applyFill="1" applyBorder="1" applyAlignment="1">
      <alignment vertical="center"/>
    </xf>
    <xf numFmtId="0" fontId="10" fillId="5" borderId="9" xfId="0" applyFont="1" applyFill="1" applyBorder="1" applyAlignment="1">
      <alignment vertical="center"/>
    </xf>
    <xf numFmtId="0" fontId="10" fillId="5" borderId="24" xfId="0" applyFont="1" applyFill="1" applyBorder="1" applyAlignment="1">
      <alignment vertical="center"/>
    </xf>
    <xf numFmtId="43" fontId="10" fillId="5" borderId="1" xfId="3" applyFont="1" applyFill="1" applyBorder="1" applyAlignment="1">
      <alignment vertical="center"/>
    </xf>
    <xf numFmtId="0" fontId="30" fillId="5" borderId="0" xfId="0" applyFont="1" applyFill="1" applyAlignment="1">
      <alignment vertical="center"/>
    </xf>
    <xf numFmtId="0" fontId="31" fillId="5" borderId="0" xfId="0" applyFont="1" applyFill="1" applyAlignment="1">
      <alignment vertical="center"/>
    </xf>
    <xf numFmtId="0" fontId="29" fillId="5" borderId="0" xfId="0" applyFont="1" applyFill="1" applyAlignment="1">
      <alignment vertical="center"/>
    </xf>
    <xf numFmtId="0" fontId="21" fillId="5" borderId="0" xfId="0" applyFont="1" applyFill="1" applyAlignment="1">
      <alignment horizontal="left" vertical="center"/>
    </xf>
    <xf numFmtId="2" fontId="19" fillId="5" borderId="0" xfId="0" applyNumberFormat="1" applyFont="1" applyFill="1" applyAlignment="1">
      <alignment vertical="center"/>
    </xf>
    <xf numFmtId="10" fontId="21" fillId="5" borderId="0" xfId="0" applyNumberFormat="1" applyFont="1" applyFill="1" applyAlignment="1">
      <alignment vertical="center"/>
    </xf>
    <xf numFmtId="43" fontId="9" fillId="5" borderId="0" xfId="3" applyFont="1" applyFill="1" applyBorder="1" applyAlignment="1">
      <alignment vertical="center"/>
    </xf>
    <xf numFmtId="0" fontId="21" fillId="5" borderId="0" xfId="0" applyFont="1" applyFill="1" applyBorder="1" applyAlignment="1">
      <alignment vertical="center"/>
    </xf>
    <xf numFmtId="0" fontId="22" fillId="5" borderId="0" xfId="0" applyFont="1" applyFill="1" applyBorder="1" applyAlignment="1">
      <alignment vertical="center"/>
    </xf>
    <xf numFmtId="2" fontId="22" fillId="5" borderId="0" xfId="0" applyNumberFormat="1" applyFont="1" applyFill="1" applyAlignment="1">
      <alignment vertical="center"/>
    </xf>
    <xf numFmtId="43" fontId="21" fillId="5" borderId="0" xfId="0" applyNumberFormat="1" applyFont="1" applyFill="1" applyBorder="1" applyAlignment="1">
      <alignment vertical="center"/>
    </xf>
    <xf numFmtId="43" fontId="5" fillId="5" borderId="0" xfId="0" applyNumberFormat="1" applyFont="1" applyFill="1" applyAlignment="1">
      <alignment vertical="center"/>
    </xf>
    <xf numFmtId="0" fontId="3" fillId="5" borderId="0" xfId="0" applyFont="1" applyFill="1" applyAlignment="1">
      <alignment vertical="center"/>
    </xf>
    <xf numFmtId="2" fontId="21" fillId="5" borderId="0" xfId="0" applyNumberFormat="1" applyFont="1" applyFill="1" applyBorder="1" applyAlignment="1">
      <alignment vertical="center"/>
    </xf>
    <xf numFmtId="43" fontId="5" fillId="5" borderId="0" xfId="3" applyFont="1" applyFill="1" applyAlignment="1">
      <alignment vertical="center"/>
    </xf>
    <xf numFmtId="9" fontId="5" fillId="5" borderId="0" xfId="2" applyFont="1" applyFill="1" applyAlignment="1">
      <alignment vertical="center"/>
    </xf>
    <xf numFmtId="10" fontId="5" fillId="5" borderId="0" xfId="2" applyNumberFormat="1" applyFont="1" applyFill="1" applyAlignment="1">
      <alignment vertical="center"/>
    </xf>
    <xf numFmtId="0" fontId="19" fillId="5" borderId="37" xfId="0" applyFont="1" applyFill="1" applyBorder="1" applyAlignment="1">
      <alignment horizontal="left" vertical="center" wrapText="1"/>
    </xf>
    <xf numFmtId="0" fontId="19" fillId="5" borderId="0" xfId="0" applyFont="1" applyFill="1" applyBorder="1" applyAlignment="1">
      <alignment horizontal="left" vertical="center" wrapText="1"/>
    </xf>
    <xf numFmtId="0" fontId="19" fillId="5" borderId="43" xfId="0" applyFont="1" applyFill="1" applyBorder="1" applyAlignment="1">
      <alignment horizontal="left" vertical="center" wrapText="1"/>
    </xf>
    <xf numFmtId="2" fontId="5" fillId="5" borderId="0" xfId="0" applyNumberFormat="1" applyFont="1" applyFill="1" applyAlignment="1">
      <alignment vertical="center"/>
    </xf>
    <xf numFmtId="10" fontId="9" fillId="5" borderId="0" xfId="0" applyNumberFormat="1" applyFont="1" applyFill="1" applyBorder="1" applyAlignment="1">
      <alignment horizontal="center" vertical="center"/>
    </xf>
    <xf numFmtId="2" fontId="9" fillId="5" borderId="0" xfId="0" applyNumberFormat="1" applyFont="1" applyFill="1" applyBorder="1" applyAlignment="1">
      <alignment vertical="center"/>
    </xf>
    <xf numFmtId="164" fontId="22" fillId="5" borderId="0" xfId="1" applyFont="1" applyFill="1" applyAlignment="1">
      <alignment vertical="center"/>
    </xf>
    <xf numFmtId="2" fontId="21" fillId="5" borderId="0" xfId="0" applyNumberFormat="1" applyFont="1" applyFill="1" applyAlignment="1">
      <alignment vertical="center"/>
    </xf>
    <xf numFmtId="43" fontId="21" fillId="5" borderId="0" xfId="3" applyFont="1" applyFill="1" applyAlignment="1">
      <alignment vertical="center"/>
    </xf>
    <xf numFmtId="0" fontId="20" fillId="5" borderId="0" xfId="0" applyFont="1" applyFill="1" applyAlignment="1">
      <alignment vertical="center"/>
    </xf>
    <xf numFmtId="43" fontId="20" fillId="5" borderId="0" xfId="0" applyNumberFormat="1" applyFont="1" applyFill="1" applyAlignment="1">
      <alignment vertical="center"/>
    </xf>
    <xf numFmtId="0" fontId="4" fillId="5" borderId="0" xfId="0" applyFont="1" applyFill="1" applyAlignment="1">
      <alignment vertical="center"/>
    </xf>
    <xf numFmtId="0" fontId="17" fillId="7" borderId="1" xfId="0" applyFont="1" applyFill="1" applyBorder="1" applyAlignment="1">
      <alignment vertical="center"/>
    </xf>
    <xf numFmtId="0" fontId="10" fillId="0" borderId="34" xfId="0" applyFont="1" applyFill="1" applyBorder="1" applyAlignment="1">
      <alignment vertical="center"/>
    </xf>
    <xf numFmtId="0" fontId="9" fillId="3" borderId="9" xfId="0" applyFont="1" applyFill="1" applyBorder="1" applyAlignment="1">
      <alignment vertical="center"/>
    </xf>
    <xf numFmtId="0" fontId="9" fillId="3" borderId="24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9" fillId="0" borderId="23" xfId="0" applyFont="1" applyFill="1" applyBorder="1" applyAlignment="1">
      <alignment vertical="center"/>
    </xf>
    <xf numFmtId="0" fontId="10" fillId="0" borderId="23" xfId="0" applyFont="1" applyFill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7" fillId="5" borderId="1" xfId="0" applyFont="1" applyFill="1" applyBorder="1" applyAlignment="1">
      <alignment vertical="center" wrapText="1"/>
    </xf>
    <xf numFmtId="43" fontId="9" fillId="0" borderId="1" xfId="3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vertical="center"/>
    </xf>
    <xf numFmtId="0" fontId="10" fillId="0" borderId="9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25" fillId="5" borderId="0" xfId="0" applyFont="1" applyFill="1" applyBorder="1" applyAlignment="1">
      <alignment horizontal="left" vertical="center"/>
    </xf>
    <xf numFmtId="43" fontId="6" fillId="5" borderId="0" xfId="0" quotePrefix="1" applyNumberFormat="1" applyFont="1" applyFill="1" applyAlignment="1">
      <alignment vertical="center"/>
    </xf>
    <xf numFmtId="0" fontId="20" fillId="5" borderId="0" xfId="0" quotePrefix="1" applyFont="1" applyFill="1" applyAlignment="1">
      <alignment vertical="center"/>
    </xf>
    <xf numFmtId="0" fontId="0" fillId="5" borderId="0" xfId="0" quotePrefix="1" applyFont="1" applyFill="1" applyAlignment="1">
      <alignment vertical="center"/>
    </xf>
    <xf numFmtId="43" fontId="10" fillId="0" borderId="0" xfId="3" applyFont="1" applyBorder="1" applyAlignment="1">
      <alignment vertical="center"/>
    </xf>
    <xf numFmtId="43" fontId="10" fillId="5" borderId="0" xfId="3" applyFont="1" applyFill="1" applyBorder="1" applyAlignment="1">
      <alignment vertical="center"/>
    </xf>
    <xf numFmtId="43" fontId="10" fillId="0" borderId="0" xfId="3" applyFont="1" applyBorder="1" applyAlignment="1">
      <alignment horizontal="center" vertical="center"/>
    </xf>
    <xf numFmtId="43" fontId="10" fillId="0" borderId="0" xfId="0" applyNumberFormat="1" applyFont="1" applyFill="1" applyBorder="1" applyAlignment="1">
      <alignment vertical="center"/>
    </xf>
    <xf numFmtId="43" fontId="10" fillId="0" borderId="0" xfId="3" applyFont="1" applyFill="1" applyBorder="1" applyAlignment="1">
      <alignment vertical="center"/>
    </xf>
    <xf numFmtId="0" fontId="9" fillId="5" borderId="0" xfId="0" applyFont="1" applyFill="1" applyBorder="1" applyAlignment="1">
      <alignment horizontal="center" vertical="center" wrapText="1"/>
    </xf>
    <xf numFmtId="43" fontId="9" fillId="0" borderId="0" xfId="3" applyFont="1" applyFill="1" applyBorder="1" applyAlignment="1">
      <alignment horizontal="center" vertical="center"/>
    </xf>
    <xf numFmtId="43" fontId="10" fillId="0" borderId="0" xfId="3" applyFont="1" applyFill="1" applyBorder="1" applyAlignment="1">
      <alignment horizontal="center" vertical="center"/>
    </xf>
    <xf numFmtId="2" fontId="7" fillId="0" borderId="0" xfId="0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165" fontId="17" fillId="5" borderId="0" xfId="0" applyNumberFormat="1" applyFont="1" applyFill="1" applyBorder="1" applyAlignment="1">
      <alignment vertical="center"/>
    </xf>
    <xf numFmtId="165" fontId="14" fillId="0" borderId="0" xfId="1" applyNumberFormat="1" applyFont="1" applyBorder="1" applyAlignment="1">
      <alignment horizontal="right" vertical="center" wrapText="1"/>
    </xf>
    <xf numFmtId="0" fontId="14" fillId="0" borderId="0" xfId="0" applyFont="1" applyBorder="1" applyAlignment="1">
      <alignment horizontal="left" vertical="center" wrapText="1"/>
    </xf>
    <xf numFmtId="0" fontId="0" fillId="0" borderId="0" xfId="0" applyFont="1" applyFill="1" applyAlignment="1">
      <alignment vertical="center"/>
    </xf>
    <xf numFmtId="0" fontId="17" fillId="0" borderId="1" xfId="0" applyFont="1" applyFill="1" applyBorder="1" applyAlignment="1">
      <alignment vertical="center" wrapText="1"/>
    </xf>
    <xf numFmtId="165" fontId="17" fillId="0" borderId="1" xfId="0" applyNumberFormat="1" applyFont="1" applyFill="1" applyBorder="1" applyAlignment="1">
      <alignment vertical="center"/>
    </xf>
    <xf numFmtId="165" fontId="17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center" vertical="center"/>
    </xf>
    <xf numFmtId="43" fontId="10" fillId="0" borderId="0" xfId="3" applyFont="1" applyFill="1" applyBorder="1" applyAlignment="1">
      <alignment horizontal="right" vertical="center"/>
    </xf>
    <xf numFmtId="164" fontId="9" fillId="0" borderId="0" xfId="1" applyFont="1" applyFill="1" applyBorder="1" applyAlignment="1">
      <alignment vertical="center"/>
    </xf>
    <xf numFmtId="2" fontId="7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165" fontId="18" fillId="0" borderId="0" xfId="0" applyNumberFormat="1" applyFont="1" applyFill="1" applyBorder="1" applyAlignment="1">
      <alignment vertical="center"/>
    </xf>
    <xf numFmtId="43" fontId="9" fillId="0" borderId="0" xfId="0" applyNumberFormat="1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10" fillId="8" borderId="9" xfId="0" applyFont="1" applyFill="1" applyBorder="1" applyAlignment="1">
      <alignment vertical="center"/>
    </xf>
    <xf numFmtId="10" fontId="10" fillId="8" borderId="1" xfId="2" applyNumberFormat="1" applyFont="1" applyFill="1" applyBorder="1" applyAlignment="1">
      <alignment horizontal="center" vertical="center"/>
    </xf>
    <xf numFmtId="43" fontId="10" fillId="8" borderId="1" xfId="3" applyFont="1" applyFill="1" applyBorder="1" applyAlignment="1">
      <alignment vertical="center"/>
    </xf>
    <xf numFmtId="43" fontId="14" fillId="5" borderId="0" xfId="3" applyFont="1" applyFill="1" applyBorder="1" applyAlignment="1">
      <alignment vertical="center"/>
    </xf>
    <xf numFmtId="0" fontId="9" fillId="8" borderId="36" xfId="0" applyFont="1" applyFill="1" applyBorder="1" applyAlignment="1">
      <alignment horizontal="center" vertical="center"/>
    </xf>
    <xf numFmtId="10" fontId="10" fillId="8" borderId="1" xfId="2" applyNumberFormat="1" applyFont="1" applyFill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/>
    </xf>
    <xf numFmtId="0" fontId="12" fillId="5" borderId="0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23" fillId="5" borderId="0" xfId="0" applyFont="1" applyFill="1" applyBorder="1" applyAlignment="1">
      <alignment horizontal="left" vertical="center"/>
    </xf>
    <xf numFmtId="0" fontId="9" fillId="3" borderId="9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left" vertical="center"/>
    </xf>
    <xf numFmtId="0" fontId="19" fillId="0" borderId="9" xfId="0" applyFont="1" applyFill="1" applyBorder="1" applyAlignment="1">
      <alignment horizontal="left" vertical="center"/>
    </xf>
    <xf numFmtId="0" fontId="19" fillId="0" borderId="24" xfId="0" applyFont="1" applyFill="1" applyBorder="1" applyAlignment="1">
      <alignment horizontal="left" vertical="center"/>
    </xf>
    <xf numFmtId="0" fontId="9" fillId="0" borderId="2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5" borderId="34" xfId="0" applyFont="1" applyFill="1" applyBorder="1" applyAlignment="1">
      <alignment horizontal="center" vertical="center"/>
    </xf>
    <xf numFmtId="0" fontId="9" fillId="5" borderId="35" xfId="0" applyFont="1" applyFill="1" applyBorder="1" applyAlignment="1">
      <alignment horizontal="center" vertical="center"/>
    </xf>
    <xf numFmtId="0" fontId="9" fillId="5" borderId="38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165" fontId="35" fillId="0" borderId="1" xfId="1" applyNumberFormat="1" applyFont="1" applyBorder="1" applyAlignment="1">
      <alignment horizontal="right" vertical="center" wrapText="1"/>
    </xf>
    <xf numFmtId="0" fontId="18" fillId="0" borderId="0" xfId="0" applyFont="1" applyFill="1" applyBorder="1" applyAlignment="1">
      <alignment horizontal="center" vertical="center" wrapText="1"/>
    </xf>
    <xf numFmtId="4" fontId="17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3" fontId="17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9" fillId="0" borderId="23" xfId="0" applyFont="1" applyFill="1" applyBorder="1" applyAlignment="1">
      <alignment vertical="center"/>
    </xf>
    <xf numFmtId="43" fontId="9" fillId="2" borderId="1" xfId="0" applyNumberFormat="1" applyFont="1" applyFill="1" applyBorder="1" applyAlignment="1">
      <alignment vertical="center"/>
    </xf>
    <xf numFmtId="0" fontId="18" fillId="4" borderId="1" xfId="0" applyFont="1" applyFill="1" applyBorder="1" applyAlignment="1">
      <alignment horizontal="center" vertical="center" wrapText="1"/>
    </xf>
    <xf numFmtId="2" fontId="17" fillId="0" borderId="1" xfId="0" applyNumberFormat="1" applyFont="1" applyFill="1" applyBorder="1" applyAlignment="1">
      <alignment horizontal="center" vertical="center" wrapText="1"/>
    </xf>
    <xf numFmtId="164" fontId="18" fillId="4" borderId="1" xfId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" fontId="10" fillId="7" borderId="1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0" fontId="18" fillId="4" borderId="24" xfId="0" applyFont="1" applyFill="1" applyBorder="1" applyAlignment="1">
      <alignment horizontal="center" vertical="center" wrapText="1"/>
    </xf>
    <xf numFmtId="0" fontId="15" fillId="5" borderId="0" xfId="0" applyFont="1" applyFill="1" applyBorder="1" applyAlignment="1">
      <alignment vertical="center" wrapText="1"/>
    </xf>
    <xf numFmtId="0" fontId="28" fillId="3" borderId="20" xfId="0" applyFont="1" applyFill="1" applyBorder="1" applyAlignment="1">
      <alignment horizontal="center" vertical="center"/>
    </xf>
    <xf numFmtId="0" fontId="28" fillId="3" borderId="18" xfId="0" applyFont="1" applyFill="1" applyBorder="1" applyAlignment="1">
      <alignment horizontal="center" vertical="center"/>
    </xf>
    <xf numFmtId="0" fontId="28" fillId="3" borderId="1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32" fillId="2" borderId="23" xfId="0" applyFont="1" applyFill="1" applyBorder="1" applyAlignment="1">
      <alignment horizontal="left" vertical="center"/>
    </xf>
    <xf numFmtId="0" fontId="32" fillId="2" borderId="9" xfId="0" applyFont="1" applyFill="1" applyBorder="1" applyAlignment="1">
      <alignment horizontal="left" vertical="center"/>
    </xf>
    <xf numFmtId="0" fontId="32" fillId="2" borderId="24" xfId="0" applyFont="1" applyFill="1" applyBorder="1" applyAlignment="1">
      <alignment horizontal="left" vertical="center"/>
    </xf>
    <xf numFmtId="0" fontId="35" fillId="0" borderId="1" xfId="0" applyFont="1" applyBorder="1" applyAlignment="1">
      <alignment horizontal="left" vertical="center" wrapText="1"/>
    </xf>
    <xf numFmtId="0" fontId="16" fillId="0" borderId="23" xfId="0" applyFont="1" applyFill="1" applyBorder="1" applyAlignment="1">
      <alignment horizontal="left" vertical="center"/>
    </xf>
    <xf numFmtId="0" fontId="16" fillId="0" borderId="9" xfId="0" applyFont="1" applyFill="1" applyBorder="1" applyAlignment="1">
      <alignment horizontal="left" vertical="center"/>
    </xf>
    <xf numFmtId="0" fontId="16" fillId="0" borderId="24" xfId="0" applyFont="1" applyFill="1" applyBorder="1" applyAlignment="1">
      <alignment horizontal="left" vertical="center"/>
    </xf>
    <xf numFmtId="0" fontId="16" fillId="0" borderId="23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24" xfId="0" applyFont="1" applyBorder="1" applyAlignment="1">
      <alignment horizontal="left" vertical="center" wrapText="1"/>
    </xf>
    <xf numFmtId="0" fontId="6" fillId="5" borderId="0" xfId="0" quotePrefix="1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horizontal="left" vertical="center"/>
    </xf>
    <xf numFmtId="0" fontId="16" fillId="5" borderId="9" xfId="0" applyFont="1" applyFill="1" applyBorder="1" applyAlignment="1">
      <alignment horizontal="left" vertical="center"/>
    </xf>
    <xf numFmtId="0" fontId="16" fillId="5" borderId="24" xfId="0" applyFont="1" applyFill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23" fillId="5" borderId="0" xfId="0" applyFont="1" applyFill="1" applyAlignment="1">
      <alignment horizontal="left" vertical="center"/>
    </xf>
    <xf numFmtId="0" fontId="18" fillId="2" borderId="1" xfId="0" applyFont="1" applyFill="1" applyBorder="1" applyAlignment="1">
      <alignment horizontal="center" vertical="center"/>
    </xf>
    <xf numFmtId="0" fontId="25" fillId="3" borderId="23" xfId="0" applyFont="1" applyFill="1" applyBorder="1" applyAlignment="1">
      <alignment horizontal="left" vertical="center"/>
    </xf>
    <xf numFmtId="0" fontId="25" fillId="3" borderId="9" xfId="0" applyFont="1" applyFill="1" applyBorder="1" applyAlignment="1">
      <alignment horizontal="left" vertical="center"/>
    </xf>
    <xf numFmtId="0" fontId="25" fillId="3" borderId="24" xfId="0" applyFont="1" applyFill="1" applyBorder="1" applyAlignment="1">
      <alignment horizontal="left" vertical="center"/>
    </xf>
    <xf numFmtId="0" fontId="8" fillId="0" borderId="2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19" fillId="0" borderId="23" xfId="0" applyFont="1" applyFill="1" applyBorder="1" applyAlignment="1">
      <alignment horizontal="left" vertical="center"/>
    </xf>
    <xf numFmtId="0" fontId="19" fillId="0" borderId="9" xfId="0" applyFont="1" applyFill="1" applyBorder="1" applyAlignment="1">
      <alignment horizontal="left" vertical="center"/>
    </xf>
    <xf numFmtId="0" fontId="19" fillId="0" borderId="24" xfId="0" applyFont="1" applyFill="1" applyBorder="1" applyAlignment="1">
      <alignment horizontal="left" vertical="center"/>
    </xf>
    <xf numFmtId="0" fontId="25" fillId="0" borderId="23" xfId="0" applyFont="1" applyFill="1" applyBorder="1" applyAlignment="1">
      <alignment horizontal="left" vertical="center"/>
    </xf>
    <xf numFmtId="0" fontId="25" fillId="0" borderId="9" xfId="0" applyFont="1" applyFill="1" applyBorder="1" applyAlignment="1">
      <alignment horizontal="left" vertical="center"/>
    </xf>
    <xf numFmtId="0" fontId="25" fillId="0" borderId="24" xfId="0" applyFont="1" applyFill="1" applyBorder="1" applyAlignment="1">
      <alignment horizontal="left" vertical="center"/>
    </xf>
    <xf numFmtId="0" fontId="23" fillId="5" borderId="0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left" vertical="center"/>
    </xf>
    <xf numFmtId="0" fontId="9" fillId="3" borderId="9" xfId="0" applyFont="1" applyFill="1" applyBorder="1" applyAlignment="1">
      <alignment horizontal="left" vertical="center"/>
    </xf>
    <xf numFmtId="0" fontId="9" fillId="3" borderId="24" xfId="0" applyFont="1" applyFill="1" applyBorder="1" applyAlignment="1">
      <alignment horizontal="left" vertical="center"/>
    </xf>
    <xf numFmtId="0" fontId="9" fillId="5" borderId="21" xfId="0" applyFont="1" applyFill="1" applyBorder="1" applyAlignment="1">
      <alignment horizontal="center" vertical="center"/>
    </xf>
    <xf numFmtId="0" fontId="9" fillId="5" borderId="22" xfId="0" applyFont="1" applyFill="1" applyBorder="1" applyAlignment="1">
      <alignment horizontal="center" vertical="center"/>
    </xf>
    <xf numFmtId="0" fontId="9" fillId="5" borderId="39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39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left" vertical="center" wrapText="1"/>
    </xf>
    <xf numFmtId="0" fontId="19" fillId="0" borderId="9" xfId="0" applyFont="1" applyFill="1" applyBorder="1" applyAlignment="1">
      <alignment horizontal="left" vertical="center" wrapText="1"/>
    </xf>
    <xf numFmtId="0" fontId="19" fillId="0" borderId="24" xfId="0" applyFont="1" applyFill="1" applyBorder="1" applyAlignment="1">
      <alignment horizontal="left" vertical="center" wrapText="1"/>
    </xf>
    <xf numFmtId="0" fontId="33" fillId="0" borderId="23" xfId="0" applyFont="1" applyFill="1" applyBorder="1" applyAlignment="1">
      <alignment horizontal="left" vertical="center"/>
    </xf>
    <xf numFmtId="0" fontId="33" fillId="0" borderId="24" xfId="0" applyFont="1" applyFill="1" applyBorder="1" applyAlignment="1">
      <alignment horizontal="left" vertical="center"/>
    </xf>
    <xf numFmtId="0" fontId="9" fillId="5" borderId="35" xfId="0" applyFont="1" applyFill="1" applyBorder="1" applyAlignment="1">
      <alignment horizontal="center" vertical="center"/>
    </xf>
    <xf numFmtId="0" fontId="9" fillId="5" borderId="34" xfId="0" applyFont="1" applyFill="1" applyBorder="1" applyAlignment="1">
      <alignment horizontal="center" vertical="center"/>
    </xf>
    <xf numFmtId="0" fontId="9" fillId="5" borderId="38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9" fillId="5" borderId="34" xfId="0" applyFont="1" applyFill="1" applyBorder="1" applyAlignment="1">
      <alignment horizontal="center" vertical="center" wrapText="1"/>
    </xf>
    <xf numFmtId="0" fontId="9" fillId="5" borderId="35" xfId="0" applyFont="1" applyFill="1" applyBorder="1" applyAlignment="1">
      <alignment horizontal="center" vertical="center" wrapText="1"/>
    </xf>
    <xf numFmtId="0" fontId="9" fillId="5" borderId="38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0" fontId="9" fillId="5" borderId="39" xfId="0" applyFont="1" applyFill="1" applyBorder="1" applyAlignment="1">
      <alignment horizontal="center" vertical="center" wrapText="1"/>
    </xf>
    <xf numFmtId="0" fontId="21" fillId="5" borderId="0" xfId="0" applyFont="1" applyFill="1" applyBorder="1" applyAlignment="1">
      <alignment horizontal="left" vertical="center"/>
    </xf>
    <xf numFmtId="0" fontId="21" fillId="5" borderId="0" xfId="0" applyFont="1" applyFill="1" applyBorder="1" applyAlignment="1">
      <alignment horizontal="left" vertical="center" wrapText="1"/>
    </xf>
    <xf numFmtId="0" fontId="9" fillId="0" borderId="3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left" vertical="center"/>
    </xf>
    <xf numFmtId="0" fontId="10" fillId="0" borderId="2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 wrapText="1"/>
    </xf>
    <xf numFmtId="10" fontId="10" fillId="0" borderId="38" xfId="0" applyNumberFormat="1" applyFont="1" applyFill="1" applyBorder="1" applyAlignment="1">
      <alignment horizontal="center" vertical="center"/>
    </xf>
    <xf numFmtId="10" fontId="10" fillId="0" borderId="39" xfId="0" applyNumberFormat="1" applyFont="1" applyFill="1" applyBorder="1" applyAlignment="1">
      <alignment horizontal="center" vertical="center"/>
    </xf>
    <xf numFmtId="43" fontId="10" fillId="0" borderId="36" xfId="3" applyFont="1" applyFill="1" applyBorder="1" applyAlignment="1">
      <alignment horizontal="center" vertical="center"/>
    </xf>
    <xf numFmtId="43" fontId="10" fillId="0" borderId="7" xfId="3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9" fillId="8" borderId="23" xfId="0" applyFont="1" applyFill="1" applyBorder="1" applyAlignment="1">
      <alignment horizontal="left" vertical="center"/>
    </xf>
    <xf numFmtId="0" fontId="19" fillId="8" borderId="9" xfId="0" applyFont="1" applyFill="1" applyBorder="1" applyAlignment="1">
      <alignment horizontal="left" vertical="center"/>
    </xf>
    <xf numFmtId="0" fontId="19" fillId="8" borderId="24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left" vertical="center"/>
    </xf>
    <xf numFmtId="0" fontId="17" fillId="7" borderId="1" xfId="0" applyFont="1" applyFill="1" applyBorder="1" applyAlignment="1">
      <alignment horizontal="left" vertical="center"/>
    </xf>
    <xf numFmtId="0" fontId="9" fillId="5" borderId="0" xfId="0" applyFont="1" applyFill="1" applyBorder="1" applyAlignment="1">
      <alignment horizontal="center" vertical="center"/>
    </xf>
    <xf numFmtId="0" fontId="12" fillId="5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center" vertical="center" wrapText="1"/>
    </xf>
    <xf numFmtId="0" fontId="18" fillId="4" borderId="23" xfId="0" applyFont="1" applyFill="1" applyBorder="1" applyAlignment="1">
      <alignment horizontal="center" vertical="center" wrapText="1"/>
    </xf>
    <xf numFmtId="0" fontId="18" fillId="4" borderId="24" xfId="0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8" fillId="9" borderId="0" xfId="0" applyFont="1" applyFill="1" applyAlignment="1">
      <alignment horizontal="center" vertical="center" wrapText="1"/>
    </xf>
  </cellXfs>
  <cellStyles count="14">
    <cellStyle name="Moeda" xfId="1" builtinId="4"/>
    <cellStyle name="Moeda 2" xfId="6"/>
    <cellStyle name="Moeda 3" xfId="11"/>
    <cellStyle name="Normal" xfId="0" builtinId="0"/>
    <cellStyle name="Normal 2" xfId="5"/>
    <cellStyle name="Normal 3" xfId="4"/>
    <cellStyle name="Normal 4" xfId="12"/>
    <cellStyle name="Porcentagem" xfId="2" builtinId="5"/>
    <cellStyle name="Porcentagem 2" xfId="7"/>
    <cellStyle name="Porcentagem 3" xfId="10"/>
    <cellStyle name="Vírgula" xfId="3" builtinId="3"/>
    <cellStyle name="Vírgula 2" xfId="8"/>
    <cellStyle name="Vírgula 3" xfId="9"/>
    <cellStyle name="Vírgula 4" xfId="13"/>
  </cellStyles>
  <dxfs count="0"/>
  <tableStyles count="0" defaultTableStyle="TableStyleMedium9" defaultPivotStyle="PivotStyleLight16"/>
  <colors>
    <mruColors>
      <color rgb="FFFFFF99"/>
      <color rgb="FF00CC00"/>
      <color rgb="FF33C3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H25"/>
  <sheetViews>
    <sheetView showGridLines="0" zoomScaleNormal="100" workbookViewId="0">
      <selection activeCell="G10" sqref="G10"/>
    </sheetView>
  </sheetViews>
  <sheetFormatPr defaultColWidth="9.109375" defaultRowHeight="22.5" customHeight="1" x14ac:dyDescent="0.25"/>
  <cols>
    <col min="1" max="1" width="8.33203125" style="109" customWidth="1"/>
    <col min="2" max="2" width="20.88671875" style="109" customWidth="1"/>
    <col min="3" max="4" width="13.33203125" style="109" customWidth="1"/>
    <col min="5" max="5" width="14.33203125" style="109" customWidth="1"/>
    <col min="6" max="6" width="13.6640625" style="109" customWidth="1"/>
    <col min="7" max="7" width="16.109375" style="109" bestFit="1" customWidth="1"/>
    <col min="8" max="8" width="14.6640625" style="109" bestFit="1" customWidth="1"/>
    <col min="9" max="16384" width="9.109375" style="109"/>
  </cols>
  <sheetData>
    <row r="1" spans="1:8" ht="22.5" customHeight="1" x14ac:dyDescent="0.25">
      <c r="B1" s="254" t="s">
        <v>142</v>
      </c>
      <c r="C1" s="254"/>
      <c r="D1" s="254"/>
      <c r="E1" s="254"/>
      <c r="F1" s="254"/>
      <c r="G1" s="254"/>
    </row>
    <row r="3" spans="1:8" ht="22.5" customHeight="1" x14ac:dyDescent="0.25">
      <c r="B3" s="113" t="s">
        <v>143</v>
      </c>
    </row>
    <row r="4" spans="1:8" ht="22.5" customHeight="1" x14ac:dyDescent="0.25">
      <c r="B4" s="255" t="s">
        <v>221</v>
      </c>
      <c r="C4" s="255"/>
      <c r="D4" s="255"/>
      <c r="E4" s="255"/>
      <c r="F4" s="255"/>
      <c r="G4" s="255"/>
      <c r="H4" s="110"/>
    </row>
    <row r="5" spans="1:8" ht="22.5" customHeight="1" thickBot="1" x14ac:dyDescent="0.3"/>
    <row r="6" spans="1:8" ht="22.5" customHeight="1" thickBot="1" x14ac:dyDescent="0.3">
      <c r="B6" s="248" t="s">
        <v>108</v>
      </c>
      <c r="C6" s="249"/>
      <c r="D6" s="249"/>
      <c r="E6" s="249"/>
      <c r="F6" s="249"/>
      <c r="G6" s="250"/>
    </row>
    <row r="7" spans="1:8" ht="22.5" customHeight="1" x14ac:dyDescent="0.25">
      <c r="B7" s="14"/>
      <c r="C7" s="14"/>
      <c r="D7" s="14"/>
      <c r="E7" s="14"/>
      <c r="F7" s="14"/>
      <c r="G7" s="14"/>
    </row>
    <row r="8" spans="1:8" ht="22.5" customHeight="1" x14ac:dyDescent="0.25">
      <c r="A8" s="225" t="s">
        <v>216</v>
      </c>
      <c r="B8" s="94" t="s">
        <v>105</v>
      </c>
      <c r="C8" s="94" t="s">
        <v>141</v>
      </c>
      <c r="D8" s="94" t="s">
        <v>106</v>
      </c>
      <c r="E8" s="94" t="s">
        <v>219</v>
      </c>
      <c r="F8" s="94" t="s">
        <v>220</v>
      </c>
      <c r="G8" s="94" t="s">
        <v>107</v>
      </c>
    </row>
    <row r="9" spans="1:8" ht="22.5" customHeight="1" x14ac:dyDescent="0.25">
      <c r="A9" s="225">
        <v>1</v>
      </c>
      <c r="B9" s="233" t="s">
        <v>217</v>
      </c>
      <c r="C9" s="234">
        <v>1</v>
      </c>
      <c r="D9" s="234">
        <v>30</v>
      </c>
      <c r="E9" s="7">
        <f>Copeira!H137</f>
        <v>5222.7933333333349</v>
      </c>
      <c r="F9" s="7">
        <f>E9*C9</f>
        <v>5222.7933333333349</v>
      </c>
      <c r="G9" s="7">
        <f>F9*D9</f>
        <v>156683.80000000005</v>
      </c>
    </row>
    <row r="10" spans="1:8" ht="22.5" customHeight="1" x14ac:dyDescent="0.25">
      <c r="A10" s="225">
        <v>2</v>
      </c>
      <c r="B10" s="233" t="s">
        <v>218</v>
      </c>
      <c r="C10" s="108">
        <v>2</v>
      </c>
      <c r="D10" s="6">
        <v>30</v>
      </c>
      <c r="E10" s="7">
        <f>ASG!H137</f>
        <v>8957.4612500000039</v>
      </c>
      <c r="F10" s="8">
        <f>E10*C10</f>
        <v>17914.922500000008</v>
      </c>
      <c r="G10" s="8">
        <f>F10*D10</f>
        <v>537447.67500000028</v>
      </c>
    </row>
    <row r="11" spans="1:8" ht="22.5" customHeight="1" x14ac:dyDescent="0.25">
      <c r="B11" s="26" t="s">
        <v>80</v>
      </c>
      <c r="C11" s="108">
        <v>3</v>
      </c>
      <c r="D11" s="252"/>
      <c r="E11" s="253"/>
      <c r="F11" s="10"/>
      <c r="G11" s="9"/>
    </row>
    <row r="12" spans="1:8" ht="22.5" customHeight="1" x14ac:dyDescent="0.25">
      <c r="B12" s="251" t="s">
        <v>139</v>
      </c>
      <c r="C12" s="251"/>
      <c r="D12" s="251"/>
      <c r="E12" s="251"/>
      <c r="F12" s="251"/>
      <c r="G12" s="236">
        <f>SUM(G9:G10)</f>
        <v>694131.47500000033</v>
      </c>
    </row>
    <row r="13" spans="1:8" ht="22.5" customHeight="1" x14ac:dyDescent="0.25">
      <c r="F13" s="2"/>
    </row>
    <row r="14" spans="1:8" ht="22.5" customHeight="1" x14ac:dyDescent="0.25">
      <c r="F14" s="2"/>
    </row>
    <row r="15" spans="1:8" ht="22.5" customHeight="1" x14ac:dyDescent="0.25">
      <c r="B15" s="3" t="s">
        <v>72</v>
      </c>
      <c r="C15" s="4"/>
      <c r="D15" s="157"/>
      <c r="E15" s="1" t="s">
        <v>73</v>
      </c>
      <c r="F15" s="2"/>
    </row>
    <row r="16" spans="1:8" ht="22.5" customHeight="1" x14ac:dyDescent="0.25">
      <c r="B16" s="109" t="s">
        <v>210</v>
      </c>
      <c r="F16" s="2"/>
    </row>
    <row r="17" spans="5:6" ht="22.5" customHeight="1" x14ac:dyDescent="0.25">
      <c r="F17" s="2"/>
    </row>
    <row r="18" spans="5:6" ht="22.5" customHeight="1" x14ac:dyDescent="0.25">
      <c r="E18" s="207" t="s">
        <v>203</v>
      </c>
      <c r="F18" s="2"/>
    </row>
    <row r="19" spans="5:6" ht="22.5" customHeight="1" x14ac:dyDescent="0.25">
      <c r="E19" s="208"/>
      <c r="F19" s="111"/>
    </row>
    <row r="20" spans="5:6" ht="22.5" customHeight="1" x14ac:dyDescent="0.25">
      <c r="E20" s="208" t="s">
        <v>204</v>
      </c>
      <c r="F20" s="111"/>
    </row>
    <row r="21" spans="5:6" ht="22.5" customHeight="1" x14ac:dyDescent="0.25">
      <c r="E21" s="208" t="s">
        <v>205</v>
      </c>
      <c r="F21" s="111"/>
    </row>
    <row r="22" spans="5:6" ht="22.5" customHeight="1" x14ac:dyDescent="0.25">
      <c r="E22" s="208" t="s">
        <v>206</v>
      </c>
      <c r="F22" s="111"/>
    </row>
    <row r="23" spans="5:6" ht="22.5" customHeight="1" x14ac:dyDescent="0.25">
      <c r="E23" s="208" t="s">
        <v>207</v>
      </c>
      <c r="F23" s="111"/>
    </row>
    <row r="24" spans="5:6" ht="22.5" customHeight="1" x14ac:dyDescent="0.25">
      <c r="E24" s="208" t="s">
        <v>208</v>
      </c>
    </row>
    <row r="25" spans="5:6" ht="22.5" customHeight="1" x14ac:dyDescent="0.25">
      <c r="E25" s="208" t="s">
        <v>209</v>
      </c>
    </row>
  </sheetData>
  <mergeCells count="5">
    <mergeCell ref="B6:G6"/>
    <mergeCell ref="B12:F12"/>
    <mergeCell ref="D11:E11"/>
    <mergeCell ref="B1:G1"/>
    <mergeCell ref="B4:G4"/>
  </mergeCells>
  <printOptions horizontalCentered="1"/>
  <pageMargins left="0.51181102362204722" right="0.51181102362204722" top="0.98425196850393704" bottom="0.78740157480314965" header="0.31496062992125984" footer="0.31496062992125984"/>
  <pageSetup paperSize="9" scale="9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</sheetPr>
  <dimension ref="B1:T170"/>
  <sheetViews>
    <sheetView showGridLines="0" view="pageBreakPreview" topLeftCell="A49" zoomScale="98" zoomScaleNormal="100" zoomScaleSheetLayoutView="98" workbookViewId="0">
      <selection activeCell="B65" sqref="B65"/>
    </sheetView>
  </sheetViews>
  <sheetFormatPr defaultColWidth="9.109375" defaultRowHeight="13.2" x14ac:dyDescent="0.25"/>
  <cols>
    <col min="1" max="1" width="3.5546875" style="115" customWidth="1"/>
    <col min="2" max="2" width="8.33203125" style="115" customWidth="1"/>
    <col min="3" max="3" width="39.109375" style="115" customWidth="1"/>
    <col min="4" max="4" width="29.109375" style="115" customWidth="1"/>
    <col min="5" max="6" width="8.109375" style="115" customWidth="1"/>
    <col min="7" max="7" width="9.109375" style="115" customWidth="1"/>
    <col min="8" max="9" width="15.33203125" style="115" customWidth="1"/>
    <col min="10" max="10" width="14.109375" style="116" bestFit="1" customWidth="1"/>
    <col min="11" max="11" width="10.44140625" style="116" customWidth="1"/>
    <col min="12" max="12" width="9.109375" style="116"/>
    <col min="13" max="13" width="10.109375" style="115" bestFit="1" customWidth="1"/>
    <col min="14" max="14" width="12.33203125" style="115" bestFit="1" customWidth="1"/>
    <col min="15" max="17" width="9.109375" style="115"/>
    <col min="18" max="18" width="4" style="115" customWidth="1"/>
    <col min="19" max="19" width="5.88671875" style="115" customWidth="1"/>
    <col min="20" max="16384" width="9.109375" style="115"/>
  </cols>
  <sheetData>
    <row r="1" spans="2:20" x14ac:dyDescent="0.25">
      <c r="B1" s="114"/>
      <c r="C1" s="187"/>
      <c r="D1" s="19"/>
      <c r="E1" s="19"/>
      <c r="F1" s="19"/>
      <c r="G1" s="19"/>
      <c r="H1" s="19"/>
      <c r="I1" s="19"/>
    </row>
    <row r="2" spans="2:20" x14ac:dyDescent="0.25">
      <c r="B2" s="343" t="s">
        <v>69</v>
      </c>
      <c r="C2" s="343"/>
      <c r="D2" s="343"/>
      <c r="E2" s="343"/>
      <c r="F2" s="343"/>
      <c r="G2" s="343"/>
      <c r="H2" s="343"/>
      <c r="I2" s="211"/>
      <c r="J2" s="117"/>
      <c r="K2" s="117"/>
      <c r="L2" s="117"/>
      <c r="M2" s="118"/>
      <c r="N2" s="119"/>
      <c r="O2" s="119"/>
      <c r="P2" s="119"/>
      <c r="Q2" s="119"/>
      <c r="R2" s="119"/>
    </row>
    <row r="3" spans="2:20" x14ac:dyDescent="0.25">
      <c r="B3" s="344" t="s">
        <v>211</v>
      </c>
      <c r="C3" s="344"/>
      <c r="D3" s="344"/>
      <c r="E3" s="344"/>
      <c r="F3" s="344"/>
      <c r="G3" s="344"/>
      <c r="H3" s="344"/>
      <c r="I3" s="212"/>
      <c r="J3" s="16"/>
      <c r="K3" s="16"/>
      <c r="L3" s="16"/>
      <c r="M3" s="17"/>
      <c r="N3" s="18"/>
      <c r="O3" s="18"/>
      <c r="P3" s="18"/>
      <c r="Q3" s="18"/>
      <c r="R3" s="18"/>
      <c r="S3" s="19"/>
      <c r="T3" s="19"/>
    </row>
    <row r="4" spans="2:20" x14ac:dyDescent="0.25">
      <c r="B4" s="120"/>
      <c r="C4" s="120"/>
      <c r="D4" s="120"/>
      <c r="E4" s="120"/>
      <c r="F4" s="120"/>
      <c r="G4" s="120"/>
      <c r="H4" s="120"/>
      <c r="I4" s="120"/>
      <c r="J4" s="117"/>
      <c r="K4" s="117"/>
      <c r="L4" s="117"/>
      <c r="M4" s="118"/>
      <c r="N4" s="119"/>
      <c r="O4" s="119"/>
      <c r="P4" s="119"/>
      <c r="Q4" s="119"/>
      <c r="R4" s="119"/>
    </row>
    <row r="5" spans="2:20" x14ac:dyDescent="0.25">
      <c r="B5" s="120"/>
      <c r="C5" s="120"/>
      <c r="D5" s="120"/>
      <c r="E5" s="120"/>
      <c r="F5" s="120"/>
      <c r="G5" s="120"/>
      <c r="H5" s="120"/>
      <c r="I5" s="120"/>
      <c r="J5" s="117"/>
      <c r="K5" s="117"/>
      <c r="L5" s="117"/>
      <c r="M5" s="118"/>
      <c r="N5" s="119"/>
      <c r="O5" s="119"/>
      <c r="P5" s="119"/>
      <c r="Q5" s="119"/>
      <c r="R5" s="119"/>
    </row>
    <row r="6" spans="2:20" x14ac:dyDescent="0.25">
      <c r="B6" s="345" t="s">
        <v>227</v>
      </c>
      <c r="C6" s="345"/>
      <c r="D6" s="345"/>
      <c r="E6" s="345"/>
      <c r="F6" s="345"/>
      <c r="G6" s="346" t="s">
        <v>217</v>
      </c>
      <c r="H6" s="346"/>
      <c r="I6" s="20"/>
      <c r="J6" s="117"/>
      <c r="K6" s="117"/>
      <c r="L6" s="117"/>
      <c r="M6" s="118"/>
      <c r="N6" s="119"/>
      <c r="O6" s="119"/>
      <c r="P6" s="119"/>
      <c r="Q6" s="119"/>
      <c r="R6" s="119"/>
    </row>
    <row r="7" spans="2:20" x14ac:dyDescent="0.25">
      <c r="B7" s="120"/>
      <c r="C7" s="120"/>
      <c r="D7" s="120"/>
      <c r="E7" s="120"/>
      <c r="F7" s="120"/>
      <c r="G7" s="120"/>
      <c r="H7" s="120"/>
      <c r="I7" s="19"/>
      <c r="J7" s="117"/>
      <c r="K7" s="117"/>
      <c r="L7" s="117"/>
      <c r="M7" s="118"/>
      <c r="N7" s="119"/>
      <c r="O7" s="119"/>
      <c r="P7" s="119"/>
      <c r="Q7" s="119"/>
      <c r="R7" s="119"/>
    </row>
    <row r="8" spans="2:20" x14ac:dyDescent="0.25">
      <c r="B8" s="275" t="s">
        <v>70</v>
      </c>
      <c r="C8" s="275"/>
      <c r="D8" s="275"/>
      <c r="E8" s="275"/>
      <c r="F8" s="275"/>
      <c r="G8" s="275"/>
      <c r="H8" s="275"/>
      <c r="I8" s="117"/>
      <c r="J8" s="118"/>
      <c r="K8" s="117"/>
      <c r="L8" s="117"/>
      <c r="M8" s="118"/>
      <c r="N8" s="119"/>
      <c r="O8" s="119"/>
      <c r="P8" s="119"/>
      <c r="Q8" s="119"/>
      <c r="R8" s="119"/>
    </row>
    <row r="9" spans="2:20" x14ac:dyDescent="0.25">
      <c r="B9" s="340">
        <v>1</v>
      </c>
      <c r="C9" s="341" t="s">
        <v>71</v>
      </c>
      <c r="D9" s="341"/>
      <c r="E9" s="341"/>
      <c r="F9" s="341"/>
      <c r="G9" s="341"/>
      <c r="H9" s="341"/>
      <c r="I9" s="117"/>
      <c r="J9" s="118"/>
      <c r="K9" s="117"/>
      <c r="L9" s="117"/>
      <c r="M9" s="118"/>
      <c r="N9" s="119"/>
      <c r="O9" s="119"/>
      <c r="P9" s="119"/>
      <c r="Q9" s="119"/>
      <c r="R9" s="119"/>
    </row>
    <row r="10" spans="2:20" x14ac:dyDescent="0.25">
      <c r="B10" s="340"/>
      <c r="C10" s="342"/>
      <c r="D10" s="342"/>
      <c r="E10" s="342"/>
      <c r="F10" s="342"/>
      <c r="G10" s="342"/>
      <c r="H10" s="342"/>
      <c r="I10" s="117"/>
      <c r="J10" s="118"/>
      <c r="K10" s="117"/>
      <c r="L10" s="117"/>
      <c r="M10" s="118"/>
      <c r="N10" s="119"/>
      <c r="O10" s="119"/>
      <c r="P10" s="119"/>
      <c r="Q10" s="119"/>
      <c r="R10" s="119"/>
    </row>
    <row r="11" spans="2:20" x14ac:dyDescent="0.25">
      <c r="B11" s="340">
        <v>2</v>
      </c>
      <c r="C11" s="341" t="s">
        <v>74</v>
      </c>
      <c r="D11" s="341"/>
      <c r="E11" s="341"/>
      <c r="F11" s="341"/>
      <c r="G11" s="341"/>
      <c r="H11" s="341"/>
      <c r="I11" s="117"/>
      <c r="J11" s="118"/>
      <c r="K11" s="117"/>
      <c r="L11" s="117"/>
      <c r="M11" s="118"/>
      <c r="N11" s="119"/>
      <c r="O11" s="119"/>
      <c r="P11" s="119"/>
      <c r="Q11" s="119"/>
      <c r="R11" s="119"/>
    </row>
    <row r="12" spans="2:20" x14ac:dyDescent="0.25">
      <c r="B12" s="340"/>
      <c r="C12" s="342"/>
      <c r="D12" s="342"/>
      <c r="E12" s="342"/>
      <c r="F12" s="342"/>
      <c r="G12" s="342"/>
      <c r="H12" s="342"/>
      <c r="I12" s="117"/>
      <c r="J12" s="118"/>
      <c r="K12" s="117"/>
      <c r="L12" s="117"/>
      <c r="M12" s="118"/>
      <c r="N12" s="119"/>
      <c r="O12" s="119"/>
      <c r="P12" s="119"/>
      <c r="Q12" s="119"/>
      <c r="R12" s="119"/>
    </row>
    <row r="13" spans="2:20" x14ac:dyDescent="0.25">
      <c r="B13" s="340">
        <v>3</v>
      </c>
      <c r="C13" s="341" t="s">
        <v>75</v>
      </c>
      <c r="D13" s="341"/>
      <c r="E13" s="341"/>
      <c r="F13" s="341"/>
      <c r="G13" s="341"/>
      <c r="H13" s="341"/>
      <c r="I13" s="117"/>
      <c r="J13" s="118"/>
      <c r="K13" s="117"/>
      <c r="L13" s="117"/>
      <c r="M13" s="118"/>
      <c r="N13" s="119"/>
      <c r="O13" s="119"/>
      <c r="P13" s="119"/>
      <c r="Q13" s="119"/>
      <c r="R13" s="119"/>
    </row>
    <row r="14" spans="2:20" x14ac:dyDescent="0.25">
      <c r="B14" s="340"/>
      <c r="C14" s="342"/>
      <c r="D14" s="342"/>
      <c r="E14" s="342"/>
      <c r="F14" s="342"/>
      <c r="G14" s="342"/>
      <c r="H14" s="342"/>
      <c r="I14" s="117"/>
      <c r="J14" s="118"/>
      <c r="K14" s="117"/>
      <c r="L14" s="117"/>
      <c r="M14" s="118"/>
      <c r="N14" s="119"/>
      <c r="O14" s="119"/>
      <c r="P14" s="119"/>
      <c r="Q14" s="119"/>
      <c r="R14" s="119"/>
    </row>
    <row r="15" spans="2:20" x14ac:dyDescent="0.25">
      <c r="B15" s="340">
        <v>4</v>
      </c>
      <c r="C15" s="341" t="s">
        <v>76</v>
      </c>
      <c r="D15" s="341"/>
      <c r="E15" s="341"/>
      <c r="F15" s="341"/>
      <c r="G15" s="341"/>
      <c r="H15" s="341"/>
      <c r="I15" s="117"/>
      <c r="J15" s="118"/>
      <c r="K15" s="117"/>
      <c r="L15" s="117"/>
      <c r="M15" s="118"/>
      <c r="N15" s="119"/>
      <c r="O15" s="119"/>
      <c r="P15" s="119"/>
      <c r="Q15" s="119"/>
      <c r="R15" s="119"/>
    </row>
    <row r="16" spans="2:20" x14ac:dyDescent="0.25">
      <c r="B16" s="340"/>
      <c r="C16" s="342"/>
      <c r="D16" s="342"/>
      <c r="E16" s="342"/>
      <c r="F16" s="342"/>
      <c r="G16" s="342"/>
      <c r="H16" s="342"/>
      <c r="I16" s="117"/>
      <c r="J16" s="118"/>
      <c r="K16" s="117"/>
      <c r="L16" s="117"/>
      <c r="M16" s="118"/>
      <c r="N16" s="119"/>
      <c r="O16" s="119"/>
      <c r="P16" s="119"/>
      <c r="Q16" s="119"/>
      <c r="R16" s="119"/>
    </row>
    <row r="17" spans="2:18" x14ac:dyDescent="0.25">
      <c r="B17" s="340">
        <v>5</v>
      </c>
      <c r="C17" s="341" t="s">
        <v>77</v>
      </c>
      <c r="D17" s="341"/>
      <c r="E17" s="341"/>
      <c r="F17" s="341"/>
      <c r="G17" s="341"/>
      <c r="H17" s="341"/>
      <c r="I17" s="117"/>
      <c r="J17" s="118"/>
      <c r="K17" s="117"/>
      <c r="L17" s="117"/>
      <c r="M17" s="118"/>
      <c r="N17" s="119"/>
      <c r="O17" s="119"/>
      <c r="P17" s="119"/>
      <c r="Q17" s="119"/>
      <c r="R17" s="119"/>
    </row>
    <row r="18" spans="2:18" x14ac:dyDescent="0.25">
      <c r="B18" s="340"/>
      <c r="C18" s="342"/>
      <c r="D18" s="342"/>
      <c r="E18" s="342"/>
      <c r="F18" s="342"/>
      <c r="G18" s="342"/>
      <c r="H18" s="342"/>
      <c r="I18" s="117"/>
      <c r="J18" s="118"/>
      <c r="K18" s="117"/>
      <c r="L18" s="117"/>
      <c r="M18" s="118"/>
      <c r="N18" s="119"/>
      <c r="O18" s="119"/>
      <c r="P18" s="119"/>
      <c r="Q18" s="119"/>
      <c r="R18" s="119"/>
    </row>
    <row r="19" spans="2:18" x14ac:dyDescent="0.25">
      <c r="B19" s="340">
        <v>6</v>
      </c>
      <c r="C19" s="341" t="s">
        <v>78</v>
      </c>
      <c r="D19" s="341"/>
      <c r="E19" s="341"/>
      <c r="F19" s="341"/>
      <c r="G19" s="341"/>
      <c r="H19" s="341"/>
      <c r="I19" s="117"/>
      <c r="J19" s="118"/>
      <c r="K19" s="117"/>
      <c r="L19" s="117"/>
      <c r="M19" s="118"/>
      <c r="N19" s="119"/>
      <c r="O19" s="119"/>
      <c r="P19" s="119"/>
      <c r="Q19" s="119"/>
      <c r="R19" s="119"/>
    </row>
    <row r="20" spans="2:18" x14ac:dyDescent="0.25">
      <c r="B20" s="340"/>
      <c r="C20" s="342"/>
      <c r="D20" s="342"/>
      <c r="E20" s="342"/>
      <c r="F20" s="342"/>
      <c r="G20" s="342"/>
      <c r="H20" s="342"/>
      <c r="I20" s="117"/>
      <c r="J20" s="118"/>
      <c r="K20" s="117"/>
      <c r="L20" s="117"/>
      <c r="M20" s="118"/>
      <c r="N20" s="119"/>
      <c r="O20" s="119"/>
      <c r="P20" s="119"/>
      <c r="Q20" s="119"/>
      <c r="R20" s="119"/>
    </row>
    <row r="21" spans="2:18" x14ac:dyDescent="0.25">
      <c r="B21" s="121"/>
      <c r="C21" s="121"/>
      <c r="D21" s="121"/>
      <c r="E21" s="121"/>
      <c r="F21" s="121"/>
      <c r="G21" s="122"/>
      <c r="H21" s="122"/>
      <c r="I21" s="117"/>
      <c r="J21" s="117"/>
      <c r="K21" s="117"/>
      <c r="L21" s="117"/>
      <c r="M21" s="118"/>
      <c r="N21" s="119"/>
      <c r="O21" s="119"/>
      <c r="P21" s="119"/>
      <c r="Q21" s="119"/>
      <c r="R21" s="119"/>
    </row>
    <row r="22" spans="2:18" x14ac:dyDescent="0.25">
      <c r="B22" s="123"/>
      <c r="C22" s="123"/>
      <c r="D22" s="123"/>
      <c r="E22" s="123"/>
      <c r="F22" s="123"/>
      <c r="G22" s="123"/>
      <c r="H22" s="123"/>
      <c r="J22" s="117"/>
      <c r="K22" s="117"/>
      <c r="L22" s="117"/>
      <c r="M22" s="118"/>
      <c r="N22" s="119"/>
      <c r="O22" s="119"/>
      <c r="P22" s="119"/>
      <c r="Q22" s="119"/>
      <c r="R22" s="119"/>
    </row>
    <row r="23" spans="2:18" x14ac:dyDescent="0.25">
      <c r="B23" s="292" t="s">
        <v>85</v>
      </c>
      <c r="C23" s="292"/>
      <c r="D23" s="292"/>
      <c r="E23" s="292"/>
      <c r="F23" s="292"/>
      <c r="G23" s="292"/>
      <c r="H23" s="292"/>
      <c r="I23" s="191"/>
      <c r="J23" s="117"/>
      <c r="K23" s="117"/>
      <c r="L23" s="117"/>
      <c r="M23" s="118"/>
      <c r="N23" s="119"/>
      <c r="O23" s="119"/>
      <c r="P23" s="119"/>
      <c r="Q23" s="119"/>
      <c r="R23" s="119"/>
    </row>
    <row r="24" spans="2:18" x14ac:dyDescent="0.25">
      <c r="B24" s="169">
        <v>1</v>
      </c>
      <c r="C24" s="252" t="s">
        <v>79</v>
      </c>
      <c r="D24" s="296"/>
      <c r="E24" s="296"/>
      <c r="F24" s="253"/>
      <c r="G24" s="169" t="s">
        <v>2</v>
      </c>
      <c r="H24" s="169" t="s">
        <v>68</v>
      </c>
      <c r="I24" s="191"/>
      <c r="J24" s="117"/>
      <c r="K24" s="117"/>
      <c r="L24" s="117"/>
      <c r="M24" s="118"/>
      <c r="N24" s="119"/>
      <c r="O24" s="119"/>
      <c r="P24" s="119"/>
      <c r="Q24" s="119"/>
      <c r="R24" s="119"/>
    </row>
    <row r="25" spans="2:18" ht="12.75" customHeight="1" x14ac:dyDescent="0.25">
      <c r="B25" s="21" t="s">
        <v>5</v>
      </c>
      <c r="C25" s="167" t="s">
        <v>36</v>
      </c>
      <c r="D25" s="285"/>
      <c r="E25" s="286"/>
      <c r="F25" s="287"/>
      <c r="G25" s="22"/>
      <c r="H25" s="84">
        <v>1424.98</v>
      </c>
      <c r="I25" s="178"/>
      <c r="J25" s="128"/>
      <c r="K25" s="128"/>
      <c r="L25" s="128"/>
      <c r="M25" s="129"/>
      <c r="N25" s="130"/>
      <c r="O25" s="119"/>
      <c r="P25" s="119"/>
      <c r="Q25" s="119"/>
      <c r="R25" s="119"/>
    </row>
    <row r="26" spans="2:18" x14ac:dyDescent="0.25">
      <c r="B26" s="21" t="s">
        <v>6</v>
      </c>
      <c r="C26" s="167" t="s">
        <v>43</v>
      </c>
      <c r="D26" s="285" t="s">
        <v>146</v>
      </c>
      <c r="E26" s="286"/>
      <c r="F26" s="287"/>
      <c r="G26" s="85"/>
      <c r="H26" s="23">
        <f>TRUNC(H$25*$G26,2)</f>
        <v>0</v>
      </c>
      <c r="I26" s="174"/>
      <c r="J26" s="117"/>
      <c r="K26" s="117"/>
      <c r="L26" s="117"/>
      <c r="M26" s="118"/>
      <c r="N26" s="119"/>
      <c r="O26" s="119"/>
      <c r="P26" s="119"/>
      <c r="Q26" s="119"/>
      <c r="R26" s="119"/>
    </row>
    <row r="27" spans="2:18" x14ac:dyDescent="0.25">
      <c r="B27" s="21" t="s">
        <v>7</v>
      </c>
      <c r="C27" s="168" t="s">
        <v>44</v>
      </c>
      <c r="D27" s="285" t="s">
        <v>189</v>
      </c>
      <c r="E27" s="286"/>
      <c r="F27" s="287"/>
      <c r="G27" s="85"/>
      <c r="H27" s="23">
        <f>TRUNC(H$25*$G27,2)</f>
        <v>0</v>
      </c>
      <c r="I27" s="174"/>
      <c r="J27" s="117"/>
      <c r="K27" s="117"/>
      <c r="L27" s="117"/>
      <c r="M27" s="118"/>
      <c r="N27" s="119"/>
      <c r="O27" s="119"/>
      <c r="P27" s="119"/>
      <c r="Q27" s="119"/>
      <c r="R27" s="119"/>
    </row>
    <row r="28" spans="2:18" x14ac:dyDescent="0.25">
      <c r="B28" s="21" t="s">
        <v>8</v>
      </c>
      <c r="C28" s="168" t="s">
        <v>1</v>
      </c>
      <c r="D28" s="285" t="s">
        <v>197</v>
      </c>
      <c r="E28" s="286"/>
      <c r="F28" s="287"/>
      <c r="G28" s="86"/>
      <c r="H28" s="127">
        <f>TRUNC(((H$25+H26)*$G28)/220*8*15,2)</f>
        <v>0</v>
      </c>
      <c r="I28" s="175"/>
      <c r="J28" s="117"/>
      <c r="K28" s="117"/>
      <c r="L28" s="117"/>
      <c r="M28" s="118"/>
      <c r="N28" s="119"/>
      <c r="O28" s="119"/>
      <c r="P28" s="119"/>
      <c r="Q28" s="119"/>
      <c r="R28" s="119"/>
    </row>
    <row r="29" spans="2:18" x14ac:dyDescent="0.25">
      <c r="B29" s="200" t="s">
        <v>9</v>
      </c>
      <c r="C29" s="201" t="s">
        <v>45</v>
      </c>
      <c r="D29" s="336" t="s">
        <v>197</v>
      </c>
      <c r="E29" s="337"/>
      <c r="F29" s="338"/>
      <c r="G29" s="202"/>
      <c r="H29" s="203">
        <f>TRUNC(((H$25+H26)*$G29)/220*1*15,2)</f>
        <v>0</v>
      </c>
      <c r="I29" s="204" t="s">
        <v>202</v>
      </c>
      <c r="J29" s="131"/>
      <c r="K29" s="117"/>
      <c r="L29" s="339"/>
      <c r="M29" s="132"/>
      <c r="N29" s="119"/>
      <c r="O29" s="119"/>
      <c r="P29" s="119"/>
      <c r="Q29" s="119"/>
      <c r="R29" s="119"/>
    </row>
    <row r="30" spans="2:18" x14ac:dyDescent="0.25">
      <c r="B30" s="205" t="s">
        <v>10</v>
      </c>
      <c r="C30" s="201" t="s">
        <v>126</v>
      </c>
      <c r="D30" s="336" t="s">
        <v>198</v>
      </c>
      <c r="E30" s="337"/>
      <c r="F30" s="338"/>
      <c r="G30" s="206"/>
      <c r="H30" s="203">
        <f>TRUNC($G$34*$H34*(1+G$30),2)</f>
        <v>0</v>
      </c>
      <c r="I30" s="204" t="s">
        <v>202</v>
      </c>
      <c r="J30" s="131"/>
      <c r="K30" s="117"/>
      <c r="L30" s="339"/>
      <c r="M30" s="132"/>
      <c r="N30" s="119"/>
      <c r="O30" s="119"/>
      <c r="P30" s="119"/>
      <c r="Q30" s="119"/>
      <c r="R30" s="119"/>
    </row>
    <row r="31" spans="2:18" x14ac:dyDescent="0.25">
      <c r="B31" s="220" t="s">
        <v>11</v>
      </c>
      <c r="C31" s="168" t="s">
        <v>3</v>
      </c>
      <c r="D31" s="285"/>
      <c r="E31" s="286"/>
      <c r="F31" s="287"/>
      <c r="G31" s="86"/>
      <c r="H31" s="104"/>
      <c r="I31" s="176"/>
      <c r="J31" s="117"/>
      <c r="K31" s="117"/>
      <c r="L31" s="133"/>
      <c r="M31" s="118"/>
      <c r="N31" s="119"/>
      <c r="O31" s="119"/>
      <c r="P31" s="119"/>
      <c r="Q31" s="119"/>
      <c r="R31" s="119"/>
    </row>
    <row r="32" spans="2:18" x14ac:dyDescent="0.25">
      <c r="B32" s="220" t="s">
        <v>147</v>
      </c>
      <c r="C32" s="252" t="s">
        <v>80</v>
      </c>
      <c r="D32" s="296"/>
      <c r="E32" s="296"/>
      <c r="F32" s="253"/>
      <c r="G32" s="37"/>
      <c r="H32" s="24">
        <f>SUM(H25:H31)</f>
        <v>1424.98</v>
      </c>
      <c r="I32" s="25"/>
      <c r="J32" s="117"/>
      <c r="K32" s="117"/>
      <c r="L32" s="117"/>
      <c r="M32" s="118"/>
      <c r="N32" s="119"/>
      <c r="O32" s="119"/>
      <c r="P32" s="119"/>
      <c r="Q32" s="119"/>
      <c r="R32" s="119"/>
    </row>
    <row r="33" spans="2:18" ht="22.8" x14ac:dyDescent="0.25">
      <c r="B33" s="211"/>
      <c r="C33" s="292" t="s">
        <v>138</v>
      </c>
      <c r="D33" s="292"/>
      <c r="E33" s="292"/>
      <c r="F33" s="292"/>
      <c r="G33" s="107" t="s">
        <v>127</v>
      </c>
      <c r="H33" s="106" t="s">
        <v>140</v>
      </c>
      <c r="I33" s="5"/>
      <c r="J33" s="117"/>
      <c r="K33" s="117"/>
      <c r="L33" s="117"/>
      <c r="M33" s="118"/>
      <c r="N33" s="119"/>
      <c r="O33" s="119"/>
      <c r="P33" s="119"/>
      <c r="Q33" s="119"/>
      <c r="R33" s="119"/>
    </row>
    <row r="34" spans="2:18" x14ac:dyDescent="0.25">
      <c r="B34" s="211"/>
      <c r="C34" s="292"/>
      <c r="D34" s="292"/>
      <c r="E34" s="292"/>
      <c r="F34" s="292"/>
      <c r="G34" s="105"/>
      <c r="H34" s="87">
        <f>IF(G34="",0,TRUNC((H25+H26+H27)/220,2))</f>
        <v>0</v>
      </c>
      <c r="I34" s="177"/>
      <c r="J34" s="117"/>
      <c r="K34" s="117"/>
      <c r="L34" s="117"/>
      <c r="M34" s="118"/>
      <c r="N34" s="119"/>
      <c r="O34" s="119"/>
      <c r="P34" s="119"/>
      <c r="Q34" s="119"/>
      <c r="R34" s="119"/>
    </row>
    <row r="35" spans="2:18" x14ac:dyDescent="0.25">
      <c r="B35" s="211"/>
      <c r="C35" s="211"/>
      <c r="D35" s="211"/>
      <c r="E35" s="211"/>
      <c r="F35" s="211"/>
      <c r="G35" s="211"/>
      <c r="H35" s="134"/>
      <c r="I35" s="25"/>
      <c r="J35" s="117"/>
      <c r="K35" s="117"/>
      <c r="L35" s="117"/>
      <c r="M35" s="118"/>
      <c r="N35" s="119"/>
      <c r="O35" s="119"/>
      <c r="P35" s="119"/>
      <c r="Q35" s="119"/>
      <c r="R35" s="119"/>
    </row>
    <row r="36" spans="2:18" x14ac:dyDescent="0.25">
      <c r="B36" s="211"/>
      <c r="C36" s="211"/>
      <c r="D36" s="211"/>
      <c r="E36" s="211"/>
      <c r="F36" s="211"/>
      <c r="G36" s="211"/>
      <c r="H36" s="134"/>
      <c r="I36" s="25"/>
      <c r="J36" s="117"/>
      <c r="K36" s="117"/>
      <c r="L36" s="117"/>
      <c r="M36" s="118"/>
      <c r="N36" s="119"/>
      <c r="O36" s="119"/>
      <c r="P36" s="119"/>
      <c r="Q36" s="119"/>
      <c r="R36" s="119"/>
    </row>
    <row r="37" spans="2:18" ht="12.75" customHeight="1" x14ac:dyDescent="0.25">
      <c r="B37" s="292" t="s">
        <v>86</v>
      </c>
      <c r="C37" s="292"/>
      <c r="D37" s="292"/>
      <c r="E37" s="292"/>
      <c r="F37" s="292"/>
      <c r="G37" s="292"/>
      <c r="H37" s="292"/>
      <c r="I37" s="191"/>
      <c r="J37" s="135"/>
      <c r="K37" s="117"/>
      <c r="L37" s="133"/>
      <c r="M37" s="132"/>
      <c r="N37" s="119"/>
      <c r="O37" s="119"/>
      <c r="P37" s="119"/>
      <c r="Q37" s="119"/>
      <c r="R37" s="119"/>
    </row>
    <row r="38" spans="2:18" x14ac:dyDescent="0.25">
      <c r="B38" s="332"/>
      <c r="C38" s="333"/>
      <c r="D38" s="333"/>
      <c r="E38" s="333"/>
      <c r="F38" s="333"/>
      <c r="G38" s="333"/>
      <c r="H38" s="334"/>
      <c r="I38" s="191"/>
      <c r="J38" s="135"/>
      <c r="K38" s="117"/>
      <c r="L38" s="133"/>
      <c r="M38" s="132"/>
      <c r="N38" s="119"/>
      <c r="O38" s="119"/>
      <c r="P38" s="119"/>
      <c r="Q38" s="119"/>
      <c r="R38" s="119"/>
    </row>
    <row r="39" spans="2:18" x14ac:dyDescent="0.25">
      <c r="B39" s="335" t="s">
        <v>55</v>
      </c>
      <c r="C39" s="335"/>
      <c r="D39" s="335"/>
      <c r="E39" s="335"/>
      <c r="F39" s="335"/>
      <c r="G39" s="335"/>
      <c r="H39" s="335"/>
      <c r="I39" s="191"/>
      <c r="J39" s="135"/>
      <c r="K39" s="117"/>
      <c r="L39" s="133"/>
      <c r="M39" s="132"/>
      <c r="N39" s="119"/>
      <c r="O39" s="119"/>
      <c r="P39" s="119"/>
      <c r="Q39" s="119"/>
      <c r="R39" s="119"/>
    </row>
    <row r="40" spans="2:18" x14ac:dyDescent="0.25">
      <c r="B40" s="169" t="s">
        <v>57</v>
      </c>
      <c r="C40" s="252" t="s">
        <v>46</v>
      </c>
      <c r="D40" s="296"/>
      <c r="E40" s="296"/>
      <c r="F40" s="253"/>
      <c r="G40" s="169" t="s">
        <v>2</v>
      </c>
      <c r="H40" s="169" t="s">
        <v>68</v>
      </c>
      <c r="I40" s="191"/>
      <c r="J40" s="138"/>
      <c r="K40" s="117"/>
      <c r="L40" s="117"/>
      <c r="M40" s="118"/>
      <c r="N40" s="119"/>
      <c r="O40" s="119"/>
      <c r="P40" s="119"/>
      <c r="Q40" s="119"/>
      <c r="R40" s="119"/>
    </row>
    <row r="41" spans="2:18" x14ac:dyDescent="0.25">
      <c r="B41" s="220" t="s">
        <v>5</v>
      </c>
      <c r="C41" s="167" t="s">
        <v>129</v>
      </c>
      <c r="D41" s="285" t="s">
        <v>148</v>
      </c>
      <c r="E41" s="286"/>
      <c r="F41" s="287"/>
      <c r="G41" s="27">
        <f>1/12</f>
        <v>8.3333333333333329E-2</v>
      </c>
      <c r="H41" s="28">
        <f>TRUNC((H$32*$G41),2)</f>
        <v>118.74</v>
      </c>
      <c r="I41" s="178"/>
      <c r="J41" s="135"/>
      <c r="K41" s="117"/>
      <c r="L41" s="117"/>
      <c r="M41" s="132"/>
      <c r="N41" s="119"/>
      <c r="O41" s="119"/>
      <c r="P41" s="119"/>
      <c r="Q41" s="119"/>
      <c r="R41" s="119"/>
    </row>
    <row r="42" spans="2:18" x14ac:dyDescent="0.25">
      <c r="B42" s="220" t="s">
        <v>6</v>
      </c>
      <c r="C42" s="167" t="s">
        <v>84</v>
      </c>
      <c r="D42" s="285" t="s">
        <v>150</v>
      </c>
      <c r="E42" s="286"/>
      <c r="F42" s="287"/>
      <c r="G42" s="27">
        <f>(1/12)+(1/3/12)</f>
        <v>0.1111111111111111</v>
      </c>
      <c r="H42" s="28">
        <f>TRUNC((H$32*$G42),2)</f>
        <v>158.33000000000001</v>
      </c>
      <c r="I42" s="178"/>
      <c r="J42" s="135"/>
      <c r="K42" s="117"/>
      <c r="L42" s="117"/>
      <c r="M42" s="132"/>
      <c r="N42" s="119"/>
      <c r="O42" s="119"/>
      <c r="P42" s="119"/>
      <c r="Q42" s="119"/>
      <c r="R42" s="119"/>
    </row>
    <row r="43" spans="2:18" x14ac:dyDescent="0.25">
      <c r="B43" s="220" t="s">
        <v>149</v>
      </c>
      <c r="C43" s="252" t="s">
        <v>80</v>
      </c>
      <c r="D43" s="296"/>
      <c r="E43" s="296"/>
      <c r="F43" s="253"/>
      <c r="G43" s="29">
        <f>TRUNC(SUM(G41:G42),4)</f>
        <v>0.19439999999999999</v>
      </c>
      <c r="H43" s="24">
        <f>SUM(H41:H42)</f>
        <v>277.07</v>
      </c>
      <c r="I43" s="25"/>
      <c r="J43" s="135"/>
      <c r="K43" s="117"/>
      <c r="L43" s="117"/>
      <c r="M43" s="132"/>
      <c r="N43" s="119"/>
      <c r="O43" s="119"/>
      <c r="P43" s="119"/>
      <c r="Q43" s="119"/>
      <c r="R43" s="119"/>
    </row>
    <row r="44" spans="2:18" x14ac:dyDescent="0.25">
      <c r="B44" s="312"/>
      <c r="C44" s="311"/>
      <c r="D44" s="311"/>
      <c r="E44" s="311"/>
      <c r="F44" s="311"/>
      <c r="G44" s="311"/>
      <c r="H44" s="313"/>
      <c r="I44" s="211"/>
      <c r="J44" s="135"/>
      <c r="K44" s="117"/>
      <c r="L44" s="117"/>
      <c r="M44" s="132"/>
      <c r="N44" s="119"/>
      <c r="O44" s="119"/>
      <c r="P44" s="119"/>
      <c r="Q44" s="119"/>
      <c r="R44" s="119"/>
    </row>
    <row r="45" spans="2:18" ht="30" customHeight="1" x14ac:dyDescent="0.25">
      <c r="B45" s="318" t="s">
        <v>87</v>
      </c>
      <c r="C45" s="319"/>
      <c r="D45" s="319"/>
      <c r="E45" s="319"/>
      <c r="F45" s="319"/>
      <c r="G45" s="319"/>
      <c r="H45" s="320"/>
      <c r="I45" s="179"/>
      <c r="J45" s="136"/>
      <c r="K45" s="137"/>
      <c r="L45" s="117"/>
      <c r="M45" s="118"/>
      <c r="N45" s="119"/>
      <c r="O45" s="119"/>
      <c r="P45" s="119"/>
      <c r="Q45" s="119"/>
      <c r="R45" s="119"/>
    </row>
    <row r="46" spans="2:18" x14ac:dyDescent="0.25">
      <c r="B46" s="169" t="s">
        <v>58</v>
      </c>
      <c r="C46" s="252" t="s">
        <v>88</v>
      </c>
      <c r="D46" s="296"/>
      <c r="E46" s="296"/>
      <c r="F46" s="253"/>
      <c r="G46" s="169" t="s">
        <v>2</v>
      </c>
      <c r="H46" s="169" t="s">
        <v>68</v>
      </c>
      <c r="I46" s="191"/>
      <c r="J46" s="135"/>
      <c r="K46" s="117"/>
      <c r="L46" s="117"/>
      <c r="M46" s="132"/>
      <c r="N46" s="119"/>
      <c r="O46" s="119"/>
      <c r="P46" s="119"/>
      <c r="Q46" s="119"/>
      <c r="R46" s="119"/>
    </row>
    <row r="47" spans="2:18" x14ac:dyDescent="0.25">
      <c r="B47" s="220" t="s">
        <v>5</v>
      </c>
      <c r="C47" s="167" t="s">
        <v>49</v>
      </c>
      <c r="D47" s="285" t="s">
        <v>151</v>
      </c>
      <c r="E47" s="286"/>
      <c r="F47" s="287"/>
      <c r="G47" s="27">
        <v>0.2</v>
      </c>
      <c r="H47" s="28">
        <f>TRUNC((H$32+H$43)*$G47,2)</f>
        <v>340.41</v>
      </c>
      <c r="I47" s="178"/>
      <c r="J47" s="135"/>
      <c r="K47" s="117"/>
      <c r="L47" s="117"/>
      <c r="M47" s="118"/>
      <c r="N47" s="119"/>
      <c r="O47" s="119"/>
      <c r="P47" s="119"/>
      <c r="Q47" s="119"/>
      <c r="R47" s="119"/>
    </row>
    <row r="48" spans="2:18" x14ac:dyDescent="0.25">
      <c r="B48" s="220" t="s">
        <v>6</v>
      </c>
      <c r="C48" s="158" t="s">
        <v>50</v>
      </c>
      <c r="D48" s="285" t="s">
        <v>152</v>
      </c>
      <c r="E48" s="286"/>
      <c r="F48" s="287"/>
      <c r="G48" s="27">
        <v>2.5000000000000001E-2</v>
      </c>
      <c r="H48" s="28">
        <f>TRUNC((H$32+H$43)*$G48,2)</f>
        <v>42.55</v>
      </c>
      <c r="I48" s="178"/>
      <c r="J48" s="135"/>
      <c r="K48" s="117"/>
      <c r="L48" s="117"/>
      <c r="M48" s="118"/>
      <c r="N48" s="119"/>
      <c r="O48" s="119"/>
      <c r="P48" s="119"/>
      <c r="Q48" s="119"/>
      <c r="R48" s="119"/>
    </row>
    <row r="49" spans="2:18" x14ac:dyDescent="0.25">
      <c r="B49" s="323" t="s">
        <v>7</v>
      </c>
      <c r="C49" s="325" t="s">
        <v>120</v>
      </c>
      <c r="D49" s="327" t="s">
        <v>158</v>
      </c>
      <c r="E49" s="11" t="s">
        <v>121</v>
      </c>
      <c r="F49" s="11" t="s">
        <v>119</v>
      </c>
      <c r="G49" s="328">
        <f>E50*F50</f>
        <v>0.03</v>
      </c>
      <c r="H49" s="330">
        <f>TRUNC((H$32+H$43)*$G49,2)</f>
        <v>51.06</v>
      </c>
      <c r="I49" s="181"/>
      <c r="J49" s="321"/>
      <c r="K49" s="117"/>
      <c r="L49" s="117"/>
      <c r="M49" s="118"/>
      <c r="N49" s="119"/>
      <c r="O49" s="119"/>
      <c r="P49" s="119"/>
      <c r="Q49" s="119"/>
      <c r="R49" s="119"/>
    </row>
    <row r="50" spans="2:18" x14ac:dyDescent="0.25">
      <c r="B50" s="324"/>
      <c r="C50" s="326"/>
      <c r="D50" s="327"/>
      <c r="E50" s="88">
        <v>0.03</v>
      </c>
      <c r="F50" s="89">
        <v>1</v>
      </c>
      <c r="G50" s="329"/>
      <c r="H50" s="331"/>
      <c r="I50" s="181"/>
      <c r="J50" s="321"/>
      <c r="K50" s="117"/>
      <c r="L50" s="117"/>
      <c r="M50" s="118"/>
      <c r="N50" s="119"/>
      <c r="O50" s="119"/>
      <c r="P50" s="119"/>
      <c r="Q50" s="119"/>
      <c r="R50" s="119"/>
    </row>
    <row r="51" spans="2:18" x14ac:dyDescent="0.25">
      <c r="B51" s="220" t="s">
        <v>8</v>
      </c>
      <c r="C51" s="167" t="s">
        <v>48</v>
      </c>
      <c r="D51" s="285" t="s">
        <v>153</v>
      </c>
      <c r="E51" s="286"/>
      <c r="F51" s="287"/>
      <c r="G51" s="27">
        <v>1.4999999999999999E-2</v>
      </c>
      <c r="H51" s="28">
        <f>TRUNC((H$32+H$43)*$G51,2)</f>
        <v>25.53</v>
      </c>
      <c r="I51" s="178"/>
      <c r="J51" s="135"/>
      <c r="K51" s="117"/>
      <c r="L51" s="117"/>
      <c r="M51" s="118"/>
      <c r="N51" s="119"/>
      <c r="O51" s="119"/>
      <c r="P51" s="119"/>
      <c r="Q51" s="119"/>
      <c r="R51" s="119"/>
    </row>
    <row r="52" spans="2:18" x14ac:dyDescent="0.25">
      <c r="B52" s="220" t="s">
        <v>9</v>
      </c>
      <c r="C52" s="167" t="s">
        <v>51</v>
      </c>
      <c r="D52" s="285" t="s">
        <v>154</v>
      </c>
      <c r="E52" s="286"/>
      <c r="F52" s="287"/>
      <c r="G52" s="27">
        <v>0.01</v>
      </c>
      <c r="H52" s="28">
        <f>TRUNC((H$32+H$43)*$G52,2)</f>
        <v>17.02</v>
      </c>
      <c r="I52" s="178"/>
      <c r="J52" s="135"/>
      <c r="K52" s="117"/>
      <c r="L52" s="117"/>
      <c r="M52" s="118"/>
      <c r="N52" s="119"/>
      <c r="O52" s="119"/>
      <c r="P52" s="119"/>
      <c r="Q52" s="119"/>
      <c r="R52" s="119"/>
    </row>
    <row r="53" spans="2:18" x14ac:dyDescent="0.25">
      <c r="B53" s="220" t="s">
        <v>10</v>
      </c>
      <c r="C53" s="167" t="s">
        <v>52</v>
      </c>
      <c r="D53" s="285" t="s">
        <v>155</v>
      </c>
      <c r="E53" s="286"/>
      <c r="F53" s="287"/>
      <c r="G53" s="27">
        <v>6.0000000000000001E-3</v>
      </c>
      <c r="H53" s="28">
        <f>TRUNC((H$32+H$43)*$G53,2)</f>
        <v>10.210000000000001</v>
      </c>
      <c r="I53" s="178"/>
      <c r="J53" s="135"/>
      <c r="K53" s="117"/>
      <c r="L53" s="117"/>
      <c r="M53" s="118"/>
      <c r="N53" s="119"/>
      <c r="O53" s="119"/>
      <c r="P53" s="119"/>
      <c r="Q53" s="119"/>
      <c r="R53" s="119"/>
    </row>
    <row r="54" spans="2:18" x14ac:dyDescent="0.25">
      <c r="B54" s="220" t="s">
        <v>11</v>
      </c>
      <c r="C54" s="167" t="s">
        <v>53</v>
      </c>
      <c r="D54" s="285" t="s">
        <v>156</v>
      </c>
      <c r="E54" s="286"/>
      <c r="F54" s="287"/>
      <c r="G54" s="27">
        <v>2E-3</v>
      </c>
      <c r="H54" s="28">
        <f>TRUNC((H$32+H$43)*$G54,2)</f>
        <v>3.4</v>
      </c>
      <c r="I54" s="178"/>
      <c r="J54" s="135"/>
      <c r="K54" s="117"/>
      <c r="L54" s="117"/>
      <c r="M54" s="118"/>
      <c r="N54" s="119"/>
      <c r="O54" s="119"/>
      <c r="P54" s="119"/>
      <c r="Q54" s="119"/>
      <c r="R54" s="119"/>
    </row>
    <row r="55" spans="2:18" x14ac:dyDescent="0.25">
      <c r="B55" s="220" t="s">
        <v>12</v>
      </c>
      <c r="C55" s="167" t="s">
        <v>54</v>
      </c>
      <c r="D55" s="285" t="s">
        <v>157</v>
      </c>
      <c r="E55" s="286"/>
      <c r="F55" s="287"/>
      <c r="G55" s="27">
        <v>0.08</v>
      </c>
      <c r="H55" s="28">
        <f>TRUNC((H$32+H$43)*$G55,2)</f>
        <v>136.16</v>
      </c>
      <c r="I55" s="178"/>
      <c r="J55" s="135"/>
      <c r="K55" s="117"/>
      <c r="L55" s="117"/>
      <c r="M55" s="118"/>
      <c r="N55" s="119"/>
      <c r="O55" s="119"/>
      <c r="P55" s="119"/>
      <c r="Q55" s="119"/>
      <c r="R55" s="119"/>
    </row>
    <row r="56" spans="2:18" x14ac:dyDescent="0.25">
      <c r="B56" s="220" t="s">
        <v>159</v>
      </c>
      <c r="C56" s="252" t="s">
        <v>80</v>
      </c>
      <c r="D56" s="296"/>
      <c r="E56" s="296"/>
      <c r="F56" s="253"/>
      <c r="G56" s="30">
        <f>SUM(G47:G55)</f>
        <v>0.36800000000000005</v>
      </c>
      <c r="H56" s="31">
        <f>SUM(H47:H55)</f>
        <v>626.34</v>
      </c>
      <c r="I56" s="25"/>
      <c r="J56" s="138"/>
      <c r="K56" s="117"/>
      <c r="L56" s="117"/>
      <c r="M56" s="118"/>
      <c r="N56" s="119"/>
      <c r="O56" s="119"/>
      <c r="P56" s="119"/>
      <c r="Q56" s="119"/>
      <c r="R56" s="119"/>
    </row>
    <row r="57" spans="2:18" x14ac:dyDescent="0.25">
      <c r="B57" s="315"/>
      <c r="C57" s="316"/>
      <c r="D57" s="316"/>
      <c r="E57" s="316"/>
      <c r="F57" s="316"/>
      <c r="G57" s="316"/>
      <c r="H57" s="317"/>
      <c r="I57" s="210"/>
      <c r="J57" s="138"/>
      <c r="K57" s="117"/>
      <c r="L57" s="117"/>
      <c r="M57" s="118"/>
      <c r="N57" s="139"/>
      <c r="O57" s="119"/>
      <c r="P57" s="119"/>
      <c r="Q57" s="119"/>
      <c r="R57" s="119"/>
    </row>
    <row r="58" spans="2:18" ht="12.75" customHeight="1" x14ac:dyDescent="0.25">
      <c r="B58" s="318" t="s">
        <v>56</v>
      </c>
      <c r="C58" s="319"/>
      <c r="D58" s="319"/>
      <c r="E58" s="319"/>
      <c r="F58" s="319"/>
      <c r="G58" s="319"/>
      <c r="H58" s="320"/>
      <c r="I58" s="210"/>
      <c r="J58" s="135"/>
      <c r="K58" s="117"/>
      <c r="L58" s="117"/>
      <c r="M58" s="118"/>
      <c r="N58" s="119"/>
      <c r="O58" s="119"/>
      <c r="P58" s="119"/>
      <c r="Q58" s="119"/>
      <c r="R58" s="119"/>
    </row>
    <row r="59" spans="2:18" x14ac:dyDescent="0.25">
      <c r="B59" s="169" t="s">
        <v>59</v>
      </c>
      <c r="C59" s="252" t="s">
        <v>60</v>
      </c>
      <c r="D59" s="296"/>
      <c r="E59" s="296"/>
      <c r="F59" s="296"/>
      <c r="G59" s="253"/>
      <c r="H59" s="169" t="s">
        <v>68</v>
      </c>
      <c r="I59" s="191"/>
      <c r="J59" s="136"/>
      <c r="K59" s="117"/>
      <c r="L59" s="117"/>
      <c r="M59" s="118"/>
      <c r="N59" s="119"/>
      <c r="O59" s="119"/>
      <c r="P59" s="119"/>
      <c r="Q59" s="119"/>
      <c r="R59" s="119"/>
    </row>
    <row r="60" spans="2:18" ht="12.75" customHeight="1" x14ac:dyDescent="0.25">
      <c r="B60" s="220" t="s">
        <v>5</v>
      </c>
      <c r="C60" s="167" t="s">
        <v>66</v>
      </c>
      <c r="D60" s="285" t="s">
        <v>162</v>
      </c>
      <c r="E60" s="286"/>
      <c r="F60" s="286"/>
      <c r="G60" s="287"/>
      <c r="H60" s="90">
        <f>TRUNC((4.83*2*22)-(H$25*6%),2)</f>
        <v>127.02</v>
      </c>
      <c r="I60" s="194"/>
      <c r="J60" s="322"/>
      <c r="K60" s="322"/>
      <c r="L60" s="322"/>
      <c r="M60" s="322"/>
      <c r="N60" s="322"/>
      <c r="O60" s="119"/>
      <c r="P60" s="119"/>
      <c r="Q60" s="119"/>
      <c r="R60" s="119"/>
    </row>
    <row r="61" spans="2:18" ht="12.75" customHeight="1" x14ac:dyDescent="0.25">
      <c r="B61" s="220" t="s">
        <v>6</v>
      </c>
      <c r="C61" s="167" t="s">
        <v>67</v>
      </c>
      <c r="D61" s="285" t="s">
        <v>163</v>
      </c>
      <c r="E61" s="286"/>
      <c r="F61" s="286"/>
      <c r="G61" s="287"/>
      <c r="H61" s="90">
        <f>17.77*22</f>
        <v>390.94</v>
      </c>
      <c r="I61" s="194"/>
      <c r="J61" s="135"/>
      <c r="K61" s="135"/>
      <c r="L61" s="135"/>
      <c r="M61" s="135"/>
      <c r="N61" s="135"/>
      <c r="O61" s="119"/>
      <c r="P61" s="119"/>
      <c r="Q61" s="119"/>
      <c r="R61" s="119"/>
    </row>
    <row r="62" spans="2:18" x14ac:dyDescent="0.25">
      <c r="B62" s="220" t="s">
        <v>7</v>
      </c>
      <c r="C62" s="167" t="s">
        <v>222</v>
      </c>
      <c r="D62" s="285"/>
      <c r="E62" s="286"/>
      <c r="F62" s="286"/>
      <c r="G62" s="287"/>
      <c r="H62" s="90">
        <v>123.82</v>
      </c>
      <c r="I62" s="194"/>
      <c r="J62" s="135"/>
      <c r="K62" s="117"/>
      <c r="L62" s="117"/>
      <c r="M62" s="118"/>
      <c r="N62" s="119"/>
      <c r="O62" s="119"/>
      <c r="P62" s="119"/>
      <c r="Q62" s="119"/>
      <c r="R62" s="119"/>
    </row>
    <row r="63" spans="2:18" x14ac:dyDescent="0.25">
      <c r="B63" s="220" t="s">
        <v>8</v>
      </c>
      <c r="C63" s="235" t="s">
        <v>225</v>
      </c>
      <c r="D63" s="216"/>
      <c r="E63" s="217"/>
      <c r="F63" s="217"/>
      <c r="G63" s="218"/>
      <c r="H63" s="90">
        <f>(35.54/12)</f>
        <v>2.9616666666666664</v>
      </c>
      <c r="I63" s="194"/>
      <c r="J63" s="135"/>
      <c r="K63" s="117"/>
      <c r="L63" s="117"/>
      <c r="M63" s="118"/>
      <c r="N63" s="119"/>
      <c r="O63" s="119"/>
      <c r="P63" s="119"/>
      <c r="Q63" s="119"/>
      <c r="R63" s="119"/>
    </row>
    <row r="64" spans="2:18" x14ac:dyDescent="0.25">
      <c r="B64" s="220" t="s">
        <v>9</v>
      </c>
      <c r="C64" s="167" t="s">
        <v>224</v>
      </c>
      <c r="D64" s="216"/>
      <c r="E64" s="217"/>
      <c r="F64" s="217"/>
      <c r="G64" s="218"/>
      <c r="H64" s="90">
        <v>13.67</v>
      </c>
      <c r="I64" s="194"/>
      <c r="J64" s="135"/>
      <c r="K64" s="117"/>
      <c r="L64" s="117"/>
      <c r="M64" s="118"/>
      <c r="N64" s="119"/>
      <c r="O64" s="119"/>
      <c r="P64" s="119"/>
      <c r="Q64" s="119"/>
      <c r="R64" s="119"/>
    </row>
    <row r="65" spans="2:18" s="140" customFormat="1" x14ac:dyDescent="0.25">
      <c r="B65" s="220" t="s">
        <v>10</v>
      </c>
      <c r="C65" s="167" t="s">
        <v>223</v>
      </c>
      <c r="D65" s="285"/>
      <c r="E65" s="286"/>
      <c r="F65" s="286"/>
      <c r="G65" s="287"/>
      <c r="H65" s="90">
        <v>29.96</v>
      </c>
      <c r="I65" s="194"/>
      <c r="J65" s="135"/>
      <c r="K65" s="117"/>
      <c r="L65" s="117"/>
      <c r="M65" s="118"/>
      <c r="N65" s="119"/>
      <c r="O65" s="119"/>
      <c r="P65" s="119"/>
      <c r="Q65" s="119"/>
      <c r="R65" s="119"/>
    </row>
    <row r="66" spans="2:18" x14ac:dyDescent="0.25">
      <c r="B66" s="220" t="s">
        <v>160</v>
      </c>
      <c r="C66" s="252" t="s">
        <v>80</v>
      </c>
      <c r="D66" s="296"/>
      <c r="E66" s="296"/>
      <c r="F66" s="296"/>
      <c r="G66" s="253"/>
      <c r="H66" s="31">
        <f>SUM(H60:H65)</f>
        <v>688.37166666666667</v>
      </c>
      <c r="I66" s="25"/>
      <c r="K66" s="117"/>
      <c r="L66" s="117"/>
      <c r="M66" s="118"/>
      <c r="N66" s="119"/>
      <c r="O66" s="119"/>
      <c r="P66" s="119"/>
      <c r="Q66" s="119"/>
      <c r="R66" s="119"/>
    </row>
    <row r="67" spans="2:18" x14ac:dyDescent="0.25">
      <c r="B67" s="312"/>
      <c r="C67" s="311"/>
      <c r="D67" s="311"/>
      <c r="E67" s="311"/>
      <c r="F67" s="311"/>
      <c r="G67" s="311"/>
      <c r="H67" s="313"/>
      <c r="I67" s="211"/>
      <c r="J67" s="135"/>
      <c r="K67" s="117"/>
      <c r="L67" s="117"/>
      <c r="M67" s="118"/>
      <c r="N67" s="119"/>
      <c r="O67" s="119"/>
      <c r="P67" s="119"/>
      <c r="Q67" s="119"/>
      <c r="R67" s="119"/>
    </row>
    <row r="68" spans="2:18" x14ac:dyDescent="0.25">
      <c r="B68" s="314" t="s">
        <v>90</v>
      </c>
      <c r="C68" s="314"/>
      <c r="D68" s="314"/>
      <c r="E68" s="314"/>
      <c r="F68" s="314"/>
      <c r="G68" s="314"/>
      <c r="H68" s="314"/>
      <c r="I68" s="211"/>
      <c r="J68" s="135"/>
      <c r="K68" s="117"/>
      <c r="L68" s="117"/>
      <c r="M68" s="118"/>
      <c r="N68" s="119"/>
      <c r="O68" s="119"/>
      <c r="P68" s="119"/>
      <c r="Q68" s="119"/>
      <c r="R68" s="119"/>
    </row>
    <row r="69" spans="2:18" x14ac:dyDescent="0.25">
      <c r="B69" s="169">
        <v>2</v>
      </c>
      <c r="C69" s="252" t="s">
        <v>89</v>
      </c>
      <c r="D69" s="296"/>
      <c r="E69" s="296"/>
      <c r="F69" s="296"/>
      <c r="G69" s="253"/>
      <c r="H69" s="169" t="s">
        <v>68</v>
      </c>
      <c r="I69" s="191"/>
      <c r="J69" s="135"/>
      <c r="K69" s="117"/>
      <c r="L69" s="117"/>
      <c r="M69" s="118"/>
      <c r="N69" s="119"/>
      <c r="O69" s="119"/>
      <c r="P69" s="119"/>
      <c r="Q69" s="119"/>
      <c r="R69" s="119"/>
    </row>
    <row r="70" spans="2:18" x14ac:dyDescent="0.25">
      <c r="B70" s="220" t="s">
        <v>57</v>
      </c>
      <c r="C70" s="161" t="s">
        <v>46</v>
      </c>
      <c r="D70" s="285" t="s">
        <v>149</v>
      </c>
      <c r="E70" s="286"/>
      <c r="F70" s="286"/>
      <c r="G70" s="287"/>
      <c r="H70" s="28">
        <f>H43</f>
        <v>277.07</v>
      </c>
      <c r="I70" s="178"/>
      <c r="J70" s="135"/>
      <c r="K70" s="117"/>
      <c r="L70" s="117"/>
      <c r="M70" s="118"/>
      <c r="N70" s="119"/>
      <c r="O70" s="119"/>
      <c r="P70" s="119"/>
      <c r="Q70" s="119"/>
      <c r="R70" s="119"/>
    </row>
    <row r="71" spans="2:18" x14ac:dyDescent="0.25">
      <c r="B71" s="220" t="s">
        <v>58</v>
      </c>
      <c r="C71" s="161" t="s">
        <v>47</v>
      </c>
      <c r="D71" s="285" t="s">
        <v>159</v>
      </c>
      <c r="E71" s="286"/>
      <c r="F71" s="286"/>
      <c r="G71" s="287"/>
      <c r="H71" s="28">
        <f>H56</f>
        <v>626.34</v>
      </c>
      <c r="I71" s="178"/>
      <c r="J71" s="135"/>
      <c r="K71" s="117"/>
      <c r="L71" s="117"/>
      <c r="M71" s="118"/>
      <c r="N71" s="119"/>
      <c r="O71" s="119"/>
      <c r="P71" s="119"/>
      <c r="Q71" s="119"/>
      <c r="R71" s="119"/>
    </row>
    <row r="72" spans="2:18" x14ac:dyDescent="0.25">
      <c r="B72" s="220" t="s">
        <v>59</v>
      </c>
      <c r="C72" s="161" t="s">
        <v>60</v>
      </c>
      <c r="D72" s="285" t="s">
        <v>160</v>
      </c>
      <c r="E72" s="286"/>
      <c r="F72" s="286"/>
      <c r="G72" s="287"/>
      <c r="H72" s="28">
        <f>H66</f>
        <v>688.37166666666667</v>
      </c>
      <c r="I72" s="178"/>
      <c r="J72" s="135"/>
      <c r="K72" s="117"/>
      <c r="L72" s="117"/>
      <c r="M72" s="118"/>
      <c r="N72" s="119"/>
      <c r="O72" s="119"/>
      <c r="P72" s="119"/>
      <c r="Q72" s="119"/>
      <c r="R72" s="119"/>
    </row>
    <row r="73" spans="2:18" x14ac:dyDescent="0.25">
      <c r="B73" s="220" t="s">
        <v>161</v>
      </c>
      <c r="C73" s="252" t="s">
        <v>80</v>
      </c>
      <c r="D73" s="296"/>
      <c r="E73" s="296"/>
      <c r="F73" s="296"/>
      <c r="G73" s="253"/>
      <c r="H73" s="24">
        <f>SUM(H70:H72)</f>
        <v>1591.7816666666668</v>
      </c>
      <c r="I73" s="25"/>
      <c r="J73" s="135"/>
      <c r="K73" s="117"/>
      <c r="L73" s="117"/>
      <c r="M73" s="118"/>
      <c r="N73" s="119"/>
      <c r="O73" s="119"/>
      <c r="P73" s="119"/>
      <c r="Q73" s="119"/>
      <c r="R73" s="119"/>
    </row>
    <row r="74" spans="2:18" x14ac:dyDescent="0.25">
      <c r="B74" s="311"/>
      <c r="C74" s="311"/>
      <c r="D74" s="311"/>
      <c r="E74" s="311"/>
      <c r="F74" s="311"/>
      <c r="G74" s="311"/>
      <c r="H74" s="311"/>
      <c r="I74" s="191"/>
      <c r="J74" s="135"/>
      <c r="K74" s="117"/>
      <c r="L74" s="117"/>
      <c r="M74" s="118"/>
      <c r="N74" s="119"/>
      <c r="O74" s="119"/>
      <c r="P74" s="119"/>
      <c r="Q74" s="119"/>
      <c r="R74" s="119"/>
    </row>
    <row r="75" spans="2:18" x14ac:dyDescent="0.25">
      <c r="B75" s="211"/>
      <c r="C75" s="211"/>
      <c r="D75" s="211"/>
      <c r="E75" s="211"/>
      <c r="F75" s="211"/>
      <c r="G75" s="211"/>
      <c r="H75" s="211"/>
      <c r="I75" s="191"/>
      <c r="J75" s="135"/>
      <c r="K75" s="117"/>
      <c r="L75" s="117"/>
      <c r="M75" s="118"/>
      <c r="N75" s="119"/>
      <c r="O75" s="119"/>
      <c r="P75" s="119"/>
      <c r="Q75" s="119"/>
      <c r="R75" s="119"/>
    </row>
    <row r="76" spans="2:18" x14ac:dyDescent="0.25">
      <c r="B76" s="292" t="s">
        <v>91</v>
      </c>
      <c r="C76" s="292"/>
      <c r="D76" s="292"/>
      <c r="E76" s="292"/>
      <c r="F76" s="292"/>
      <c r="G76" s="292"/>
      <c r="H76" s="292"/>
      <c r="I76" s="191"/>
      <c r="J76" s="135"/>
      <c r="K76" s="117"/>
      <c r="L76" s="117"/>
      <c r="M76" s="118"/>
      <c r="N76" s="119"/>
      <c r="O76" s="119"/>
      <c r="P76" s="119"/>
      <c r="Q76" s="119"/>
      <c r="R76" s="119"/>
    </row>
    <row r="77" spans="2:18" x14ac:dyDescent="0.25">
      <c r="B77" s="169">
        <v>3</v>
      </c>
      <c r="C77" s="252" t="s">
        <v>81</v>
      </c>
      <c r="D77" s="296"/>
      <c r="E77" s="296"/>
      <c r="F77" s="253"/>
      <c r="G77" s="169" t="s">
        <v>2</v>
      </c>
      <c r="H77" s="169" t="s">
        <v>68</v>
      </c>
      <c r="I77" s="191"/>
      <c r="J77" s="141"/>
      <c r="K77" s="117"/>
      <c r="L77" s="117"/>
      <c r="M77" s="118"/>
      <c r="N77" s="119"/>
      <c r="O77" s="119"/>
      <c r="P77" s="119"/>
      <c r="Q77" s="119"/>
      <c r="R77" s="119"/>
    </row>
    <row r="78" spans="2:18" x14ac:dyDescent="0.25">
      <c r="B78" s="220" t="s">
        <v>5</v>
      </c>
      <c r="C78" s="162" t="s">
        <v>114</v>
      </c>
      <c r="D78" s="285" t="s">
        <v>178</v>
      </c>
      <c r="E78" s="286"/>
      <c r="F78" s="287"/>
      <c r="G78" s="91">
        <v>1</v>
      </c>
      <c r="H78" s="32">
        <f>TRUNC((H$79+H$80)*$G78,2)</f>
        <v>254.42</v>
      </c>
      <c r="I78" s="25"/>
      <c r="J78" s="138"/>
      <c r="K78" s="117"/>
      <c r="L78" s="117"/>
      <c r="M78" s="118"/>
      <c r="N78" s="119"/>
      <c r="O78" s="142"/>
      <c r="P78" s="119"/>
      <c r="Q78" s="119"/>
      <c r="R78" s="119"/>
    </row>
    <row r="79" spans="2:18" x14ac:dyDescent="0.25">
      <c r="B79" s="220" t="s">
        <v>6</v>
      </c>
      <c r="C79" s="167" t="s">
        <v>115</v>
      </c>
      <c r="D79" s="285" t="s">
        <v>199</v>
      </c>
      <c r="E79" s="286"/>
      <c r="F79" s="287"/>
      <c r="G79" s="33"/>
      <c r="H79" s="28">
        <f>TRUNC((H$32+H$43+H$55+H$66-H60)/12,2)</f>
        <v>199.96</v>
      </c>
      <c r="I79" s="178"/>
      <c r="J79" s="135"/>
      <c r="K79" s="117"/>
      <c r="L79" s="117"/>
      <c r="M79" s="118"/>
      <c r="N79" s="119"/>
      <c r="O79" s="143"/>
      <c r="P79" s="119"/>
      <c r="Q79" s="119"/>
      <c r="R79" s="119"/>
    </row>
    <row r="80" spans="2:18" x14ac:dyDescent="0.25">
      <c r="B80" s="220" t="s">
        <v>7</v>
      </c>
      <c r="C80" s="167" t="s">
        <v>116</v>
      </c>
      <c r="D80" s="285" t="s">
        <v>190</v>
      </c>
      <c r="E80" s="287"/>
      <c r="F80" s="93">
        <v>0.4</v>
      </c>
      <c r="G80" s="33"/>
      <c r="H80" s="28">
        <f>TRUNC(H$55*$F80,2)</f>
        <v>54.46</v>
      </c>
      <c r="I80" s="178"/>
      <c r="J80" s="135"/>
      <c r="K80" s="117"/>
      <c r="L80" s="117"/>
      <c r="M80" s="118"/>
      <c r="N80" s="119"/>
      <c r="O80" s="143"/>
      <c r="P80" s="119"/>
      <c r="Q80" s="119"/>
      <c r="R80" s="119"/>
    </row>
    <row r="81" spans="2:18" x14ac:dyDescent="0.25">
      <c r="B81" s="220" t="s">
        <v>8</v>
      </c>
      <c r="C81" s="162" t="s">
        <v>117</v>
      </c>
      <c r="D81" s="285" t="s">
        <v>179</v>
      </c>
      <c r="E81" s="286"/>
      <c r="F81" s="287"/>
      <c r="G81" s="91">
        <v>1</v>
      </c>
      <c r="H81" s="166">
        <f>IF($G81&gt;=1,(TRUNC(H$82*$G81,2)),"ERRO")</f>
        <v>54.46</v>
      </c>
      <c r="I81" s="180"/>
      <c r="J81" s="135"/>
      <c r="K81" s="117"/>
      <c r="L81" s="117"/>
      <c r="M81" s="118"/>
      <c r="N81" s="119"/>
      <c r="O81" s="139"/>
      <c r="P81" s="119"/>
      <c r="Q81" s="119"/>
      <c r="R81" s="119"/>
    </row>
    <row r="82" spans="2:18" x14ac:dyDescent="0.25">
      <c r="B82" s="220" t="s">
        <v>9</v>
      </c>
      <c r="C82" s="167" t="s">
        <v>118</v>
      </c>
      <c r="D82" s="285" t="s">
        <v>190</v>
      </c>
      <c r="E82" s="287"/>
      <c r="F82" s="93">
        <v>0.4</v>
      </c>
      <c r="G82" s="33"/>
      <c r="H82" s="28">
        <f>TRUNC(H$55*$F82,2)</f>
        <v>54.46</v>
      </c>
      <c r="I82" s="178"/>
      <c r="J82" s="135"/>
      <c r="K82" s="117"/>
      <c r="L82" s="117"/>
      <c r="M82" s="118"/>
      <c r="N82" s="119"/>
      <c r="O82" s="139"/>
      <c r="P82" s="119"/>
      <c r="Q82" s="119"/>
      <c r="R82" s="119"/>
    </row>
    <row r="83" spans="2:18" x14ac:dyDescent="0.25">
      <c r="B83" s="220" t="s">
        <v>10</v>
      </c>
      <c r="C83" s="162" t="s">
        <v>196</v>
      </c>
      <c r="D83" s="309" t="s">
        <v>191</v>
      </c>
      <c r="E83" s="310"/>
      <c r="F83" s="92">
        <v>30</v>
      </c>
      <c r="G83" s="92">
        <v>6</v>
      </c>
      <c r="H83" s="28">
        <f>TRUNC(((H$32+H$43+H$56)/30)*$G83/$F83,2)</f>
        <v>15.52</v>
      </c>
      <c r="I83" s="178"/>
      <c r="J83" s="173"/>
      <c r="K83" s="118"/>
      <c r="L83" s="118"/>
      <c r="M83" s="118"/>
      <c r="N83" s="119"/>
      <c r="O83" s="139"/>
      <c r="P83" s="119"/>
      <c r="Q83" s="119"/>
      <c r="R83" s="119"/>
    </row>
    <row r="84" spans="2:18" x14ac:dyDescent="0.25">
      <c r="B84" s="220" t="s">
        <v>165</v>
      </c>
      <c r="C84" s="252" t="s">
        <v>80</v>
      </c>
      <c r="D84" s="296"/>
      <c r="E84" s="296"/>
      <c r="F84" s="296"/>
      <c r="G84" s="253"/>
      <c r="H84" s="24">
        <f>H$78+H$81+H$83</f>
        <v>324.39999999999998</v>
      </c>
      <c r="I84" s="25"/>
      <c r="J84" s="119"/>
      <c r="K84" s="119"/>
      <c r="L84" s="119"/>
      <c r="M84" s="118"/>
      <c r="N84" s="119"/>
      <c r="O84" s="119"/>
      <c r="P84" s="119"/>
      <c r="Q84" s="119"/>
      <c r="R84" s="119"/>
    </row>
    <row r="85" spans="2:18" x14ac:dyDescent="0.25">
      <c r="B85" s="170"/>
      <c r="C85" s="170"/>
      <c r="D85" s="170"/>
      <c r="E85" s="170"/>
      <c r="F85" s="170"/>
      <c r="G85" s="170"/>
      <c r="H85" s="170"/>
      <c r="I85" s="170"/>
      <c r="J85" s="135"/>
      <c r="K85" s="117"/>
      <c r="L85" s="117"/>
      <c r="M85" s="118"/>
      <c r="N85" s="119"/>
      <c r="O85" s="119"/>
      <c r="P85" s="119"/>
      <c r="Q85" s="119"/>
      <c r="R85" s="119"/>
    </row>
    <row r="86" spans="2:18" x14ac:dyDescent="0.25">
      <c r="B86" s="211"/>
      <c r="C86" s="211"/>
      <c r="D86" s="211"/>
      <c r="E86" s="211"/>
      <c r="F86" s="211"/>
      <c r="G86" s="211"/>
      <c r="H86" s="211"/>
      <c r="I86" s="191"/>
      <c r="J86" s="135"/>
      <c r="K86" s="117"/>
      <c r="L86" s="117"/>
      <c r="M86" s="118"/>
      <c r="N86" s="119"/>
      <c r="O86" s="119"/>
      <c r="P86" s="119"/>
      <c r="Q86" s="119"/>
      <c r="R86" s="119"/>
    </row>
    <row r="87" spans="2:18" x14ac:dyDescent="0.25">
      <c r="B87" s="292" t="s">
        <v>92</v>
      </c>
      <c r="C87" s="292"/>
      <c r="D87" s="292"/>
      <c r="E87" s="292"/>
      <c r="F87" s="292"/>
      <c r="G87" s="292"/>
      <c r="H87" s="292"/>
      <c r="I87" s="191"/>
      <c r="J87" s="135"/>
      <c r="K87" s="117"/>
      <c r="L87" s="117"/>
      <c r="M87" s="118"/>
      <c r="N87" s="119"/>
      <c r="O87" s="119"/>
      <c r="P87" s="119"/>
      <c r="Q87" s="119"/>
      <c r="R87" s="119"/>
    </row>
    <row r="88" spans="2:18" x14ac:dyDescent="0.25">
      <c r="B88" s="303" t="s">
        <v>109</v>
      </c>
      <c r="C88" s="304"/>
      <c r="D88" s="304"/>
      <c r="E88" s="304"/>
      <c r="F88" s="304"/>
      <c r="G88" s="304"/>
      <c r="H88" s="305"/>
      <c r="I88" s="191"/>
      <c r="J88" s="135"/>
      <c r="K88" s="117"/>
      <c r="L88" s="117"/>
      <c r="M88" s="118"/>
      <c r="N88" s="119"/>
      <c r="O88" s="119"/>
      <c r="P88" s="119"/>
      <c r="Q88" s="119"/>
      <c r="R88" s="119"/>
    </row>
    <row r="89" spans="2:18" x14ac:dyDescent="0.25">
      <c r="B89" s="169" t="s">
        <v>17</v>
      </c>
      <c r="C89" s="252" t="s">
        <v>110</v>
      </c>
      <c r="D89" s="296"/>
      <c r="E89" s="296"/>
      <c r="F89" s="253"/>
      <c r="G89" s="169" t="s">
        <v>122</v>
      </c>
      <c r="H89" s="169" t="s">
        <v>68</v>
      </c>
      <c r="I89" s="191"/>
      <c r="J89" s="117"/>
      <c r="K89" s="117"/>
      <c r="L89" s="117"/>
      <c r="M89" s="118"/>
      <c r="N89" s="144"/>
      <c r="O89" s="119"/>
      <c r="P89" s="119"/>
      <c r="Q89" s="119"/>
      <c r="R89" s="119"/>
    </row>
    <row r="90" spans="2:18" x14ac:dyDescent="0.25">
      <c r="B90" s="220" t="s">
        <v>5</v>
      </c>
      <c r="C90" s="167" t="s">
        <v>128</v>
      </c>
      <c r="D90" s="285" t="s">
        <v>171</v>
      </c>
      <c r="E90" s="286"/>
      <c r="F90" s="287"/>
      <c r="G90" s="92">
        <v>30</v>
      </c>
      <c r="H90" s="28">
        <f>TRUNC((H$92*$G90)/12,2)</f>
        <v>278.42</v>
      </c>
      <c r="I90" s="178"/>
      <c r="J90" s="138"/>
      <c r="K90" s="117"/>
      <c r="L90" s="117"/>
      <c r="M90" s="118"/>
      <c r="N90" s="144"/>
      <c r="O90" s="119"/>
      <c r="P90" s="119"/>
      <c r="Q90" s="119"/>
      <c r="R90" s="119"/>
    </row>
    <row r="91" spans="2:18" ht="22.8" x14ac:dyDescent="0.25">
      <c r="B91" s="220" t="s">
        <v>6</v>
      </c>
      <c r="C91" s="163" t="s">
        <v>177</v>
      </c>
      <c r="D91" s="306" t="s">
        <v>180</v>
      </c>
      <c r="E91" s="307"/>
      <c r="F91" s="308"/>
      <c r="G91" s="112">
        <v>8</v>
      </c>
      <c r="H91" s="28">
        <f>TRUNC((H$92*$G91)/12,2)</f>
        <v>74.239999999999995</v>
      </c>
      <c r="I91" s="178"/>
      <c r="J91" s="138"/>
      <c r="K91" s="117"/>
      <c r="L91" s="117"/>
      <c r="M91" s="118"/>
      <c r="N91" s="144"/>
      <c r="O91" s="119"/>
      <c r="P91" s="119"/>
      <c r="Q91" s="119"/>
      <c r="R91" s="119"/>
    </row>
    <row r="92" spans="2:18" x14ac:dyDescent="0.25">
      <c r="B92" s="220" t="s">
        <v>7</v>
      </c>
      <c r="C92" s="167" t="s">
        <v>130</v>
      </c>
      <c r="D92" s="285" t="s">
        <v>164</v>
      </c>
      <c r="E92" s="286"/>
      <c r="F92" s="286"/>
      <c r="G92" s="287"/>
      <c r="H92" s="28">
        <f>TRUNC((H$32+H$73+H$84)/30,2)</f>
        <v>111.37</v>
      </c>
      <c r="I92" s="178"/>
      <c r="J92" s="138"/>
      <c r="K92" s="117"/>
      <c r="L92" s="117"/>
      <c r="M92" s="118"/>
      <c r="N92" s="144"/>
      <c r="O92" s="119"/>
      <c r="P92" s="119"/>
      <c r="Q92" s="119"/>
      <c r="R92" s="119"/>
    </row>
    <row r="93" spans="2:18" x14ac:dyDescent="0.25">
      <c r="B93" s="220" t="s">
        <v>166</v>
      </c>
      <c r="C93" s="252" t="s">
        <v>80</v>
      </c>
      <c r="D93" s="296"/>
      <c r="E93" s="296"/>
      <c r="F93" s="296"/>
      <c r="G93" s="253"/>
      <c r="H93" s="24">
        <f>TRUNC(H$90+H$91,2)</f>
        <v>352.66</v>
      </c>
      <c r="I93" s="25"/>
      <c r="J93" s="138"/>
      <c r="K93" s="117"/>
      <c r="L93" s="117"/>
      <c r="M93" s="118"/>
      <c r="N93" s="119"/>
      <c r="O93" s="119"/>
      <c r="P93" s="119"/>
      <c r="Q93" s="119"/>
      <c r="R93" s="119"/>
    </row>
    <row r="94" spans="2:18" x14ac:dyDescent="0.25">
      <c r="B94" s="145"/>
      <c r="C94" s="146"/>
      <c r="D94" s="146"/>
      <c r="E94" s="146"/>
      <c r="F94" s="146"/>
      <c r="G94" s="146"/>
      <c r="H94" s="147"/>
      <c r="I94" s="34"/>
      <c r="J94" s="135"/>
      <c r="K94" s="117"/>
      <c r="L94" s="117"/>
      <c r="M94" s="118"/>
      <c r="N94" s="119"/>
      <c r="O94" s="119"/>
      <c r="P94" s="119"/>
      <c r="Q94" s="119"/>
      <c r="R94" s="119"/>
    </row>
    <row r="95" spans="2:18" x14ac:dyDescent="0.25">
      <c r="B95" s="300" t="s">
        <v>111</v>
      </c>
      <c r="C95" s="301"/>
      <c r="D95" s="301"/>
      <c r="E95" s="301"/>
      <c r="F95" s="301"/>
      <c r="G95" s="301"/>
      <c r="H95" s="302"/>
      <c r="I95" s="191"/>
      <c r="J95" s="135"/>
      <c r="K95" s="117"/>
      <c r="L95" s="117"/>
      <c r="M95" s="118"/>
      <c r="N95" s="119"/>
      <c r="O95" s="119"/>
      <c r="P95" s="119"/>
      <c r="Q95" s="119"/>
      <c r="R95" s="119"/>
    </row>
    <row r="96" spans="2:18" x14ac:dyDescent="0.25">
      <c r="B96" s="169" t="s">
        <v>18</v>
      </c>
      <c r="C96" s="252" t="s">
        <v>112</v>
      </c>
      <c r="D96" s="296"/>
      <c r="E96" s="296"/>
      <c r="F96" s="253"/>
      <c r="G96" s="169" t="s">
        <v>122</v>
      </c>
      <c r="H96" s="169" t="s">
        <v>68</v>
      </c>
      <c r="I96" s="191"/>
      <c r="J96" s="135"/>
      <c r="K96" s="117"/>
      <c r="L96" s="117"/>
      <c r="M96" s="118"/>
      <c r="N96" s="119"/>
      <c r="O96" s="119"/>
      <c r="P96" s="119"/>
      <c r="Q96" s="119"/>
      <c r="R96" s="119"/>
    </row>
    <row r="97" spans="2:18" ht="22.8" x14ac:dyDescent="0.25">
      <c r="B97" s="220" t="s">
        <v>5</v>
      </c>
      <c r="C97" s="163" t="s">
        <v>113</v>
      </c>
      <c r="D97" s="285" t="s">
        <v>201</v>
      </c>
      <c r="E97" s="286"/>
      <c r="F97" s="287"/>
      <c r="G97" s="92"/>
      <c r="H97" s="28">
        <f>TRUNC(((H$32+H73+H84)/220)*(1+50%)*G97,2)</f>
        <v>0</v>
      </c>
      <c r="I97" s="178"/>
      <c r="J97" s="135"/>
      <c r="K97" s="117"/>
      <c r="L97" s="117"/>
      <c r="M97" s="118"/>
      <c r="N97" s="119"/>
      <c r="O97" s="119"/>
      <c r="P97" s="119"/>
      <c r="Q97" s="119"/>
      <c r="R97" s="119"/>
    </row>
    <row r="98" spans="2:18" x14ac:dyDescent="0.25">
      <c r="B98" s="220" t="s">
        <v>167</v>
      </c>
      <c r="C98" s="252" t="s">
        <v>80</v>
      </c>
      <c r="D98" s="296"/>
      <c r="E98" s="296"/>
      <c r="F98" s="296"/>
      <c r="G98" s="253"/>
      <c r="H98" s="24">
        <f>H97</f>
        <v>0</v>
      </c>
      <c r="I98" s="178"/>
      <c r="J98" s="135"/>
      <c r="K98" s="117"/>
      <c r="L98" s="117"/>
      <c r="M98" s="118"/>
      <c r="N98" s="119"/>
      <c r="O98" s="119"/>
      <c r="P98" s="119"/>
      <c r="Q98" s="119"/>
      <c r="R98" s="119"/>
    </row>
    <row r="99" spans="2:18" x14ac:dyDescent="0.25">
      <c r="B99" s="221"/>
      <c r="C99" s="222"/>
      <c r="D99" s="222"/>
      <c r="E99" s="222"/>
      <c r="F99" s="222"/>
      <c r="G99" s="222"/>
      <c r="H99" s="223"/>
      <c r="I99" s="199"/>
      <c r="J99" s="135"/>
      <c r="K99" s="117"/>
      <c r="L99" s="117"/>
      <c r="M99" s="118"/>
      <c r="N99" s="119"/>
      <c r="O99" s="119"/>
      <c r="P99" s="119"/>
      <c r="Q99" s="119"/>
      <c r="R99" s="119"/>
    </row>
    <row r="100" spans="2:18" x14ac:dyDescent="0.25">
      <c r="B100" s="300" t="s">
        <v>93</v>
      </c>
      <c r="C100" s="301"/>
      <c r="D100" s="301"/>
      <c r="E100" s="301"/>
      <c r="F100" s="301"/>
      <c r="G100" s="301"/>
      <c r="H100" s="302"/>
      <c r="I100" s="191"/>
      <c r="J100" s="135"/>
      <c r="K100" s="117"/>
      <c r="L100" s="117"/>
      <c r="M100" s="118"/>
      <c r="N100" s="119"/>
      <c r="O100" s="119"/>
      <c r="P100" s="119"/>
      <c r="Q100" s="119"/>
      <c r="R100" s="119"/>
    </row>
    <row r="101" spans="2:18" x14ac:dyDescent="0.25">
      <c r="B101" s="169">
        <v>4</v>
      </c>
      <c r="C101" s="252" t="s">
        <v>94</v>
      </c>
      <c r="D101" s="296"/>
      <c r="E101" s="296"/>
      <c r="F101" s="296"/>
      <c r="G101" s="253"/>
      <c r="H101" s="169" t="s">
        <v>68</v>
      </c>
      <c r="I101" s="191"/>
      <c r="J101" s="135"/>
      <c r="K101" s="117"/>
      <c r="L101" s="117"/>
      <c r="M101" s="118"/>
      <c r="N101" s="148"/>
      <c r="O101" s="119"/>
      <c r="P101" s="119"/>
      <c r="Q101" s="119"/>
      <c r="R101" s="119"/>
    </row>
    <row r="102" spans="2:18" x14ac:dyDescent="0.25">
      <c r="B102" s="220" t="s">
        <v>17</v>
      </c>
      <c r="C102" s="167" t="s">
        <v>61</v>
      </c>
      <c r="D102" s="285" t="s">
        <v>166</v>
      </c>
      <c r="E102" s="286"/>
      <c r="F102" s="286"/>
      <c r="G102" s="287"/>
      <c r="H102" s="28">
        <f>H93</f>
        <v>352.66</v>
      </c>
      <c r="I102" s="178"/>
      <c r="J102" s="135"/>
      <c r="K102" s="135"/>
      <c r="L102" s="135"/>
      <c r="M102" s="135"/>
      <c r="N102" s="119"/>
      <c r="O102" s="119"/>
      <c r="P102" s="119"/>
      <c r="Q102" s="119"/>
      <c r="R102" s="119"/>
    </row>
    <row r="103" spans="2:18" x14ac:dyDescent="0.25">
      <c r="B103" s="220" t="s">
        <v>18</v>
      </c>
      <c r="C103" s="167" t="s">
        <v>63</v>
      </c>
      <c r="D103" s="285" t="s">
        <v>167</v>
      </c>
      <c r="E103" s="286"/>
      <c r="F103" s="286"/>
      <c r="G103" s="287"/>
      <c r="H103" s="28">
        <f>H98</f>
        <v>0</v>
      </c>
      <c r="I103" s="178"/>
      <c r="J103" s="135"/>
      <c r="K103" s="117"/>
      <c r="L103" s="117"/>
      <c r="M103" s="118"/>
      <c r="N103" s="119"/>
      <c r="O103" s="119"/>
      <c r="P103" s="119"/>
      <c r="Q103" s="119"/>
      <c r="R103" s="119"/>
    </row>
    <row r="104" spans="2:18" x14ac:dyDescent="0.25">
      <c r="B104" s="220" t="s">
        <v>168</v>
      </c>
      <c r="C104" s="252" t="s">
        <v>80</v>
      </c>
      <c r="D104" s="296"/>
      <c r="E104" s="296"/>
      <c r="F104" s="296"/>
      <c r="G104" s="253"/>
      <c r="H104" s="24">
        <f>SUM(H102:H103)</f>
        <v>352.66</v>
      </c>
      <c r="I104" s="25"/>
      <c r="J104" s="135"/>
      <c r="K104" s="117"/>
      <c r="L104" s="117"/>
      <c r="M104" s="118"/>
      <c r="N104" s="119"/>
      <c r="O104" s="119"/>
      <c r="P104" s="119"/>
      <c r="Q104" s="119"/>
      <c r="R104" s="119"/>
    </row>
    <row r="105" spans="2:18" x14ac:dyDescent="0.25">
      <c r="B105" s="211"/>
      <c r="C105" s="211"/>
      <c r="D105" s="211"/>
      <c r="E105" s="211"/>
      <c r="F105" s="211"/>
      <c r="G105" s="211"/>
      <c r="H105" s="211"/>
      <c r="I105" s="191"/>
      <c r="J105" s="135"/>
      <c r="K105" s="117"/>
      <c r="L105" s="117"/>
      <c r="M105" s="118"/>
      <c r="N105" s="119"/>
      <c r="O105" s="119"/>
      <c r="P105" s="119"/>
      <c r="Q105" s="119"/>
      <c r="R105" s="119"/>
    </row>
    <row r="106" spans="2:18" x14ac:dyDescent="0.25">
      <c r="B106" s="211"/>
      <c r="C106" s="211"/>
      <c r="D106" s="211"/>
      <c r="E106" s="211"/>
      <c r="F106" s="211"/>
      <c r="G106" s="211"/>
      <c r="H106" s="211"/>
      <c r="I106" s="191"/>
      <c r="J106" s="135"/>
      <c r="K106" s="117"/>
      <c r="L106" s="117"/>
      <c r="M106" s="118"/>
      <c r="N106" s="119"/>
      <c r="O106" s="119"/>
      <c r="P106" s="119"/>
      <c r="Q106" s="119"/>
      <c r="R106" s="119"/>
    </row>
    <row r="107" spans="2:18" x14ac:dyDescent="0.25">
      <c r="B107" s="292" t="s">
        <v>95</v>
      </c>
      <c r="C107" s="292"/>
      <c r="D107" s="292"/>
      <c r="E107" s="292"/>
      <c r="F107" s="292"/>
      <c r="G107" s="292"/>
      <c r="H107" s="292"/>
      <c r="I107" s="191"/>
      <c r="J107" s="135"/>
      <c r="K107" s="117"/>
      <c r="L107" s="117"/>
      <c r="M107" s="118"/>
      <c r="N107" s="119"/>
      <c r="O107" s="119"/>
      <c r="P107" s="119"/>
      <c r="Q107" s="119"/>
      <c r="R107" s="119"/>
    </row>
    <row r="108" spans="2:18" x14ac:dyDescent="0.25">
      <c r="B108" s="169">
        <v>5</v>
      </c>
      <c r="C108" s="297" t="s">
        <v>82</v>
      </c>
      <c r="D108" s="298"/>
      <c r="E108" s="298"/>
      <c r="F108" s="298"/>
      <c r="G108" s="299"/>
      <c r="H108" s="169" t="s">
        <v>68</v>
      </c>
      <c r="I108" s="191"/>
      <c r="J108" s="135"/>
      <c r="K108" s="117"/>
      <c r="L108" s="117"/>
      <c r="M108" s="118"/>
      <c r="N108" s="119"/>
      <c r="O108" s="119"/>
      <c r="P108" s="119"/>
      <c r="Q108" s="119"/>
      <c r="R108" s="119"/>
    </row>
    <row r="109" spans="2:18" x14ac:dyDescent="0.25">
      <c r="B109" s="220" t="s">
        <v>5</v>
      </c>
      <c r="C109" s="124" t="s">
        <v>64</v>
      </c>
      <c r="D109" s="125"/>
      <c r="E109" s="125"/>
      <c r="F109" s="125"/>
      <c r="G109" s="126"/>
      <c r="H109" s="90">
        <f>Insumos!G13</f>
        <v>183.72166666666666</v>
      </c>
      <c r="I109" s="178"/>
      <c r="J109" s="135"/>
      <c r="K109" s="117"/>
      <c r="L109" s="117"/>
      <c r="M109" s="118"/>
      <c r="N109" s="119"/>
      <c r="O109" s="119"/>
      <c r="P109" s="119"/>
      <c r="Q109" s="119"/>
      <c r="R109" s="119"/>
    </row>
    <row r="110" spans="2:18" x14ac:dyDescent="0.25">
      <c r="B110" s="220" t="s">
        <v>6</v>
      </c>
      <c r="C110" s="124" t="s">
        <v>13</v>
      </c>
      <c r="D110" s="125"/>
      <c r="E110" s="125"/>
      <c r="F110" s="125"/>
      <c r="G110" s="126"/>
      <c r="H110" s="127"/>
      <c r="I110" s="178"/>
      <c r="J110" s="135"/>
      <c r="K110" s="117"/>
      <c r="L110" s="117"/>
      <c r="M110" s="118"/>
      <c r="N110" s="119"/>
      <c r="O110" s="119"/>
      <c r="P110" s="119"/>
      <c r="Q110" s="119"/>
      <c r="R110" s="119"/>
    </row>
    <row r="111" spans="2:18" x14ac:dyDescent="0.25">
      <c r="B111" s="220" t="s">
        <v>7</v>
      </c>
      <c r="C111" s="124" t="s">
        <v>14</v>
      </c>
      <c r="D111" s="125"/>
      <c r="E111" s="125"/>
      <c r="F111" s="125"/>
      <c r="G111" s="126"/>
      <c r="H111" s="127">
        <f>Insumos!H46</f>
        <v>0</v>
      </c>
      <c r="I111" s="178"/>
      <c r="J111" s="135"/>
      <c r="K111" s="117"/>
      <c r="L111" s="117"/>
      <c r="M111" s="118"/>
      <c r="N111" s="119"/>
      <c r="O111" s="119"/>
      <c r="P111" s="119"/>
      <c r="Q111" s="119"/>
      <c r="R111" s="119"/>
    </row>
    <row r="112" spans="2:18" x14ac:dyDescent="0.25">
      <c r="B112" s="220" t="s">
        <v>8</v>
      </c>
      <c r="C112" s="124" t="s">
        <v>3</v>
      </c>
      <c r="D112" s="125"/>
      <c r="E112" s="125"/>
      <c r="F112" s="125"/>
      <c r="G112" s="126"/>
      <c r="H112" s="127"/>
      <c r="I112" s="178"/>
      <c r="J112" s="135"/>
      <c r="K112" s="117"/>
      <c r="L112" s="117"/>
      <c r="M112" s="118"/>
      <c r="N112" s="119"/>
      <c r="O112" s="119"/>
      <c r="P112" s="119"/>
      <c r="Q112" s="119"/>
      <c r="R112" s="119"/>
    </row>
    <row r="113" spans="2:18" x14ac:dyDescent="0.25">
      <c r="B113" s="220" t="s">
        <v>169</v>
      </c>
      <c r="C113" s="159" t="s">
        <v>80</v>
      </c>
      <c r="D113" s="159"/>
      <c r="E113" s="159"/>
      <c r="F113" s="159"/>
      <c r="G113" s="160"/>
      <c r="H113" s="24">
        <f>SUM(H109:H112)</f>
        <v>183.72166666666666</v>
      </c>
      <c r="I113" s="25"/>
      <c r="J113" s="135"/>
      <c r="K113" s="117"/>
      <c r="L113" s="117"/>
      <c r="M113" s="118"/>
      <c r="N113" s="119"/>
      <c r="O113" s="119"/>
      <c r="P113" s="119"/>
      <c r="Q113" s="119"/>
      <c r="R113" s="119"/>
    </row>
    <row r="114" spans="2:18" x14ac:dyDescent="0.25">
      <c r="B114" s="211"/>
      <c r="C114" s="211"/>
      <c r="D114" s="211"/>
      <c r="E114" s="211"/>
      <c r="F114" s="211"/>
      <c r="G114" s="149"/>
      <c r="H114" s="134"/>
      <c r="I114" s="25"/>
      <c r="J114" s="135"/>
      <c r="K114" s="117"/>
      <c r="L114" s="117"/>
      <c r="M114" s="118"/>
      <c r="N114" s="119"/>
      <c r="O114" s="119"/>
      <c r="P114" s="119"/>
      <c r="Q114" s="119"/>
      <c r="R114" s="119"/>
    </row>
    <row r="115" spans="2:18" x14ac:dyDescent="0.25">
      <c r="B115" s="211"/>
      <c r="C115" s="211"/>
      <c r="D115" s="211"/>
      <c r="E115" s="211"/>
      <c r="F115" s="211"/>
      <c r="G115" s="211"/>
      <c r="H115" s="211"/>
      <c r="I115" s="191"/>
      <c r="J115" s="135"/>
      <c r="K115" s="117"/>
      <c r="L115" s="117"/>
      <c r="M115" s="118"/>
      <c r="N115" s="119"/>
      <c r="O115" s="119"/>
      <c r="P115" s="119"/>
      <c r="Q115" s="119"/>
      <c r="R115" s="119"/>
    </row>
    <row r="116" spans="2:18" x14ac:dyDescent="0.25">
      <c r="B116" s="292" t="s">
        <v>96</v>
      </c>
      <c r="C116" s="292"/>
      <c r="D116" s="292"/>
      <c r="E116" s="292"/>
      <c r="F116" s="292"/>
      <c r="G116" s="292"/>
      <c r="H116" s="292"/>
      <c r="I116" s="191"/>
      <c r="J116" s="135"/>
      <c r="K116" s="117"/>
      <c r="L116" s="117"/>
      <c r="M116" s="118"/>
      <c r="N116" s="119"/>
      <c r="O116" s="119"/>
      <c r="P116" s="119"/>
      <c r="Q116" s="119"/>
      <c r="R116" s="119"/>
    </row>
    <row r="117" spans="2:18" x14ac:dyDescent="0.25">
      <c r="B117" s="169">
        <v>6</v>
      </c>
      <c r="C117" s="252" t="s">
        <v>83</v>
      </c>
      <c r="D117" s="296"/>
      <c r="E117" s="296"/>
      <c r="F117" s="253"/>
      <c r="G117" s="169" t="s">
        <v>2</v>
      </c>
      <c r="H117" s="169" t="s">
        <v>68</v>
      </c>
      <c r="I117" s="191"/>
      <c r="J117" s="135"/>
      <c r="K117" s="117"/>
      <c r="L117" s="117"/>
      <c r="M117" s="118"/>
      <c r="N117" s="119"/>
      <c r="O117" s="119"/>
      <c r="P117" s="119"/>
      <c r="Q117" s="119"/>
      <c r="R117" s="119"/>
    </row>
    <row r="118" spans="2:18" x14ac:dyDescent="0.25">
      <c r="B118" s="220" t="s">
        <v>5</v>
      </c>
      <c r="C118" s="167" t="s">
        <v>19</v>
      </c>
      <c r="D118" s="285" t="s">
        <v>181</v>
      </c>
      <c r="E118" s="286"/>
      <c r="F118" s="287"/>
      <c r="G118" s="101">
        <v>0.05</v>
      </c>
      <c r="H118" s="28">
        <f>TRUNC(H$135*$G118,2)</f>
        <v>193.87</v>
      </c>
      <c r="I118" s="178"/>
      <c r="J118" s="117"/>
      <c r="K118" s="117"/>
      <c r="L118" s="117"/>
      <c r="M118" s="118"/>
      <c r="N118" s="119"/>
      <c r="O118" s="119"/>
      <c r="P118" s="119"/>
      <c r="Q118" s="119"/>
      <c r="R118" s="119"/>
    </row>
    <row r="119" spans="2:18" x14ac:dyDescent="0.25">
      <c r="B119" s="220" t="s">
        <v>6</v>
      </c>
      <c r="C119" s="167" t="s">
        <v>4</v>
      </c>
      <c r="D119" s="285" t="s">
        <v>182</v>
      </c>
      <c r="E119" s="286"/>
      <c r="F119" s="287"/>
      <c r="G119" s="101">
        <v>0.1</v>
      </c>
      <c r="H119" s="28">
        <f>TRUNC((H$135+H$118)*$G119,2)</f>
        <v>407.14</v>
      </c>
      <c r="I119" s="178"/>
      <c r="J119" s="117"/>
      <c r="K119" s="117"/>
      <c r="L119" s="117"/>
      <c r="M119" s="118"/>
      <c r="N119" s="119"/>
      <c r="O119" s="119"/>
      <c r="P119" s="119"/>
      <c r="Q119" s="119"/>
      <c r="R119" s="119"/>
    </row>
    <row r="120" spans="2:18" x14ac:dyDescent="0.25">
      <c r="B120" s="220" t="s">
        <v>7</v>
      </c>
      <c r="C120" s="167" t="s">
        <v>136</v>
      </c>
      <c r="D120" s="285" t="s">
        <v>183</v>
      </c>
      <c r="E120" s="286"/>
      <c r="F120" s="287"/>
      <c r="G120" s="103">
        <f>1-(G121+G122+G123)</f>
        <v>0.85749999999999993</v>
      </c>
      <c r="H120" s="35">
        <f>TRUNC(((H$135+H$118+H$119)/$G120),2)</f>
        <v>5222.8</v>
      </c>
      <c r="I120" s="181"/>
      <c r="J120" s="135"/>
      <c r="K120" s="117"/>
      <c r="L120" s="117"/>
      <c r="M120" s="118"/>
      <c r="N120" s="119"/>
      <c r="O120" s="119"/>
      <c r="P120" s="119"/>
      <c r="Q120" s="119"/>
      <c r="R120" s="119"/>
    </row>
    <row r="121" spans="2:18" x14ac:dyDescent="0.25">
      <c r="B121" s="220" t="s">
        <v>40</v>
      </c>
      <c r="C121" s="167" t="s">
        <v>37</v>
      </c>
      <c r="D121" s="285" t="s">
        <v>184</v>
      </c>
      <c r="E121" s="286"/>
      <c r="F121" s="287"/>
      <c r="G121" s="102">
        <v>1.6500000000000001E-2</v>
      </c>
      <c r="H121" s="28">
        <f>TRUNC(H$120*$G121,2)</f>
        <v>86.17</v>
      </c>
      <c r="I121" s="178"/>
      <c r="J121" s="135"/>
      <c r="K121" s="117"/>
      <c r="L121" s="117"/>
      <c r="M121" s="118"/>
      <c r="N121" s="119"/>
      <c r="O121" s="119"/>
      <c r="P121" s="119"/>
      <c r="Q121" s="119"/>
      <c r="R121" s="119"/>
    </row>
    <row r="122" spans="2:18" x14ac:dyDescent="0.25">
      <c r="B122" s="220" t="s">
        <v>41</v>
      </c>
      <c r="C122" s="167" t="s">
        <v>38</v>
      </c>
      <c r="D122" s="285" t="s">
        <v>184</v>
      </c>
      <c r="E122" s="286"/>
      <c r="F122" s="287"/>
      <c r="G122" s="102">
        <v>7.5999999999999998E-2</v>
      </c>
      <c r="H122" s="28">
        <f>TRUNC(H$120*$G122,2)</f>
        <v>396.93</v>
      </c>
      <c r="I122" s="178"/>
      <c r="J122" s="135"/>
      <c r="K122" s="117"/>
      <c r="L122" s="117"/>
      <c r="M122" s="118"/>
      <c r="N122" s="119"/>
      <c r="O122" s="119"/>
      <c r="P122" s="119"/>
      <c r="Q122" s="119"/>
      <c r="R122" s="119"/>
    </row>
    <row r="123" spans="2:18" x14ac:dyDescent="0.25">
      <c r="B123" s="220" t="s">
        <v>42</v>
      </c>
      <c r="C123" s="167" t="s">
        <v>39</v>
      </c>
      <c r="D123" s="285" t="s">
        <v>184</v>
      </c>
      <c r="E123" s="286"/>
      <c r="F123" s="287"/>
      <c r="G123" s="102">
        <v>0.05</v>
      </c>
      <c r="H123" s="28">
        <f>TRUNC(H$120*$G123,2)</f>
        <v>261.14</v>
      </c>
      <c r="I123" s="178"/>
      <c r="J123" s="135"/>
      <c r="K123" s="117"/>
      <c r="L123" s="117"/>
      <c r="M123" s="118"/>
      <c r="N123" s="119"/>
      <c r="O123" s="119"/>
      <c r="P123" s="119"/>
      <c r="Q123" s="119"/>
      <c r="R123" s="119"/>
    </row>
    <row r="124" spans="2:18" x14ac:dyDescent="0.25">
      <c r="B124" s="220" t="s">
        <v>170</v>
      </c>
      <c r="C124" s="215" t="s">
        <v>80</v>
      </c>
      <c r="D124" s="277" t="s">
        <v>172</v>
      </c>
      <c r="E124" s="277"/>
      <c r="F124" s="277"/>
      <c r="G124" s="278"/>
      <c r="H124" s="24">
        <f>SUM(H118:H123)-H120</f>
        <v>1345.2500000000009</v>
      </c>
      <c r="I124" s="25"/>
      <c r="J124" s="138"/>
      <c r="K124" s="117"/>
      <c r="L124" s="117"/>
      <c r="M124" s="118"/>
      <c r="N124" s="119"/>
      <c r="O124" s="119"/>
      <c r="P124" s="119"/>
      <c r="Q124" s="119"/>
      <c r="R124" s="119"/>
    </row>
    <row r="125" spans="2:18" x14ac:dyDescent="0.25">
      <c r="B125" s="122"/>
      <c r="C125" s="122"/>
      <c r="D125" s="122"/>
      <c r="E125" s="122"/>
      <c r="F125" s="122"/>
      <c r="G125" s="122"/>
      <c r="H125" s="150"/>
      <c r="I125" s="36"/>
      <c r="J125" s="117"/>
      <c r="K125" s="117"/>
      <c r="L125" s="117"/>
      <c r="M125" s="118"/>
      <c r="N125" s="119"/>
      <c r="O125" s="119"/>
      <c r="P125" s="119"/>
      <c r="Q125" s="119"/>
      <c r="R125" s="119"/>
    </row>
    <row r="126" spans="2:18" x14ac:dyDescent="0.25">
      <c r="B126" s="291" t="s">
        <v>212</v>
      </c>
      <c r="C126" s="291"/>
      <c r="D126" s="291"/>
      <c r="E126" s="291"/>
      <c r="F126" s="291"/>
      <c r="G126" s="291"/>
      <c r="H126" s="291"/>
      <c r="I126" s="192"/>
      <c r="J126" s="117"/>
      <c r="K126" s="151"/>
      <c r="L126" s="117"/>
      <c r="M126" s="118"/>
      <c r="N126" s="119"/>
      <c r="O126" s="119"/>
      <c r="P126" s="119"/>
      <c r="Q126" s="119"/>
      <c r="R126" s="119"/>
    </row>
    <row r="127" spans="2:18" x14ac:dyDescent="0.25">
      <c r="B127" s="214"/>
      <c r="C127" s="214"/>
      <c r="D127" s="214"/>
      <c r="E127" s="214"/>
      <c r="F127" s="214"/>
      <c r="G127" s="214"/>
      <c r="H127" s="214"/>
      <c r="I127" s="192"/>
      <c r="J127" s="117"/>
      <c r="K127" s="151"/>
      <c r="L127" s="117"/>
      <c r="M127" s="118"/>
      <c r="N127" s="119"/>
      <c r="O127" s="119"/>
      <c r="P127" s="119"/>
      <c r="Q127" s="119"/>
      <c r="R127" s="119"/>
    </row>
    <row r="128" spans="2:18" x14ac:dyDescent="0.25">
      <c r="B128" s="292" t="s">
        <v>213</v>
      </c>
      <c r="C128" s="292"/>
      <c r="D128" s="292"/>
      <c r="E128" s="292"/>
      <c r="F128" s="292"/>
      <c r="G128" s="292"/>
      <c r="H128" s="292"/>
      <c r="I128" s="191"/>
      <c r="J128" s="117"/>
      <c r="K128" s="151"/>
      <c r="L128" s="117"/>
      <c r="M128" s="118"/>
      <c r="N128" s="119"/>
      <c r="O128" s="119"/>
      <c r="P128" s="119"/>
      <c r="Q128" s="119"/>
      <c r="R128" s="119"/>
    </row>
    <row r="129" spans="2:18" ht="12.75" customHeight="1" x14ac:dyDescent="0.25">
      <c r="B129" s="37"/>
      <c r="C129" s="293" t="s">
        <v>137</v>
      </c>
      <c r="D129" s="294"/>
      <c r="E129" s="294"/>
      <c r="F129" s="294"/>
      <c r="G129" s="295"/>
      <c r="H129" s="169" t="s">
        <v>68</v>
      </c>
      <c r="I129" s="191"/>
      <c r="J129" s="117"/>
      <c r="K129" s="117"/>
      <c r="L129" s="117"/>
      <c r="M129" s="118"/>
      <c r="N129" s="119"/>
      <c r="O129" s="119"/>
      <c r="P129" s="119"/>
      <c r="Q129" s="119"/>
      <c r="R129" s="119"/>
    </row>
    <row r="130" spans="2:18" x14ac:dyDescent="0.25">
      <c r="B130" s="220" t="s">
        <v>5</v>
      </c>
      <c r="C130" s="163" t="s">
        <v>98</v>
      </c>
      <c r="D130" s="285" t="s">
        <v>147</v>
      </c>
      <c r="E130" s="286"/>
      <c r="F130" s="286"/>
      <c r="G130" s="287"/>
      <c r="H130" s="28">
        <f>H32</f>
        <v>1424.98</v>
      </c>
      <c r="I130" s="178"/>
      <c r="J130" s="117"/>
      <c r="K130" s="117"/>
      <c r="L130" s="117"/>
      <c r="M130" s="118"/>
      <c r="N130" s="119"/>
      <c r="O130" s="119"/>
      <c r="P130" s="119"/>
      <c r="Q130" s="119"/>
      <c r="R130" s="119"/>
    </row>
    <row r="131" spans="2:18" ht="22.8" x14ac:dyDescent="0.25">
      <c r="B131" s="220" t="s">
        <v>6</v>
      </c>
      <c r="C131" s="163" t="s">
        <v>99</v>
      </c>
      <c r="D131" s="285" t="s">
        <v>161</v>
      </c>
      <c r="E131" s="286"/>
      <c r="F131" s="286"/>
      <c r="G131" s="287"/>
      <c r="H131" s="28">
        <f>H73</f>
        <v>1591.7816666666668</v>
      </c>
      <c r="I131" s="178"/>
      <c r="J131" s="117"/>
      <c r="K131" s="117"/>
      <c r="L131" s="117"/>
      <c r="M131" s="118"/>
      <c r="N131" s="119"/>
      <c r="O131" s="119"/>
      <c r="P131" s="119"/>
      <c r="Q131" s="119"/>
      <c r="R131" s="119"/>
    </row>
    <row r="132" spans="2:18" x14ac:dyDescent="0.25">
      <c r="B132" s="220" t="s">
        <v>7</v>
      </c>
      <c r="C132" s="163" t="s">
        <v>100</v>
      </c>
      <c r="D132" s="285" t="s">
        <v>165</v>
      </c>
      <c r="E132" s="286"/>
      <c r="F132" s="286"/>
      <c r="G132" s="287"/>
      <c r="H132" s="28">
        <f>H84</f>
        <v>324.39999999999998</v>
      </c>
      <c r="I132" s="178"/>
      <c r="J132" s="117"/>
      <c r="K132" s="151"/>
      <c r="L132" s="117"/>
      <c r="M132" s="118"/>
      <c r="N132" s="119"/>
      <c r="O132" s="119"/>
      <c r="P132" s="119"/>
      <c r="Q132" s="119"/>
      <c r="R132" s="119"/>
    </row>
    <row r="133" spans="2:18" ht="22.8" x14ac:dyDescent="0.25">
      <c r="B133" s="220" t="s">
        <v>8</v>
      </c>
      <c r="C133" s="163" t="s">
        <v>62</v>
      </c>
      <c r="D133" s="285" t="s">
        <v>168</v>
      </c>
      <c r="E133" s="286"/>
      <c r="F133" s="286"/>
      <c r="G133" s="287"/>
      <c r="H133" s="28">
        <f>H104</f>
        <v>352.66</v>
      </c>
      <c r="I133" s="178"/>
      <c r="J133" s="117"/>
      <c r="K133" s="151"/>
      <c r="L133" s="117"/>
      <c r="M133" s="118"/>
      <c r="N133" s="119"/>
      <c r="O133" s="119"/>
      <c r="P133" s="119"/>
      <c r="Q133" s="119"/>
      <c r="R133" s="119"/>
    </row>
    <row r="134" spans="2:18" x14ac:dyDescent="0.25">
      <c r="B134" s="220" t="s">
        <v>9</v>
      </c>
      <c r="C134" s="163" t="s">
        <v>101</v>
      </c>
      <c r="D134" s="285" t="s">
        <v>169</v>
      </c>
      <c r="E134" s="286"/>
      <c r="F134" s="286"/>
      <c r="G134" s="287"/>
      <c r="H134" s="28">
        <f>H113</f>
        <v>183.72166666666666</v>
      </c>
      <c r="I134" s="178"/>
      <c r="J134" s="117"/>
      <c r="K134" s="117"/>
      <c r="L134" s="117"/>
      <c r="M134" s="118"/>
      <c r="N134" s="119"/>
      <c r="O134" s="119"/>
      <c r="P134" s="119"/>
      <c r="Q134" s="119"/>
      <c r="R134" s="119"/>
    </row>
    <row r="135" spans="2:18" x14ac:dyDescent="0.25">
      <c r="B135" s="219" t="s">
        <v>10</v>
      </c>
      <c r="C135" s="162" t="s">
        <v>65</v>
      </c>
      <c r="D135" s="288" t="s">
        <v>188</v>
      </c>
      <c r="E135" s="289"/>
      <c r="F135" s="289"/>
      <c r="G135" s="290"/>
      <c r="H135" s="32">
        <f>SUM(H130:H134)</f>
        <v>3877.5433333333335</v>
      </c>
      <c r="I135" s="25"/>
      <c r="J135" s="117"/>
      <c r="K135" s="152"/>
      <c r="L135" s="117"/>
      <c r="M135" s="118"/>
      <c r="N135" s="119"/>
      <c r="O135" s="119"/>
      <c r="P135" s="119"/>
      <c r="Q135" s="119"/>
      <c r="R135" s="119"/>
    </row>
    <row r="136" spans="2:18" x14ac:dyDescent="0.25">
      <c r="B136" s="220" t="s">
        <v>11</v>
      </c>
      <c r="C136" s="167" t="s">
        <v>102</v>
      </c>
      <c r="D136" s="285" t="s">
        <v>170</v>
      </c>
      <c r="E136" s="286"/>
      <c r="F136" s="286"/>
      <c r="G136" s="287"/>
      <c r="H136" s="28">
        <f>H124</f>
        <v>1345.2500000000009</v>
      </c>
      <c r="I136" s="178"/>
      <c r="J136" s="117"/>
      <c r="K136" s="117"/>
      <c r="L136" s="117"/>
      <c r="M136" s="118"/>
      <c r="N136" s="119"/>
      <c r="O136" s="119"/>
      <c r="P136" s="119"/>
      <c r="Q136" s="119"/>
      <c r="R136" s="119"/>
    </row>
    <row r="137" spans="2:18" x14ac:dyDescent="0.25">
      <c r="B137" s="220" t="s">
        <v>173</v>
      </c>
      <c r="C137" s="209" t="s">
        <v>97</v>
      </c>
      <c r="D137" s="276" t="s">
        <v>187</v>
      </c>
      <c r="E137" s="277"/>
      <c r="F137" s="277"/>
      <c r="G137" s="278"/>
      <c r="H137" s="38">
        <f>SUM(H135:H136)</f>
        <v>5222.7933333333349</v>
      </c>
      <c r="I137" s="195"/>
      <c r="J137" s="117"/>
      <c r="K137" s="153"/>
      <c r="L137" s="117"/>
      <c r="M137" s="118"/>
      <c r="N137" s="119"/>
      <c r="O137" s="119"/>
      <c r="P137" s="119"/>
      <c r="Q137" s="119"/>
      <c r="R137" s="119"/>
    </row>
    <row r="138" spans="2:18" ht="12.75" hidden="1" customHeight="1" x14ac:dyDescent="0.25">
      <c r="B138" s="15"/>
      <c r="C138" s="15"/>
      <c r="D138" s="15"/>
      <c r="E138" s="15"/>
      <c r="F138" s="15"/>
      <c r="G138" s="15"/>
      <c r="H138" s="39"/>
      <c r="I138" s="196"/>
      <c r="J138" s="154"/>
      <c r="K138" s="154"/>
      <c r="L138" s="154"/>
      <c r="M138" s="119"/>
      <c r="N138" s="119"/>
      <c r="O138" s="119"/>
      <c r="P138" s="119"/>
      <c r="Q138" s="119"/>
      <c r="R138" s="119"/>
    </row>
    <row r="139" spans="2:18" ht="40.5" hidden="1" customHeight="1" x14ac:dyDescent="0.25">
      <c r="B139" s="40"/>
      <c r="C139" s="40" t="s">
        <v>20</v>
      </c>
      <c r="D139" s="40"/>
      <c r="E139" s="40"/>
      <c r="F139" s="40"/>
      <c r="G139" s="41"/>
      <c r="H139" s="41"/>
      <c r="I139" s="197"/>
      <c r="J139" s="154"/>
      <c r="K139" s="154"/>
      <c r="L139" s="154"/>
      <c r="M139" s="119"/>
      <c r="N139" s="119"/>
      <c r="O139" s="119"/>
      <c r="P139" s="119"/>
      <c r="Q139" s="119"/>
      <c r="R139" s="119"/>
    </row>
    <row r="140" spans="2:18" ht="39" hidden="1" customHeight="1" x14ac:dyDescent="0.25">
      <c r="B140" s="279" t="s">
        <v>22</v>
      </c>
      <c r="C140" s="280"/>
      <c r="D140" s="224"/>
      <c r="E140" s="224"/>
      <c r="F140" s="224"/>
      <c r="G140" s="42" t="s">
        <v>21</v>
      </c>
      <c r="H140" s="43" t="s">
        <v>0</v>
      </c>
      <c r="I140" s="197"/>
      <c r="J140" s="154"/>
      <c r="K140" s="154"/>
      <c r="L140" s="154"/>
      <c r="M140" s="119"/>
      <c r="N140" s="119"/>
      <c r="O140" s="119"/>
      <c r="P140" s="119"/>
      <c r="Q140" s="119"/>
      <c r="R140" s="119"/>
    </row>
    <row r="141" spans="2:18" ht="12.75" hidden="1" customHeight="1" x14ac:dyDescent="0.25">
      <c r="B141" s="281" t="s">
        <v>23</v>
      </c>
      <c r="C141" s="282"/>
      <c r="D141" s="44"/>
      <c r="E141" s="44"/>
      <c r="F141" s="44"/>
      <c r="G141" s="45"/>
      <c r="H141" s="46">
        <v>0</v>
      </c>
      <c r="I141" s="182"/>
      <c r="J141" s="154"/>
      <c r="K141" s="154"/>
      <c r="L141" s="154"/>
      <c r="M141" s="119"/>
      <c r="N141" s="119"/>
      <c r="O141" s="119"/>
      <c r="P141" s="119"/>
      <c r="Q141" s="119"/>
      <c r="R141" s="119"/>
    </row>
    <row r="142" spans="2:18" ht="12.75" hidden="1" customHeight="1" x14ac:dyDescent="0.25">
      <c r="B142" s="283" t="s">
        <v>24</v>
      </c>
      <c r="C142" s="284"/>
      <c r="D142" s="47"/>
      <c r="E142" s="47"/>
      <c r="F142" s="47"/>
      <c r="G142" s="48"/>
      <c r="H142" s="49">
        <v>0</v>
      </c>
      <c r="I142" s="182"/>
      <c r="J142" s="154"/>
      <c r="K142" s="154"/>
      <c r="L142" s="154"/>
      <c r="M142" s="119"/>
      <c r="N142" s="119"/>
      <c r="O142" s="119"/>
      <c r="P142" s="119"/>
      <c r="Q142" s="119"/>
      <c r="R142" s="119"/>
    </row>
    <row r="143" spans="2:18" ht="12.75" hidden="1" customHeight="1" x14ac:dyDescent="0.25">
      <c r="B143" s="283" t="s">
        <v>25</v>
      </c>
      <c r="C143" s="284"/>
      <c r="D143" s="47"/>
      <c r="E143" s="47"/>
      <c r="F143" s="47"/>
      <c r="G143" s="48"/>
      <c r="H143" s="49">
        <v>0</v>
      </c>
      <c r="I143" s="182"/>
      <c r="J143" s="154"/>
      <c r="K143" s="154"/>
      <c r="L143" s="154"/>
      <c r="M143" s="119"/>
      <c r="N143" s="119"/>
      <c r="O143" s="119"/>
      <c r="P143" s="119"/>
      <c r="Q143" s="119"/>
      <c r="R143" s="119"/>
    </row>
    <row r="144" spans="2:18" ht="12.75" hidden="1" customHeight="1" x14ac:dyDescent="0.25">
      <c r="B144" s="283" t="s">
        <v>26</v>
      </c>
      <c r="C144" s="284"/>
      <c r="D144" s="47"/>
      <c r="E144" s="47"/>
      <c r="F144" s="47"/>
      <c r="G144" s="48"/>
      <c r="H144" s="49">
        <v>0</v>
      </c>
      <c r="I144" s="182"/>
      <c r="J144" s="154"/>
      <c r="K144" s="154"/>
      <c r="L144" s="154"/>
      <c r="M144" s="119"/>
      <c r="N144" s="119"/>
      <c r="O144" s="119"/>
      <c r="P144" s="119"/>
      <c r="Q144" s="119"/>
      <c r="R144" s="119"/>
    </row>
    <row r="145" spans="2:18" ht="12.75" hidden="1" customHeight="1" x14ac:dyDescent="0.25">
      <c r="B145" s="270"/>
      <c r="C145" s="271"/>
      <c r="D145" s="50"/>
      <c r="E145" s="50"/>
      <c r="F145" s="50"/>
      <c r="G145" s="51"/>
      <c r="H145" s="49"/>
      <c r="I145" s="182"/>
      <c r="J145" s="154"/>
      <c r="K145" s="154"/>
      <c r="L145" s="154"/>
      <c r="M145" s="119"/>
      <c r="N145" s="119"/>
      <c r="O145" s="119"/>
      <c r="P145" s="119"/>
      <c r="Q145" s="119"/>
      <c r="R145" s="119"/>
    </row>
    <row r="146" spans="2:18" ht="13.5" hidden="1" customHeight="1" x14ac:dyDescent="0.25">
      <c r="B146" s="272"/>
      <c r="C146" s="273"/>
      <c r="D146" s="52"/>
      <c r="E146" s="52"/>
      <c r="F146" s="52"/>
      <c r="G146" s="53"/>
      <c r="H146" s="54"/>
      <c r="I146" s="182"/>
      <c r="J146" s="154"/>
      <c r="K146" s="154"/>
      <c r="L146" s="154"/>
      <c r="M146" s="119"/>
      <c r="N146" s="119"/>
      <c r="O146" s="119"/>
      <c r="P146" s="119"/>
      <c r="Q146" s="119"/>
      <c r="R146" s="119"/>
    </row>
    <row r="147" spans="2:18" ht="13.5" hidden="1" customHeight="1" x14ac:dyDescent="0.25">
      <c r="B147" s="55" t="s">
        <v>27</v>
      </c>
      <c r="C147" s="56"/>
      <c r="D147" s="56"/>
      <c r="E147" s="56"/>
      <c r="F147" s="56"/>
      <c r="G147" s="57"/>
      <c r="H147" s="58">
        <f>SUM(H145:H146)</f>
        <v>0</v>
      </c>
      <c r="I147" s="183"/>
      <c r="J147" s="154"/>
      <c r="K147" s="154"/>
      <c r="L147" s="154"/>
      <c r="M147" s="119"/>
      <c r="N147" s="119"/>
      <c r="O147" s="119"/>
      <c r="P147" s="119"/>
      <c r="Q147" s="119"/>
      <c r="R147" s="119"/>
    </row>
    <row r="148" spans="2:18" ht="12.75" hidden="1" customHeight="1" x14ac:dyDescent="0.25">
      <c r="B148" s="15"/>
      <c r="C148" s="15"/>
      <c r="D148" s="15"/>
      <c r="E148" s="15"/>
      <c r="F148" s="15"/>
      <c r="G148" s="15"/>
      <c r="H148" s="15"/>
      <c r="I148" s="19"/>
      <c r="J148" s="154"/>
      <c r="K148" s="154"/>
      <c r="L148" s="154"/>
      <c r="M148" s="119"/>
      <c r="N148" s="119"/>
      <c r="O148" s="119"/>
      <c r="P148" s="119"/>
      <c r="Q148" s="119"/>
      <c r="R148" s="119"/>
    </row>
    <row r="149" spans="2:18" ht="13.5" hidden="1" customHeight="1" x14ac:dyDescent="0.25">
      <c r="B149" s="40" t="s">
        <v>28</v>
      </c>
      <c r="C149" s="40" t="s">
        <v>29</v>
      </c>
      <c r="D149" s="40"/>
      <c r="E149" s="40"/>
      <c r="F149" s="40"/>
      <c r="G149" s="41"/>
      <c r="H149" s="41"/>
      <c r="I149" s="197"/>
      <c r="J149" s="154"/>
      <c r="K149" s="154"/>
      <c r="L149" s="154"/>
      <c r="M149" s="119"/>
      <c r="N149" s="119"/>
      <c r="O149" s="119"/>
      <c r="P149" s="119"/>
      <c r="Q149" s="119"/>
      <c r="R149" s="119"/>
    </row>
    <row r="150" spans="2:18" ht="13.5" hidden="1" customHeight="1" x14ac:dyDescent="0.25">
      <c r="B150" s="59" t="s">
        <v>30</v>
      </c>
      <c r="C150" s="60"/>
      <c r="D150" s="60"/>
      <c r="E150" s="60"/>
      <c r="F150" s="60"/>
      <c r="G150" s="60"/>
      <c r="H150" s="61"/>
      <c r="I150" s="197"/>
      <c r="J150" s="154"/>
      <c r="K150" s="154"/>
      <c r="L150" s="154"/>
      <c r="M150" s="119"/>
      <c r="N150" s="119"/>
      <c r="O150" s="119"/>
      <c r="P150" s="119"/>
      <c r="Q150" s="119"/>
      <c r="R150" s="119"/>
    </row>
    <row r="151" spans="2:18" ht="12.75" hidden="1" customHeight="1" x14ac:dyDescent="0.25">
      <c r="B151" s="62"/>
      <c r="C151" s="63" t="s">
        <v>31</v>
      </c>
      <c r="D151" s="64"/>
      <c r="E151" s="64"/>
      <c r="F151" s="64"/>
      <c r="G151" s="65"/>
      <c r="H151" s="43" t="s">
        <v>0</v>
      </c>
      <c r="I151" s="197"/>
      <c r="J151" s="154"/>
      <c r="K151" s="154"/>
      <c r="L151" s="154"/>
      <c r="M151" s="119"/>
      <c r="N151" s="119"/>
      <c r="O151" s="119"/>
      <c r="P151" s="119"/>
      <c r="Q151" s="119"/>
      <c r="R151" s="119"/>
    </row>
    <row r="152" spans="2:18" ht="12.75" hidden="1" customHeight="1" x14ac:dyDescent="0.25">
      <c r="B152" s="66" t="s">
        <v>5</v>
      </c>
      <c r="C152" s="67" t="s">
        <v>32</v>
      </c>
      <c r="D152" s="68"/>
      <c r="E152" s="68"/>
      <c r="F152" s="68"/>
      <c r="G152" s="69"/>
      <c r="H152" s="70">
        <f>H121</f>
        <v>86.17</v>
      </c>
      <c r="I152" s="182"/>
      <c r="J152" s="154"/>
      <c r="K152" s="154"/>
      <c r="L152" s="154"/>
      <c r="M152" s="119"/>
      <c r="N152" s="119"/>
      <c r="O152" s="119"/>
      <c r="P152" s="119"/>
      <c r="Q152" s="119"/>
      <c r="R152" s="119"/>
    </row>
    <row r="153" spans="2:18" ht="13.5" hidden="1" customHeight="1" x14ac:dyDescent="0.25">
      <c r="B153" s="71" t="s">
        <v>6</v>
      </c>
      <c r="C153" s="72" t="s">
        <v>33</v>
      </c>
      <c r="D153" s="73"/>
      <c r="E153" s="73"/>
      <c r="F153" s="73"/>
      <c r="G153" s="74"/>
      <c r="H153" s="75" t="e">
        <f>#REF!</f>
        <v>#REF!</v>
      </c>
      <c r="I153" s="182"/>
      <c r="J153" s="154"/>
      <c r="K153" s="154"/>
      <c r="L153" s="154"/>
      <c r="M153" s="119"/>
      <c r="N153" s="119"/>
      <c r="O153" s="119"/>
      <c r="P153" s="119"/>
      <c r="Q153" s="119"/>
      <c r="R153" s="119"/>
    </row>
    <row r="154" spans="2:18" ht="13.5" hidden="1" customHeight="1" x14ac:dyDescent="0.25">
      <c r="B154" s="71" t="s">
        <v>7</v>
      </c>
      <c r="C154" s="76" t="s">
        <v>34</v>
      </c>
      <c r="D154" s="77"/>
      <c r="E154" s="77"/>
      <c r="F154" s="77"/>
      <c r="G154" s="78"/>
      <c r="H154" s="75">
        <f>H124</f>
        <v>1345.2500000000009</v>
      </c>
      <c r="I154" s="182"/>
      <c r="J154" s="154"/>
      <c r="K154" s="154"/>
      <c r="L154" s="154"/>
      <c r="M154" s="119"/>
      <c r="N154" s="119"/>
      <c r="O154" s="119"/>
      <c r="P154" s="119"/>
      <c r="Q154" s="119"/>
      <c r="R154" s="119"/>
    </row>
    <row r="155" spans="2:18" ht="13.5" hidden="1" customHeight="1" x14ac:dyDescent="0.25">
      <c r="B155" s="79" t="s">
        <v>16</v>
      </c>
      <c r="C155" s="80"/>
      <c r="D155" s="80"/>
      <c r="E155" s="80"/>
      <c r="F155" s="80"/>
      <c r="G155" s="81"/>
      <c r="H155" s="58" t="e">
        <f>SUM(H152:H154)</f>
        <v>#REF!</v>
      </c>
      <c r="I155" s="183"/>
      <c r="J155" s="154"/>
      <c r="K155" s="154"/>
      <c r="L155" s="154"/>
      <c r="M155" s="119"/>
      <c r="N155" s="119"/>
      <c r="O155" s="119"/>
      <c r="P155" s="119"/>
      <c r="Q155" s="119"/>
      <c r="R155" s="119"/>
    </row>
    <row r="156" spans="2:18" ht="12.75" hidden="1" customHeight="1" x14ac:dyDescent="0.25">
      <c r="B156" s="82" t="s">
        <v>15</v>
      </c>
      <c r="C156" s="15" t="s">
        <v>35</v>
      </c>
      <c r="D156" s="15"/>
      <c r="E156" s="15"/>
      <c r="F156" s="15"/>
      <c r="G156" s="15"/>
      <c r="H156" s="15"/>
      <c r="I156" s="19"/>
      <c r="J156" s="154"/>
      <c r="K156" s="154"/>
      <c r="L156" s="154"/>
      <c r="M156" s="119"/>
      <c r="N156" s="119"/>
      <c r="O156" s="119"/>
      <c r="P156" s="119"/>
      <c r="Q156" s="119"/>
      <c r="R156" s="119"/>
    </row>
    <row r="157" spans="2:18" ht="12.75" hidden="1" customHeight="1" x14ac:dyDescent="0.25">
      <c r="B157" s="15"/>
      <c r="C157" s="15"/>
      <c r="D157" s="15"/>
      <c r="E157" s="15"/>
      <c r="F157" s="15"/>
      <c r="G157" s="15"/>
      <c r="H157" s="15"/>
      <c r="I157" s="19"/>
      <c r="J157" s="154"/>
      <c r="K157" s="154"/>
      <c r="L157" s="154"/>
      <c r="M157" s="119"/>
      <c r="N157" s="119"/>
      <c r="O157" s="119"/>
      <c r="P157" s="119"/>
      <c r="Q157" s="119"/>
      <c r="R157" s="119"/>
    </row>
    <row r="158" spans="2:18" x14ac:dyDescent="0.25">
      <c r="I158" s="19"/>
      <c r="J158" s="154"/>
      <c r="K158" s="154"/>
      <c r="L158" s="154"/>
      <c r="M158" s="119"/>
      <c r="N158" s="119"/>
      <c r="O158" s="119"/>
      <c r="P158" s="119"/>
      <c r="Q158" s="119"/>
      <c r="R158" s="119"/>
    </row>
    <row r="159" spans="2:18" x14ac:dyDescent="0.25">
      <c r="B159" s="274" t="s">
        <v>214</v>
      </c>
      <c r="C159" s="274"/>
      <c r="D159" s="274"/>
      <c r="E159" s="274"/>
      <c r="F159" s="274"/>
      <c r="I159" s="19"/>
      <c r="J159" s="172"/>
      <c r="K159" s="155"/>
      <c r="L159" s="154"/>
      <c r="M159" s="119"/>
      <c r="N159" s="119"/>
      <c r="O159" s="119"/>
      <c r="P159" s="119"/>
      <c r="Q159" s="119"/>
      <c r="R159" s="119"/>
    </row>
    <row r="160" spans="2:18" x14ac:dyDescent="0.25">
      <c r="B160" s="156"/>
      <c r="C160" s="156"/>
      <c r="D160" s="156"/>
      <c r="E160" s="140"/>
      <c r="F160" s="140"/>
      <c r="I160" s="19"/>
    </row>
    <row r="161" spans="2:14" x14ac:dyDescent="0.25">
      <c r="B161" s="275" t="s">
        <v>215</v>
      </c>
      <c r="C161" s="275"/>
      <c r="D161" s="275"/>
      <c r="E161" s="275"/>
      <c r="F161" s="275"/>
      <c r="G161" s="275"/>
      <c r="H161" s="275"/>
      <c r="I161" s="193"/>
      <c r="J161" s="172"/>
    </row>
    <row r="162" spans="2:14" x14ac:dyDescent="0.25">
      <c r="B162" s="220" t="s">
        <v>5</v>
      </c>
      <c r="C162" s="165" t="s">
        <v>123</v>
      </c>
      <c r="D162" s="267" t="s">
        <v>173</v>
      </c>
      <c r="E162" s="268"/>
      <c r="F162" s="268"/>
      <c r="G162" s="269"/>
      <c r="H162" s="12">
        <f>H137</f>
        <v>5222.7933333333349</v>
      </c>
      <c r="I162" s="190"/>
    </row>
    <row r="163" spans="2:14" ht="22.8" x14ac:dyDescent="0.25">
      <c r="B163" s="220" t="s">
        <v>6</v>
      </c>
      <c r="C163" s="164" t="s">
        <v>175</v>
      </c>
      <c r="D163" s="267" t="s">
        <v>176</v>
      </c>
      <c r="E163" s="268"/>
      <c r="F163" s="268"/>
      <c r="G163" s="269"/>
      <c r="H163" s="12">
        <f>H43+H84+H102</f>
        <v>954.13000000000011</v>
      </c>
      <c r="I163" s="184"/>
    </row>
    <row r="164" spans="2:14" ht="22.8" x14ac:dyDescent="0.25">
      <c r="B164" s="220" t="s">
        <v>7</v>
      </c>
      <c r="C164" s="188" t="s">
        <v>192</v>
      </c>
      <c r="D164" s="260" t="s">
        <v>200</v>
      </c>
      <c r="E164" s="261"/>
      <c r="F164" s="261"/>
      <c r="G164" s="262"/>
      <c r="H164" s="189">
        <f>TRUNC((H$43*$G56),2)</f>
        <v>101.96</v>
      </c>
      <c r="I164" s="190"/>
      <c r="J164" s="171"/>
    </row>
    <row r="165" spans="2:14" ht="12.75" customHeight="1" x14ac:dyDescent="0.25">
      <c r="B165" s="220" t="s">
        <v>8</v>
      </c>
      <c r="C165" s="164" t="s">
        <v>19</v>
      </c>
      <c r="D165" s="263" t="s">
        <v>185</v>
      </c>
      <c r="E165" s="264"/>
      <c r="F165" s="265"/>
      <c r="G165" s="13">
        <f>G118</f>
        <v>0.05</v>
      </c>
      <c r="H165" s="12">
        <f>TRUNC((H$163+H$164)*$G165,2)</f>
        <v>52.8</v>
      </c>
      <c r="I165" s="184"/>
      <c r="J165" s="266"/>
      <c r="K165" s="266"/>
      <c r="L165" s="266"/>
      <c r="M165" s="266"/>
      <c r="N165" s="266"/>
    </row>
    <row r="166" spans="2:14" ht="12.75" customHeight="1" x14ac:dyDescent="0.25">
      <c r="B166" s="220" t="s">
        <v>9</v>
      </c>
      <c r="C166" s="164" t="s">
        <v>4</v>
      </c>
      <c r="D166" s="263" t="s">
        <v>186</v>
      </c>
      <c r="E166" s="264"/>
      <c r="F166" s="265"/>
      <c r="G166" s="13">
        <f>G119</f>
        <v>0.1</v>
      </c>
      <c r="H166" s="12">
        <f>TRUNC((H$163+H$164+H$165)*$G166,2)</f>
        <v>110.88</v>
      </c>
      <c r="I166" s="184"/>
      <c r="J166" s="266"/>
      <c r="K166" s="266"/>
      <c r="L166" s="266"/>
      <c r="M166" s="266"/>
      <c r="N166" s="266"/>
    </row>
    <row r="167" spans="2:14" ht="12.75" customHeight="1" x14ac:dyDescent="0.25">
      <c r="B167" s="220" t="s">
        <v>10</v>
      </c>
      <c r="C167" s="164" t="s">
        <v>124</v>
      </c>
      <c r="D167" s="263" t="s">
        <v>194</v>
      </c>
      <c r="E167" s="264"/>
      <c r="F167" s="265"/>
      <c r="G167" s="13">
        <f>G121+G122+G123</f>
        <v>0.14250000000000002</v>
      </c>
      <c r="H167" s="12">
        <f>TRUNC((H$163+H$164+H$165+H$166)/(1-$G167)-(H$163+H$164+H$165+H$166),2)</f>
        <v>202.7</v>
      </c>
      <c r="I167" s="184"/>
      <c r="J167" s="266"/>
      <c r="K167" s="266"/>
      <c r="L167" s="266"/>
      <c r="M167" s="266"/>
      <c r="N167" s="266"/>
    </row>
    <row r="168" spans="2:14" ht="22.8" x14ac:dyDescent="0.25">
      <c r="B168" s="220" t="s">
        <v>11</v>
      </c>
      <c r="C168" s="226" t="s">
        <v>125</v>
      </c>
      <c r="D168" s="267" t="s">
        <v>195</v>
      </c>
      <c r="E168" s="268"/>
      <c r="F168" s="268"/>
      <c r="G168" s="269"/>
      <c r="H168" s="227">
        <f>SUM(H163:H167)</f>
        <v>1422.47</v>
      </c>
      <c r="I168" s="185"/>
    </row>
    <row r="169" spans="2:14" x14ac:dyDescent="0.25">
      <c r="B169" s="220" t="s">
        <v>174</v>
      </c>
      <c r="C169" s="213" t="s">
        <v>145</v>
      </c>
      <c r="D169" s="256" t="s">
        <v>193</v>
      </c>
      <c r="E169" s="257"/>
      <c r="F169" s="257"/>
      <c r="G169" s="258"/>
      <c r="H169" s="83">
        <f>H162-H168</f>
        <v>3800.3233333333346</v>
      </c>
      <c r="I169" s="198"/>
    </row>
    <row r="170" spans="2:14" ht="45" customHeight="1" x14ac:dyDescent="0.25">
      <c r="B170" s="259" t="s">
        <v>144</v>
      </c>
      <c r="C170" s="259"/>
      <c r="D170" s="259"/>
      <c r="E170" s="259"/>
      <c r="F170" s="259"/>
      <c r="G170" s="259"/>
      <c r="H170" s="259"/>
      <c r="I170" s="186"/>
    </row>
  </sheetData>
  <mergeCells count="142">
    <mergeCell ref="B11:B12"/>
    <mergeCell ref="C11:H11"/>
    <mergeCell ref="C12:H12"/>
    <mergeCell ref="B13:B14"/>
    <mergeCell ref="C13:H13"/>
    <mergeCell ref="C14:H14"/>
    <mergeCell ref="B2:H2"/>
    <mergeCell ref="B3:H3"/>
    <mergeCell ref="B6:F6"/>
    <mergeCell ref="G6:H6"/>
    <mergeCell ref="B8:H8"/>
    <mergeCell ref="B9:B10"/>
    <mergeCell ref="C9:H9"/>
    <mergeCell ref="C10:H10"/>
    <mergeCell ref="L29:L30"/>
    <mergeCell ref="D30:F30"/>
    <mergeCell ref="B19:B20"/>
    <mergeCell ref="C19:H19"/>
    <mergeCell ref="C20:H20"/>
    <mergeCell ref="B23:H23"/>
    <mergeCell ref="C24:F24"/>
    <mergeCell ref="D25:F25"/>
    <mergeCell ref="B15:B16"/>
    <mergeCell ref="C15:H15"/>
    <mergeCell ref="C16:H16"/>
    <mergeCell ref="B17:B18"/>
    <mergeCell ref="C17:H17"/>
    <mergeCell ref="C18:H18"/>
    <mergeCell ref="D31:F31"/>
    <mergeCell ref="C32:F32"/>
    <mergeCell ref="C33:F34"/>
    <mergeCell ref="B37:H37"/>
    <mergeCell ref="B38:H38"/>
    <mergeCell ref="B39:H39"/>
    <mergeCell ref="D26:F26"/>
    <mergeCell ref="D27:F27"/>
    <mergeCell ref="D28:F28"/>
    <mergeCell ref="D29:F29"/>
    <mergeCell ref="B49:B50"/>
    <mergeCell ref="C49:C50"/>
    <mergeCell ref="D49:D50"/>
    <mergeCell ref="C40:F40"/>
    <mergeCell ref="D41:F41"/>
    <mergeCell ref="D42:F42"/>
    <mergeCell ref="C43:F43"/>
    <mergeCell ref="B44:H44"/>
    <mergeCell ref="B45:H45"/>
    <mergeCell ref="G49:G50"/>
    <mergeCell ref="H49:H50"/>
    <mergeCell ref="J49:J50"/>
    <mergeCell ref="D51:F51"/>
    <mergeCell ref="D52:F52"/>
    <mergeCell ref="D53:F53"/>
    <mergeCell ref="C46:F46"/>
    <mergeCell ref="D47:F47"/>
    <mergeCell ref="D48:F48"/>
    <mergeCell ref="D60:G60"/>
    <mergeCell ref="J60:N60"/>
    <mergeCell ref="D61:G61"/>
    <mergeCell ref="D62:G62"/>
    <mergeCell ref="D65:G65"/>
    <mergeCell ref="C66:G66"/>
    <mergeCell ref="D54:F54"/>
    <mergeCell ref="D55:F55"/>
    <mergeCell ref="C56:F56"/>
    <mergeCell ref="B57:H57"/>
    <mergeCell ref="B58:H58"/>
    <mergeCell ref="C59:G59"/>
    <mergeCell ref="C73:G73"/>
    <mergeCell ref="B74:H74"/>
    <mergeCell ref="B76:H76"/>
    <mergeCell ref="C77:F77"/>
    <mergeCell ref="D78:F78"/>
    <mergeCell ref="D79:F79"/>
    <mergeCell ref="B67:H67"/>
    <mergeCell ref="B68:H68"/>
    <mergeCell ref="C69:G69"/>
    <mergeCell ref="D70:G70"/>
    <mergeCell ref="D71:G71"/>
    <mergeCell ref="D72:G72"/>
    <mergeCell ref="B88:H88"/>
    <mergeCell ref="C89:F89"/>
    <mergeCell ref="D90:F90"/>
    <mergeCell ref="D91:F91"/>
    <mergeCell ref="D92:G92"/>
    <mergeCell ref="C93:G93"/>
    <mergeCell ref="D80:E80"/>
    <mergeCell ref="D81:F81"/>
    <mergeCell ref="D82:E82"/>
    <mergeCell ref="D83:E83"/>
    <mergeCell ref="C84:G84"/>
    <mergeCell ref="B87:H87"/>
    <mergeCell ref="D102:G102"/>
    <mergeCell ref="D103:G103"/>
    <mergeCell ref="C104:G104"/>
    <mergeCell ref="B107:H107"/>
    <mergeCell ref="C108:G108"/>
    <mergeCell ref="B116:H116"/>
    <mergeCell ref="B95:H95"/>
    <mergeCell ref="C96:F96"/>
    <mergeCell ref="D97:F97"/>
    <mergeCell ref="C98:G98"/>
    <mergeCell ref="B100:H100"/>
    <mergeCell ref="C101:G101"/>
    <mergeCell ref="D123:F123"/>
    <mergeCell ref="D124:G124"/>
    <mergeCell ref="B126:H126"/>
    <mergeCell ref="B128:H128"/>
    <mergeCell ref="C129:G129"/>
    <mergeCell ref="D130:G130"/>
    <mergeCell ref="C117:F117"/>
    <mergeCell ref="D118:F118"/>
    <mergeCell ref="D119:F119"/>
    <mergeCell ref="D120:F120"/>
    <mergeCell ref="D121:F121"/>
    <mergeCell ref="D122:F122"/>
    <mergeCell ref="D137:G137"/>
    <mergeCell ref="B140:C140"/>
    <mergeCell ref="B141:C141"/>
    <mergeCell ref="B142:C142"/>
    <mergeCell ref="B143:C143"/>
    <mergeCell ref="B144:C144"/>
    <mergeCell ref="D131:G131"/>
    <mergeCell ref="D132:G132"/>
    <mergeCell ref="D133:G133"/>
    <mergeCell ref="D134:G134"/>
    <mergeCell ref="D135:G135"/>
    <mergeCell ref="D136:G136"/>
    <mergeCell ref="D169:G169"/>
    <mergeCell ref="B170:H170"/>
    <mergeCell ref="D164:G164"/>
    <mergeCell ref="D165:F165"/>
    <mergeCell ref="J165:N167"/>
    <mergeCell ref="D166:F166"/>
    <mergeCell ref="D167:F167"/>
    <mergeCell ref="D168:G168"/>
    <mergeCell ref="B145:C145"/>
    <mergeCell ref="B146:C146"/>
    <mergeCell ref="B159:F159"/>
    <mergeCell ref="B161:H161"/>
    <mergeCell ref="D162:G162"/>
    <mergeCell ref="D163:G163"/>
  </mergeCells>
  <dataValidations count="11">
    <dataValidation type="list" allowBlank="1" showInputMessage="1" showErrorMessage="1" sqref="G26">
      <formula1>"0%, 30%"</formula1>
    </dataValidation>
    <dataValidation type="list" allowBlank="1" showInputMessage="1" showErrorMessage="1" sqref="G27">
      <formula1>"0%, 10%, 20%, 40%"</formula1>
    </dataValidation>
    <dataValidation type="list" allowBlank="1" showInputMessage="1" showErrorMessage="1" sqref="E50">
      <formula1>"1%, 2%, 3%"</formula1>
    </dataValidation>
    <dataValidation type="list" allowBlank="1" showInputMessage="1" showErrorMessage="1" sqref="G28:G29">
      <formula1>"0, 20%"</formula1>
    </dataValidation>
    <dataValidation type="list" allowBlank="1" showInputMessage="1" showErrorMessage="1" sqref="G122">
      <mc:AlternateContent xmlns:x12ac="http://schemas.microsoft.com/office/spreadsheetml/2011/1/ac" xmlns:mc="http://schemas.openxmlformats.org/markup-compatibility/2006">
        <mc:Choice Requires="x12ac">
          <x12ac:list>3%," 7,6%"</x12ac:list>
        </mc:Choice>
        <mc:Fallback>
          <formula1>"3%, 7,6%"</formula1>
        </mc:Fallback>
      </mc:AlternateContent>
    </dataValidation>
    <dataValidation type="list" allowBlank="1" showInputMessage="1" showErrorMessage="1" sqref="G121">
      <mc:AlternateContent xmlns:x12ac="http://schemas.microsoft.com/office/spreadsheetml/2011/1/ac" xmlns:mc="http://schemas.openxmlformats.org/markup-compatibility/2006">
        <mc:Choice Requires="x12ac">
          <x12ac:list>"0,65%","1,65%"</x12ac:list>
        </mc:Choice>
        <mc:Fallback>
          <formula1>"0,65%,1,65%"</formula1>
        </mc:Fallback>
      </mc:AlternateContent>
    </dataValidation>
    <dataValidation type="list" allowBlank="1" showInputMessage="1" showErrorMessage="1" sqref="G30">
      <formula1>"0, 50%, 100%"</formula1>
    </dataValidation>
    <dataValidation type="whole" allowBlank="1" showInputMessage="1" showErrorMessage="1" errorTitle="Valor errado" error="Quantidade fixa de dias. Prencher com 30" sqref="G90">
      <formula1>30</formula1>
      <formula2>30</formula2>
    </dataValidation>
    <dataValidation type="list" operator="equal" allowBlank="1" showInputMessage="1" showErrorMessage="1" errorTitle="Valor errado" error="Percentual fixo. Preencher com 40%." sqref="F80 F82">
      <formula1>"40%"</formula1>
    </dataValidation>
    <dataValidation type="custom" allowBlank="1" showInputMessage="1" showErrorMessage="1" sqref="G120">
      <formula1>1-(G121+G122+G123)</formula1>
    </dataValidation>
    <dataValidation type="list" allowBlank="1" showInputMessage="1" showErrorMessage="1" sqref="G83">
      <formula1>"3,6,9,12,15"</formula1>
    </dataValidation>
  </dataValidations>
  <pageMargins left="0.511811024" right="0.511811024" top="0.78740157499999996" bottom="0.78740157499999996" header="0.31496062000000002" footer="0.31496062000000002"/>
  <pageSetup paperSize="9" scale="78" orientation="portrait" verticalDpi="300" r:id="rId1"/>
  <colBreaks count="1" manualBreakCount="1">
    <brk id="8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</sheetPr>
  <dimension ref="B1:T170"/>
  <sheetViews>
    <sheetView showGridLines="0" view="pageBreakPreview" topLeftCell="A61" zoomScale="106" zoomScaleNormal="100" zoomScaleSheetLayoutView="106" workbookViewId="0">
      <selection activeCell="B65" sqref="B65"/>
    </sheetView>
  </sheetViews>
  <sheetFormatPr defaultColWidth="9.109375" defaultRowHeight="13.2" x14ac:dyDescent="0.25"/>
  <cols>
    <col min="1" max="1" width="3.5546875" style="115" customWidth="1"/>
    <col min="2" max="2" width="8.33203125" style="115" customWidth="1"/>
    <col min="3" max="3" width="39.109375" style="115" customWidth="1"/>
    <col min="4" max="4" width="29.109375" style="115" customWidth="1"/>
    <col min="5" max="6" width="8.109375" style="115" customWidth="1"/>
    <col min="7" max="7" width="9.109375" style="115" customWidth="1"/>
    <col min="8" max="9" width="15.33203125" style="115" customWidth="1"/>
    <col min="10" max="10" width="14.109375" style="116" bestFit="1" customWidth="1"/>
    <col min="11" max="11" width="10.44140625" style="116" customWidth="1"/>
    <col min="12" max="12" width="9.109375" style="116"/>
    <col min="13" max="13" width="10.109375" style="115" bestFit="1" customWidth="1"/>
    <col min="14" max="14" width="12.33203125" style="115" bestFit="1" customWidth="1"/>
    <col min="15" max="17" width="9.109375" style="115"/>
    <col min="18" max="18" width="4" style="115" customWidth="1"/>
    <col min="19" max="19" width="5.88671875" style="115" customWidth="1"/>
    <col min="20" max="16384" width="9.109375" style="115"/>
  </cols>
  <sheetData>
    <row r="1" spans="2:20" x14ac:dyDescent="0.25">
      <c r="B1" s="114"/>
      <c r="C1" s="187"/>
      <c r="D1" s="19"/>
      <c r="E1" s="19"/>
      <c r="F1" s="19"/>
      <c r="G1" s="19"/>
      <c r="H1" s="19"/>
      <c r="I1" s="19"/>
    </row>
    <row r="2" spans="2:20" x14ac:dyDescent="0.25">
      <c r="B2" s="343" t="s">
        <v>69</v>
      </c>
      <c r="C2" s="343"/>
      <c r="D2" s="343"/>
      <c r="E2" s="343"/>
      <c r="F2" s="343"/>
      <c r="G2" s="343"/>
      <c r="H2" s="343"/>
      <c r="I2" s="211"/>
      <c r="J2" s="117"/>
      <c r="K2" s="117"/>
      <c r="L2" s="117"/>
      <c r="M2" s="118"/>
      <c r="N2" s="119"/>
      <c r="O2" s="119"/>
      <c r="P2" s="119"/>
      <c r="Q2" s="119"/>
      <c r="R2" s="119"/>
    </row>
    <row r="3" spans="2:20" x14ac:dyDescent="0.25">
      <c r="B3" s="344" t="s">
        <v>211</v>
      </c>
      <c r="C3" s="344"/>
      <c r="D3" s="344"/>
      <c r="E3" s="344"/>
      <c r="F3" s="344"/>
      <c r="G3" s="344"/>
      <c r="H3" s="344"/>
      <c r="I3" s="212"/>
      <c r="J3" s="16"/>
      <c r="K3" s="16"/>
      <c r="L3" s="16"/>
      <c r="M3" s="17"/>
      <c r="N3" s="18"/>
      <c r="O3" s="18"/>
      <c r="P3" s="18"/>
      <c r="Q3" s="18"/>
      <c r="R3" s="18"/>
      <c r="S3" s="19"/>
      <c r="T3" s="19"/>
    </row>
    <row r="4" spans="2:20" x14ac:dyDescent="0.25">
      <c r="B4" s="120"/>
      <c r="C4" s="120"/>
      <c r="D4" s="120"/>
      <c r="E4" s="120"/>
      <c r="F4" s="120"/>
      <c r="G4" s="120"/>
      <c r="H4" s="120"/>
      <c r="I4" s="120"/>
      <c r="J4" s="117"/>
      <c r="K4" s="117"/>
      <c r="L4" s="117"/>
      <c r="M4" s="118"/>
      <c r="N4" s="119"/>
      <c r="O4" s="119"/>
      <c r="P4" s="119"/>
      <c r="Q4" s="119"/>
      <c r="R4" s="119"/>
    </row>
    <row r="5" spans="2:20" x14ac:dyDescent="0.25">
      <c r="B5" s="120"/>
      <c r="C5" s="120"/>
      <c r="D5" s="120"/>
      <c r="E5" s="120"/>
      <c r="F5" s="120"/>
      <c r="G5" s="120"/>
      <c r="H5" s="120"/>
      <c r="I5" s="120"/>
      <c r="J5" s="117"/>
      <c r="K5" s="117"/>
      <c r="L5" s="117"/>
      <c r="M5" s="118"/>
      <c r="N5" s="119"/>
      <c r="O5" s="119"/>
      <c r="P5" s="119"/>
      <c r="Q5" s="119"/>
      <c r="R5" s="119"/>
    </row>
    <row r="6" spans="2:20" x14ac:dyDescent="0.25">
      <c r="B6" s="345" t="s">
        <v>227</v>
      </c>
      <c r="C6" s="345"/>
      <c r="D6" s="345"/>
      <c r="E6" s="345"/>
      <c r="F6" s="345"/>
      <c r="G6" s="346" t="s">
        <v>226</v>
      </c>
      <c r="H6" s="346"/>
      <c r="I6" s="20"/>
      <c r="J6" s="117"/>
      <c r="K6" s="117"/>
      <c r="L6" s="117"/>
      <c r="M6" s="118"/>
      <c r="N6" s="119"/>
      <c r="O6" s="119"/>
      <c r="P6" s="119"/>
      <c r="Q6" s="119"/>
      <c r="R6" s="119"/>
    </row>
    <row r="7" spans="2:20" x14ac:dyDescent="0.25">
      <c r="B7" s="120"/>
      <c r="C7" s="120"/>
      <c r="D7" s="120"/>
      <c r="E7" s="120"/>
      <c r="F7" s="120"/>
      <c r="G7" s="120"/>
      <c r="H7" s="120"/>
      <c r="I7" s="19"/>
      <c r="J7" s="117"/>
      <c r="K7" s="117"/>
      <c r="L7" s="117"/>
      <c r="M7" s="118"/>
      <c r="N7" s="119"/>
      <c r="O7" s="119"/>
      <c r="P7" s="119"/>
      <c r="Q7" s="119"/>
      <c r="R7" s="119"/>
    </row>
    <row r="8" spans="2:20" x14ac:dyDescent="0.25">
      <c r="B8" s="275" t="s">
        <v>70</v>
      </c>
      <c r="C8" s="275"/>
      <c r="D8" s="275"/>
      <c r="E8" s="275"/>
      <c r="F8" s="275"/>
      <c r="G8" s="275"/>
      <c r="H8" s="275"/>
      <c r="I8" s="117"/>
      <c r="J8" s="118"/>
      <c r="K8" s="117"/>
      <c r="L8" s="117"/>
      <c r="M8" s="118"/>
      <c r="N8" s="119"/>
      <c r="O8" s="119"/>
      <c r="P8" s="119"/>
      <c r="Q8" s="119"/>
      <c r="R8" s="119"/>
    </row>
    <row r="9" spans="2:20" x14ac:dyDescent="0.25">
      <c r="B9" s="340">
        <v>1</v>
      </c>
      <c r="C9" s="341" t="s">
        <v>71</v>
      </c>
      <c r="D9" s="341"/>
      <c r="E9" s="341"/>
      <c r="F9" s="341"/>
      <c r="G9" s="341"/>
      <c r="H9" s="341"/>
      <c r="I9" s="117"/>
      <c r="J9" s="118"/>
      <c r="K9" s="117"/>
      <c r="L9" s="117"/>
      <c r="M9" s="118"/>
      <c r="N9" s="119"/>
      <c r="O9" s="119"/>
      <c r="P9" s="119"/>
      <c r="Q9" s="119"/>
      <c r="R9" s="119"/>
    </row>
    <row r="10" spans="2:20" x14ac:dyDescent="0.25">
      <c r="B10" s="340"/>
      <c r="C10" s="342"/>
      <c r="D10" s="342"/>
      <c r="E10" s="342"/>
      <c r="F10" s="342"/>
      <c r="G10" s="342"/>
      <c r="H10" s="342"/>
      <c r="I10" s="117"/>
      <c r="J10" s="118"/>
      <c r="K10" s="117"/>
      <c r="L10" s="117"/>
      <c r="M10" s="118"/>
      <c r="N10" s="119"/>
      <c r="O10" s="119"/>
      <c r="P10" s="119"/>
      <c r="Q10" s="119"/>
      <c r="R10" s="119"/>
    </row>
    <row r="11" spans="2:20" x14ac:dyDescent="0.25">
      <c r="B11" s="340">
        <v>2</v>
      </c>
      <c r="C11" s="341" t="s">
        <v>74</v>
      </c>
      <c r="D11" s="341"/>
      <c r="E11" s="341"/>
      <c r="F11" s="341"/>
      <c r="G11" s="341"/>
      <c r="H11" s="341"/>
      <c r="I11" s="117"/>
      <c r="J11" s="118"/>
      <c r="K11" s="117"/>
      <c r="L11" s="117"/>
      <c r="M11" s="118"/>
      <c r="N11" s="119"/>
      <c r="O11" s="119"/>
      <c r="P11" s="119"/>
      <c r="Q11" s="119"/>
      <c r="R11" s="119"/>
    </row>
    <row r="12" spans="2:20" x14ac:dyDescent="0.25">
      <c r="B12" s="340"/>
      <c r="C12" s="342"/>
      <c r="D12" s="342"/>
      <c r="E12" s="342"/>
      <c r="F12" s="342"/>
      <c r="G12" s="342"/>
      <c r="H12" s="342"/>
      <c r="I12" s="117"/>
      <c r="J12" s="118"/>
      <c r="K12" s="117"/>
      <c r="L12" s="117"/>
      <c r="M12" s="118"/>
      <c r="N12" s="119"/>
      <c r="O12" s="119"/>
      <c r="P12" s="119"/>
      <c r="Q12" s="119"/>
      <c r="R12" s="119"/>
    </row>
    <row r="13" spans="2:20" x14ac:dyDescent="0.25">
      <c r="B13" s="340">
        <v>3</v>
      </c>
      <c r="C13" s="341" t="s">
        <v>75</v>
      </c>
      <c r="D13" s="341"/>
      <c r="E13" s="341"/>
      <c r="F13" s="341"/>
      <c r="G13" s="341"/>
      <c r="H13" s="341"/>
      <c r="I13" s="117"/>
      <c r="J13" s="118"/>
      <c r="K13" s="117"/>
      <c r="L13" s="117"/>
      <c r="M13" s="118"/>
      <c r="N13" s="119"/>
      <c r="O13" s="119"/>
      <c r="P13" s="119"/>
      <c r="Q13" s="119"/>
      <c r="R13" s="119"/>
    </row>
    <row r="14" spans="2:20" x14ac:dyDescent="0.25">
      <c r="B14" s="340"/>
      <c r="C14" s="342"/>
      <c r="D14" s="342"/>
      <c r="E14" s="342"/>
      <c r="F14" s="342"/>
      <c r="G14" s="342"/>
      <c r="H14" s="342"/>
      <c r="I14" s="117"/>
      <c r="J14" s="118"/>
      <c r="K14" s="117"/>
      <c r="L14" s="117"/>
      <c r="M14" s="118"/>
      <c r="N14" s="119"/>
      <c r="O14" s="119"/>
      <c r="P14" s="119"/>
      <c r="Q14" s="119"/>
      <c r="R14" s="119"/>
    </row>
    <row r="15" spans="2:20" x14ac:dyDescent="0.25">
      <c r="B15" s="340">
        <v>4</v>
      </c>
      <c r="C15" s="341" t="s">
        <v>76</v>
      </c>
      <c r="D15" s="341"/>
      <c r="E15" s="341"/>
      <c r="F15" s="341"/>
      <c r="G15" s="341"/>
      <c r="H15" s="341"/>
      <c r="I15" s="117"/>
      <c r="J15" s="118"/>
      <c r="K15" s="117"/>
      <c r="L15" s="117"/>
      <c r="M15" s="118"/>
      <c r="N15" s="119"/>
      <c r="O15" s="119"/>
      <c r="P15" s="119"/>
      <c r="Q15" s="119"/>
      <c r="R15" s="119"/>
    </row>
    <row r="16" spans="2:20" x14ac:dyDescent="0.25">
      <c r="B16" s="340"/>
      <c r="C16" s="342"/>
      <c r="D16" s="342"/>
      <c r="E16" s="342"/>
      <c r="F16" s="342"/>
      <c r="G16" s="342"/>
      <c r="H16" s="342"/>
      <c r="I16" s="117"/>
      <c r="J16" s="118"/>
      <c r="K16" s="117"/>
      <c r="L16" s="117"/>
      <c r="M16" s="118"/>
      <c r="N16" s="119"/>
      <c r="O16" s="119"/>
      <c r="P16" s="119"/>
      <c r="Q16" s="119"/>
      <c r="R16" s="119"/>
    </row>
    <row r="17" spans="2:18" x14ac:dyDescent="0.25">
      <c r="B17" s="340">
        <v>5</v>
      </c>
      <c r="C17" s="341" t="s">
        <v>77</v>
      </c>
      <c r="D17" s="341"/>
      <c r="E17" s="341"/>
      <c r="F17" s="341"/>
      <c r="G17" s="341"/>
      <c r="H17" s="341"/>
      <c r="I17" s="117"/>
      <c r="J17" s="118"/>
      <c r="K17" s="117"/>
      <c r="L17" s="117"/>
      <c r="M17" s="118"/>
      <c r="N17" s="119"/>
      <c r="O17" s="119"/>
      <c r="P17" s="119"/>
      <c r="Q17" s="119"/>
      <c r="R17" s="119"/>
    </row>
    <row r="18" spans="2:18" x14ac:dyDescent="0.25">
      <c r="B18" s="340"/>
      <c r="C18" s="342"/>
      <c r="D18" s="342"/>
      <c r="E18" s="342"/>
      <c r="F18" s="342"/>
      <c r="G18" s="342"/>
      <c r="H18" s="342"/>
      <c r="I18" s="117"/>
      <c r="J18" s="118"/>
      <c r="K18" s="117"/>
      <c r="L18" s="117"/>
      <c r="M18" s="118"/>
      <c r="N18" s="119"/>
      <c r="O18" s="119"/>
      <c r="P18" s="119"/>
      <c r="Q18" s="119"/>
      <c r="R18" s="119"/>
    </row>
    <row r="19" spans="2:18" x14ac:dyDescent="0.25">
      <c r="B19" s="340">
        <v>6</v>
      </c>
      <c r="C19" s="341" t="s">
        <v>78</v>
      </c>
      <c r="D19" s="341"/>
      <c r="E19" s="341"/>
      <c r="F19" s="341"/>
      <c r="G19" s="341"/>
      <c r="H19" s="341"/>
      <c r="I19" s="117"/>
      <c r="J19" s="118"/>
      <c r="K19" s="117"/>
      <c r="L19" s="117"/>
      <c r="M19" s="118"/>
      <c r="N19" s="119"/>
      <c r="O19" s="119"/>
      <c r="P19" s="119"/>
      <c r="Q19" s="119"/>
      <c r="R19" s="119"/>
    </row>
    <row r="20" spans="2:18" x14ac:dyDescent="0.25">
      <c r="B20" s="340"/>
      <c r="C20" s="342"/>
      <c r="D20" s="342"/>
      <c r="E20" s="342"/>
      <c r="F20" s="342"/>
      <c r="G20" s="342"/>
      <c r="H20" s="342"/>
      <c r="I20" s="117"/>
      <c r="J20" s="118"/>
      <c r="K20" s="117"/>
      <c r="L20" s="117"/>
      <c r="M20" s="118"/>
      <c r="N20" s="119"/>
      <c r="O20" s="119"/>
      <c r="P20" s="119"/>
      <c r="Q20" s="119"/>
      <c r="R20" s="119"/>
    </row>
    <row r="21" spans="2:18" x14ac:dyDescent="0.25">
      <c r="B21" s="121"/>
      <c r="C21" s="121"/>
      <c r="D21" s="121"/>
      <c r="E21" s="121"/>
      <c r="F21" s="121"/>
      <c r="G21" s="122"/>
      <c r="H21" s="122"/>
      <c r="I21" s="117"/>
      <c r="J21" s="117"/>
      <c r="K21" s="117"/>
      <c r="L21" s="117"/>
      <c r="M21" s="118"/>
      <c r="N21" s="119"/>
      <c r="O21" s="119"/>
      <c r="P21" s="119"/>
      <c r="Q21" s="119"/>
      <c r="R21" s="119"/>
    </row>
    <row r="22" spans="2:18" x14ac:dyDescent="0.25">
      <c r="B22" s="123"/>
      <c r="C22" s="123"/>
      <c r="D22" s="123"/>
      <c r="E22" s="123"/>
      <c r="F22" s="123"/>
      <c r="G22" s="123"/>
      <c r="H22" s="123"/>
      <c r="J22" s="117"/>
      <c r="K22" s="117"/>
      <c r="L22" s="117"/>
      <c r="M22" s="118"/>
      <c r="N22" s="119"/>
      <c r="O22" s="119"/>
      <c r="P22" s="119"/>
      <c r="Q22" s="119"/>
      <c r="R22" s="119"/>
    </row>
    <row r="23" spans="2:18" x14ac:dyDescent="0.25">
      <c r="B23" s="292" t="s">
        <v>85</v>
      </c>
      <c r="C23" s="292"/>
      <c r="D23" s="292"/>
      <c r="E23" s="292"/>
      <c r="F23" s="292"/>
      <c r="G23" s="292"/>
      <c r="H23" s="292"/>
      <c r="I23" s="191"/>
      <c r="J23" s="117"/>
      <c r="K23" s="117"/>
      <c r="L23" s="117"/>
      <c r="M23" s="118"/>
      <c r="N23" s="119"/>
      <c r="O23" s="119"/>
      <c r="P23" s="119"/>
      <c r="Q23" s="119"/>
      <c r="R23" s="119"/>
    </row>
    <row r="24" spans="2:18" x14ac:dyDescent="0.25">
      <c r="B24" s="169">
        <v>1</v>
      </c>
      <c r="C24" s="252" t="s">
        <v>79</v>
      </c>
      <c r="D24" s="296"/>
      <c r="E24" s="296"/>
      <c r="F24" s="253"/>
      <c r="G24" s="169" t="s">
        <v>2</v>
      </c>
      <c r="H24" s="169" t="s">
        <v>68</v>
      </c>
      <c r="I24" s="191"/>
      <c r="J24" s="117"/>
      <c r="K24" s="117"/>
      <c r="L24" s="117"/>
      <c r="M24" s="118"/>
      <c r="N24" s="119"/>
      <c r="O24" s="119"/>
      <c r="P24" s="119"/>
      <c r="Q24" s="119"/>
      <c r="R24" s="119"/>
    </row>
    <row r="25" spans="2:18" ht="12.75" customHeight="1" x14ac:dyDescent="0.25">
      <c r="B25" s="21" t="s">
        <v>5</v>
      </c>
      <c r="C25" s="167" t="s">
        <v>36</v>
      </c>
      <c r="D25" s="285"/>
      <c r="E25" s="286"/>
      <c r="F25" s="287"/>
      <c r="G25" s="22"/>
      <c r="H25" s="84">
        <v>1384.64</v>
      </c>
      <c r="I25" s="178"/>
      <c r="J25" s="128"/>
      <c r="K25" s="128"/>
      <c r="L25" s="128"/>
      <c r="M25" s="129"/>
      <c r="N25" s="130"/>
      <c r="O25" s="119"/>
      <c r="P25" s="119"/>
      <c r="Q25" s="119"/>
      <c r="R25" s="119"/>
    </row>
    <row r="26" spans="2:18" x14ac:dyDescent="0.25">
      <c r="B26" s="21" t="s">
        <v>6</v>
      </c>
      <c r="C26" s="167" t="s">
        <v>43</v>
      </c>
      <c r="D26" s="285" t="s">
        <v>146</v>
      </c>
      <c r="E26" s="286"/>
      <c r="F26" s="287"/>
      <c r="G26" s="85"/>
      <c r="H26" s="23">
        <f>TRUNC(H$25*$G26,2)</f>
        <v>0</v>
      </c>
      <c r="I26" s="174"/>
      <c r="J26" s="117"/>
      <c r="K26" s="117"/>
      <c r="L26" s="117"/>
      <c r="M26" s="118"/>
      <c r="N26" s="119"/>
      <c r="O26" s="119"/>
      <c r="P26" s="119"/>
      <c r="Q26" s="119"/>
      <c r="R26" s="119"/>
    </row>
    <row r="27" spans="2:18" x14ac:dyDescent="0.25">
      <c r="B27" s="21" t="s">
        <v>7</v>
      </c>
      <c r="C27" s="168" t="s">
        <v>44</v>
      </c>
      <c r="D27" s="285" t="s">
        <v>189</v>
      </c>
      <c r="E27" s="286"/>
      <c r="F27" s="287"/>
      <c r="G27" s="85"/>
      <c r="H27" s="23">
        <f>TRUNC(H$25*$G27,2)</f>
        <v>0</v>
      </c>
      <c r="I27" s="174"/>
      <c r="J27" s="117"/>
      <c r="K27" s="117"/>
      <c r="L27" s="117"/>
      <c r="M27" s="118"/>
      <c r="N27" s="119"/>
      <c r="O27" s="119"/>
      <c r="P27" s="119"/>
      <c r="Q27" s="119"/>
      <c r="R27" s="119"/>
    </row>
    <row r="28" spans="2:18" x14ac:dyDescent="0.25">
      <c r="B28" s="21" t="s">
        <v>8</v>
      </c>
      <c r="C28" s="168" t="s">
        <v>1</v>
      </c>
      <c r="D28" s="285" t="s">
        <v>197</v>
      </c>
      <c r="E28" s="286"/>
      <c r="F28" s="287"/>
      <c r="G28" s="86"/>
      <c r="H28" s="127">
        <f>TRUNC(((H$25+H26)*$G28)/220*8*15,2)</f>
        <v>0</v>
      </c>
      <c r="I28" s="175"/>
      <c r="J28" s="117"/>
      <c r="K28" s="117"/>
      <c r="L28" s="117"/>
      <c r="M28" s="118"/>
      <c r="N28" s="119"/>
      <c r="O28" s="119"/>
      <c r="P28" s="119"/>
      <c r="Q28" s="119"/>
      <c r="R28" s="119"/>
    </row>
    <row r="29" spans="2:18" x14ac:dyDescent="0.25">
      <c r="B29" s="200" t="s">
        <v>9</v>
      </c>
      <c r="C29" s="201" t="s">
        <v>45</v>
      </c>
      <c r="D29" s="336" t="s">
        <v>197</v>
      </c>
      <c r="E29" s="337"/>
      <c r="F29" s="338"/>
      <c r="G29" s="202"/>
      <c r="H29" s="203">
        <f>TRUNC(((H$25+H26)*$G29)/220*1*15,2)</f>
        <v>0</v>
      </c>
      <c r="I29" s="204" t="s">
        <v>202</v>
      </c>
      <c r="J29" s="131"/>
      <c r="K29" s="117"/>
      <c r="L29" s="339"/>
      <c r="M29" s="132"/>
      <c r="N29" s="119"/>
      <c r="O29" s="119"/>
      <c r="P29" s="119"/>
      <c r="Q29" s="119"/>
      <c r="R29" s="119"/>
    </row>
    <row r="30" spans="2:18" x14ac:dyDescent="0.25">
      <c r="B30" s="205" t="s">
        <v>10</v>
      </c>
      <c r="C30" s="201" t="s">
        <v>126</v>
      </c>
      <c r="D30" s="336" t="s">
        <v>198</v>
      </c>
      <c r="E30" s="337"/>
      <c r="F30" s="338"/>
      <c r="G30" s="206"/>
      <c r="H30" s="203">
        <f>TRUNC($G$34*$H34*(1+G$30),2)</f>
        <v>0</v>
      </c>
      <c r="I30" s="204" t="s">
        <v>202</v>
      </c>
      <c r="J30" s="131"/>
      <c r="K30" s="117"/>
      <c r="L30" s="339"/>
      <c r="M30" s="132"/>
      <c r="N30" s="119"/>
      <c r="O30" s="119"/>
      <c r="P30" s="119"/>
      <c r="Q30" s="119"/>
      <c r="R30" s="119"/>
    </row>
    <row r="31" spans="2:18" x14ac:dyDescent="0.25">
      <c r="B31" s="220" t="s">
        <v>11</v>
      </c>
      <c r="C31" s="168" t="s">
        <v>3</v>
      </c>
      <c r="D31" s="285"/>
      <c r="E31" s="286"/>
      <c r="F31" s="287"/>
      <c r="G31" s="86"/>
      <c r="H31" s="104"/>
      <c r="I31" s="176"/>
      <c r="J31" s="117"/>
      <c r="K31" s="117"/>
      <c r="L31" s="133"/>
      <c r="M31" s="118"/>
      <c r="N31" s="119"/>
      <c r="O31" s="119"/>
      <c r="P31" s="119"/>
      <c r="Q31" s="119"/>
      <c r="R31" s="119"/>
    </row>
    <row r="32" spans="2:18" x14ac:dyDescent="0.25">
      <c r="B32" s="220" t="s">
        <v>147</v>
      </c>
      <c r="C32" s="252" t="s">
        <v>80</v>
      </c>
      <c r="D32" s="296"/>
      <c r="E32" s="296"/>
      <c r="F32" s="253"/>
      <c r="G32" s="37"/>
      <c r="H32" s="24">
        <f>SUM(H25:H31)</f>
        <v>1384.64</v>
      </c>
      <c r="I32" s="25"/>
      <c r="J32" s="117"/>
      <c r="K32" s="117"/>
      <c r="L32" s="117"/>
      <c r="M32" s="118"/>
      <c r="N32" s="119"/>
      <c r="O32" s="119"/>
      <c r="P32" s="119"/>
      <c r="Q32" s="119"/>
      <c r="R32" s="119"/>
    </row>
    <row r="33" spans="2:18" ht="22.8" x14ac:dyDescent="0.25">
      <c r="B33" s="211"/>
      <c r="C33" s="292" t="s">
        <v>138</v>
      </c>
      <c r="D33" s="292"/>
      <c r="E33" s="292"/>
      <c r="F33" s="292"/>
      <c r="G33" s="107" t="s">
        <v>127</v>
      </c>
      <c r="H33" s="106" t="s">
        <v>140</v>
      </c>
      <c r="I33" s="5"/>
      <c r="J33" s="117"/>
      <c r="K33" s="117"/>
      <c r="L33" s="117"/>
      <c r="M33" s="118"/>
      <c r="N33" s="119"/>
      <c r="O33" s="119"/>
      <c r="P33" s="119"/>
      <c r="Q33" s="119"/>
      <c r="R33" s="119"/>
    </row>
    <row r="34" spans="2:18" x14ac:dyDescent="0.25">
      <c r="B34" s="211"/>
      <c r="C34" s="292"/>
      <c r="D34" s="292"/>
      <c r="E34" s="292"/>
      <c r="F34" s="292"/>
      <c r="G34" s="105"/>
      <c r="H34" s="87">
        <f>IF(G34="",0,TRUNC((H25+H26+H27)/220,2))</f>
        <v>0</v>
      </c>
      <c r="I34" s="177"/>
      <c r="J34" s="117"/>
      <c r="K34" s="117"/>
      <c r="L34" s="117"/>
      <c r="M34" s="118"/>
      <c r="N34" s="119"/>
      <c r="O34" s="119"/>
      <c r="P34" s="119"/>
      <c r="Q34" s="119"/>
      <c r="R34" s="119"/>
    </row>
    <row r="35" spans="2:18" x14ac:dyDescent="0.25">
      <c r="B35" s="211"/>
      <c r="C35" s="211"/>
      <c r="D35" s="211"/>
      <c r="E35" s="211"/>
      <c r="F35" s="211"/>
      <c r="G35" s="211"/>
      <c r="H35" s="134"/>
      <c r="I35" s="25"/>
      <c r="J35" s="117"/>
      <c r="K35" s="117"/>
      <c r="L35" s="117"/>
      <c r="M35" s="118"/>
      <c r="N35" s="119"/>
      <c r="O35" s="119"/>
      <c r="P35" s="119"/>
      <c r="Q35" s="119"/>
      <c r="R35" s="119"/>
    </row>
    <row r="36" spans="2:18" x14ac:dyDescent="0.25">
      <c r="B36" s="211"/>
      <c r="C36" s="211"/>
      <c r="D36" s="211"/>
      <c r="E36" s="211"/>
      <c r="F36" s="211"/>
      <c r="G36" s="211"/>
      <c r="H36" s="134"/>
      <c r="I36" s="25"/>
      <c r="J36" s="117"/>
      <c r="K36" s="117"/>
      <c r="L36" s="117"/>
      <c r="M36" s="118"/>
      <c r="N36" s="119"/>
      <c r="O36" s="119"/>
      <c r="P36" s="119"/>
      <c r="Q36" s="119"/>
      <c r="R36" s="119"/>
    </row>
    <row r="37" spans="2:18" ht="12.75" customHeight="1" x14ac:dyDescent="0.25">
      <c r="B37" s="292" t="s">
        <v>86</v>
      </c>
      <c r="C37" s="292"/>
      <c r="D37" s="292"/>
      <c r="E37" s="292"/>
      <c r="F37" s="292"/>
      <c r="G37" s="292"/>
      <c r="H37" s="292"/>
      <c r="I37" s="191"/>
      <c r="J37" s="135"/>
      <c r="K37" s="117"/>
      <c r="L37" s="133"/>
      <c r="M37" s="132"/>
      <c r="N37" s="119"/>
      <c r="O37" s="119"/>
      <c r="P37" s="119"/>
      <c r="Q37" s="119"/>
      <c r="R37" s="119"/>
    </row>
    <row r="38" spans="2:18" x14ac:dyDescent="0.25">
      <c r="B38" s="332"/>
      <c r="C38" s="333"/>
      <c r="D38" s="333"/>
      <c r="E38" s="333"/>
      <c r="F38" s="333"/>
      <c r="G38" s="333"/>
      <c r="H38" s="334"/>
      <c r="I38" s="191"/>
      <c r="J38" s="135"/>
      <c r="K38" s="117"/>
      <c r="L38" s="133"/>
      <c r="M38" s="132"/>
      <c r="N38" s="119"/>
      <c r="O38" s="119"/>
      <c r="P38" s="119"/>
      <c r="Q38" s="119"/>
      <c r="R38" s="119"/>
    </row>
    <row r="39" spans="2:18" x14ac:dyDescent="0.25">
      <c r="B39" s="335" t="s">
        <v>55</v>
      </c>
      <c r="C39" s="335"/>
      <c r="D39" s="335"/>
      <c r="E39" s="335"/>
      <c r="F39" s="335"/>
      <c r="G39" s="335"/>
      <c r="H39" s="335"/>
      <c r="I39" s="191"/>
      <c r="J39" s="135"/>
      <c r="K39" s="117"/>
      <c r="L39" s="133"/>
      <c r="M39" s="132"/>
      <c r="N39" s="119"/>
      <c r="O39" s="119"/>
      <c r="P39" s="119"/>
      <c r="Q39" s="119"/>
      <c r="R39" s="119"/>
    </row>
    <row r="40" spans="2:18" x14ac:dyDescent="0.25">
      <c r="B40" s="169" t="s">
        <v>57</v>
      </c>
      <c r="C40" s="252" t="s">
        <v>46</v>
      </c>
      <c r="D40" s="296"/>
      <c r="E40" s="296"/>
      <c r="F40" s="253"/>
      <c r="G40" s="169" t="s">
        <v>2</v>
      </c>
      <c r="H40" s="169" t="s">
        <v>68</v>
      </c>
      <c r="I40" s="191"/>
      <c r="J40" s="138"/>
      <c r="K40" s="117"/>
      <c r="L40" s="117"/>
      <c r="M40" s="118"/>
      <c r="N40" s="119"/>
      <c r="O40" s="119"/>
      <c r="P40" s="119"/>
      <c r="Q40" s="119"/>
      <c r="R40" s="119"/>
    </row>
    <row r="41" spans="2:18" x14ac:dyDescent="0.25">
      <c r="B41" s="220" t="s">
        <v>5</v>
      </c>
      <c r="C41" s="167" t="s">
        <v>129</v>
      </c>
      <c r="D41" s="285" t="s">
        <v>148</v>
      </c>
      <c r="E41" s="286"/>
      <c r="F41" s="287"/>
      <c r="G41" s="27">
        <f>1/12</f>
        <v>8.3333333333333329E-2</v>
      </c>
      <c r="H41" s="28">
        <f>TRUNC((H$32*$G41),2)</f>
        <v>115.38</v>
      </c>
      <c r="I41" s="178"/>
      <c r="J41" s="135"/>
      <c r="K41" s="117"/>
      <c r="L41" s="117"/>
      <c r="M41" s="132"/>
      <c r="N41" s="119"/>
      <c r="O41" s="119"/>
      <c r="P41" s="119"/>
      <c r="Q41" s="119"/>
      <c r="R41" s="119"/>
    </row>
    <row r="42" spans="2:18" x14ac:dyDescent="0.25">
      <c r="B42" s="220" t="s">
        <v>6</v>
      </c>
      <c r="C42" s="167" t="s">
        <v>84</v>
      </c>
      <c r="D42" s="285" t="s">
        <v>150</v>
      </c>
      <c r="E42" s="286"/>
      <c r="F42" s="287"/>
      <c r="G42" s="27">
        <f>(1/12)+(1/3/12)</f>
        <v>0.1111111111111111</v>
      </c>
      <c r="H42" s="28">
        <f>TRUNC((H$32*$G42),2)</f>
        <v>153.84</v>
      </c>
      <c r="I42" s="178"/>
      <c r="J42" s="135"/>
      <c r="K42" s="117"/>
      <c r="L42" s="117"/>
      <c r="M42" s="132"/>
      <c r="N42" s="119"/>
      <c r="O42" s="119"/>
      <c r="P42" s="119"/>
      <c r="Q42" s="119"/>
      <c r="R42" s="119"/>
    </row>
    <row r="43" spans="2:18" x14ac:dyDescent="0.25">
      <c r="B43" s="220" t="s">
        <v>149</v>
      </c>
      <c r="C43" s="252" t="s">
        <v>80</v>
      </c>
      <c r="D43" s="296"/>
      <c r="E43" s="296"/>
      <c r="F43" s="253"/>
      <c r="G43" s="29">
        <f>TRUNC(SUM(G41:G42),4)</f>
        <v>0.19439999999999999</v>
      </c>
      <c r="H43" s="24">
        <f>SUM(H41:H42)</f>
        <v>269.22000000000003</v>
      </c>
      <c r="I43" s="25"/>
      <c r="J43" s="135"/>
      <c r="K43" s="117"/>
      <c r="L43" s="117"/>
      <c r="M43" s="132"/>
      <c r="N43" s="119"/>
      <c r="O43" s="119"/>
      <c r="P43" s="119"/>
      <c r="Q43" s="119"/>
      <c r="R43" s="119"/>
    </row>
    <row r="44" spans="2:18" x14ac:dyDescent="0.25">
      <c r="B44" s="312"/>
      <c r="C44" s="311"/>
      <c r="D44" s="311"/>
      <c r="E44" s="311"/>
      <c r="F44" s="311"/>
      <c r="G44" s="311"/>
      <c r="H44" s="313"/>
      <c r="I44" s="211"/>
      <c r="J44" s="135"/>
      <c r="K44" s="117"/>
      <c r="L44" s="117"/>
      <c r="M44" s="132"/>
      <c r="N44" s="119"/>
      <c r="O44" s="119"/>
      <c r="P44" s="119"/>
      <c r="Q44" s="119"/>
      <c r="R44" s="119"/>
    </row>
    <row r="45" spans="2:18" ht="30" customHeight="1" x14ac:dyDescent="0.25">
      <c r="B45" s="318" t="s">
        <v>87</v>
      </c>
      <c r="C45" s="319"/>
      <c r="D45" s="319"/>
      <c r="E45" s="319"/>
      <c r="F45" s="319"/>
      <c r="G45" s="319"/>
      <c r="H45" s="320"/>
      <c r="I45" s="179"/>
      <c r="J45" s="136"/>
      <c r="K45" s="137"/>
      <c r="L45" s="117"/>
      <c r="M45" s="118"/>
      <c r="N45" s="119"/>
      <c r="O45" s="119"/>
      <c r="P45" s="119"/>
      <c r="Q45" s="119"/>
      <c r="R45" s="119"/>
    </row>
    <row r="46" spans="2:18" x14ac:dyDescent="0.25">
      <c r="B46" s="169" t="s">
        <v>58</v>
      </c>
      <c r="C46" s="252" t="s">
        <v>88</v>
      </c>
      <c r="D46" s="296"/>
      <c r="E46" s="296"/>
      <c r="F46" s="253"/>
      <c r="G46" s="169" t="s">
        <v>2</v>
      </c>
      <c r="H46" s="169" t="s">
        <v>68</v>
      </c>
      <c r="I46" s="191"/>
      <c r="J46" s="135"/>
      <c r="K46" s="117"/>
      <c r="L46" s="117"/>
      <c r="M46" s="132"/>
      <c r="N46" s="119"/>
      <c r="O46" s="119"/>
      <c r="P46" s="119"/>
      <c r="Q46" s="119"/>
      <c r="R46" s="119"/>
    </row>
    <row r="47" spans="2:18" x14ac:dyDescent="0.25">
      <c r="B47" s="220" t="s">
        <v>5</v>
      </c>
      <c r="C47" s="167" t="s">
        <v>49</v>
      </c>
      <c r="D47" s="285" t="s">
        <v>151</v>
      </c>
      <c r="E47" s="286"/>
      <c r="F47" s="287"/>
      <c r="G47" s="27">
        <v>0.2</v>
      </c>
      <c r="H47" s="28">
        <f>TRUNC((H$32+H$43)*$G47,2)</f>
        <v>330.77</v>
      </c>
      <c r="I47" s="178"/>
      <c r="J47" s="135"/>
      <c r="K47" s="117"/>
      <c r="L47" s="117"/>
      <c r="M47" s="118"/>
      <c r="N47" s="119"/>
      <c r="O47" s="119"/>
      <c r="P47" s="119"/>
      <c r="Q47" s="119"/>
      <c r="R47" s="119"/>
    </row>
    <row r="48" spans="2:18" x14ac:dyDescent="0.25">
      <c r="B48" s="220" t="s">
        <v>6</v>
      </c>
      <c r="C48" s="158" t="s">
        <v>50</v>
      </c>
      <c r="D48" s="285" t="s">
        <v>152</v>
      </c>
      <c r="E48" s="286"/>
      <c r="F48" s="287"/>
      <c r="G48" s="27">
        <v>2.5000000000000001E-2</v>
      </c>
      <c r="H48" s="28">
        <f>TRUNC((H$32+H$43)*$G48,2)</f>
        <v>41.34</v>
      </c>
      <c r="I48" s="178"/>
      <c r="J48" s="135"/>
      <c r="K48" s="117"/>
      <c r="L48" s="117"/>
      <c r="M48" s="118"/>
      <c r="N48" s="119"/>
      <c r="O48" s="119"/>
      <c r="P48" s="119"/>
      <c r="Q48" s="119"/>
      <c r="R48" s="119"/>
    </row>
    <row r="49" spans="2:18" x14ac:dyDescent="0.25">
      <c r="B49" s="323" t="s">
        <v>7</v>
      </c>
      <c r="C49" s="325" t="s">
        <v>120</v>
      </c>
      <c r="D49" s="327" t="s">
        <v>158</v>
      </c>
      <c r="E49" s="11" t="s">
        <v>121</v>
      </c>
      <c r="F49" s="11" t="s">
        <v>119</v>
      </c>
      <c r="G49" s="328">
        <f>E50*F50</f>
        <v>0.03</v>
      </c>
      <c r="H49" s="330">
        <f>TRUNC((H$32+H$43)*$G49,2)</f>
        <v>49.61</v>
      </c>
      <c r="I49" s="181"/>
      <c r="J49" s="321"/>
      <c r="K49" s="117"/>
      <c r="L49" s="117"/>
      <c r="M49" s="118"/>
      <c r="N49" s="119"/>
      <c r="O49" s="119"/>
      <c r="P49" s="119"/>
      <c r="Q49" s="119"/>
      <c r="R49" s="119"/>
    </row>
    <row r="50" spans="2:18" x14ac:dyDescent="0.25">
      <c r="B50" s="324"/>
      <c r="C50" s="326"/>
      <c r="D50" s="327"/>
      <c r="E50" s="88">
        <v>0.03</v>
      </c>
      <c r="F50" s="89">
        <v>1</v>
      </c>
      <c r="G50" s="329"/>
      <c r="H50" s="331"/>
      <c r="I50" s="181"/>
      <c r="J50" s="321"/>
      <c r="K50" s="117"/>
      <c r="L50" s="117"/>
      <c r="M50" s="118"/>
      <c r="N50" s="119"/>
      <c r="O50" s="119"/>
      <c r="P50" s="119"/>
      <c r="Q50" s="119"/>
      <c r="R50" s="119"/>
    </row>
    <row r="51" spans="2:18" x14ac:dyDescent="0.25">
      <c r="B51" s="220" t="s">
        <v>8</v>
      </c>
      <c r="C51" s="167" t="s">
        <v>48</v>
      </c>
      <c r="D51" s="285" t="s">
        <v>153</v>
      </c>
      <c r="E51" s="286"/>
      <c r="F51" s="287"/>
      <c r="G51" s="27">
        <v>1.4999999999999999E-2</v>
      </c>
      <c r="H51" s="28">
        <f>TRUNC((H$32+H$43)*$G51,2)</f>
        <v>24.8</v>
      </c>
      <c r="I51" s="178"/>
      <c r="J51" s="135"/>
      <c r="K51" s="117"/>
      <c r="L51" s="117"/>
      <c r="M51" s="118"/>
      <c r="N51" s="119"/>
      <c r="O51" s="119"/>
      <c r="P51" s="119"/>
      <c r="Q51" s="119"/>
      <c r="R51" s="119"/>
    </row>
    <row r="52" spans="2:18" x14ac:dyDescent="0.25">
      <c r="B52" s="220" t="s">
        <v>9</v>
      </c>
      <c r="C52" s="167" t="s">
        <v>51</v>
      </c>
      <c r="D52" s="285" t="s">
        <v>154</v>
      </c>
      <c r="E52" s="286"/>
      <c r="F52" s="287"/>
      <c r="G52" s="27">
        <v>0.01</v>
      </c>
      <c r="H52" s="28">
        <f>TRUNC((H$32+H$43)*$G52,2)</f>
        <v>16.53</v>
      </c>
      <c r="I52" s="178"/>
      <c r="J52" s="135"/>
      <c r="K52" s="117"/>
      <c r="L52" s="117"/>
      <c r="M52" s="118"/>
      <c r="N52" s="119"/>
      <c r="O52" s="119"/>
      <c r="P52" s="119"/>
      <c r="Q52" s="119"/>
      <c r="R52" s="119"/>
    </row>
    <row r="53" spans="2:18" x14ac:dyDescent="0.25">
      <c r="B53" s="220" t="s">
        <v>10</v>
      </c>
      <c r="C53" s="167" t="s">
        <v>52</v>
      </c>
      <c r="D53" s="285" t="s">
        <v>155</v>
      </c>
      <c r="E53" s="286"/>
      <c r="F53" s="287"/>
      <c r="G53" s="27">
        <v>6.0000000000000001E-3</v>
      </c>
      <c r="H53" s="28">
        <f>TRUNC((H$32+H$43)*$G53,2)</f>
        <v>9.92</v>
      </c>
      <c r="I53" s="178"/>
      <c r="J53" s="135"/>
      <c r="K53" s="117"/>
      <c r="L53" s="117"/>
      <c r="M53" s="118"/>
      <c r="N53" s="119"/>
      <c r="O53" s="119"/>
      <c r="P53" s="119"/>
      <c r="Q53" s="119"/>
      <c r="R53" s="119"/>
    </row>
    <row r="54" spans="2:18" x14ac:dyDescent="0.25">
      <c r="B54" s="220" t="s">
        <v>11</v>
      </c>
      <c r="C54" s="167" t="s">
        <v>53</v>
      </c>
      <c r="D54" s="285" t="s">
        <v>156</v>
      </c>
      <c r="E54" s="286"/>
      <c r="F54" s="287"/>
      <c r="G54" s="27">
        <v>2E-3</v>
      </c>
      <c r="H54" s="28">
        <f>TRUNC((H$32+H$43)*$G54,2)</f>
        <v>3.3</v>
      </c>
      <c r="I54" s="178"/>
      <c r="J54" s="135"/>
      <c r="K54" s="117"/>
      <c r="L54" s="117"/>
      <c r="M54" s="118"/>
      <c r="N54" s="119"/>
      <c r="O54" s="119"/>
      <c r="P54" s="119"/>
      <c r="Q54" s="119"/>
      <c r="R54" s="119"/>
    </row>
    <row r="55" spans="2:18" x14ac:dyDescent="0.25">
      <c r="B55" s="220" t="s">
        <v>12</v>
      </c>
      <c r="C55" s="167" t="s">
        <v>54</v>
      </c>
      <c r="D55" s="285" t="s">
        <v>157</v>
      </c>
      <c r="E55" s="286"/>
      <c r="F55" s="287"/>
      <c r="G55" s="27">
        <v>0.08</v>
      </c>
      <c r="H55" s="28">
        <f>TRUNC((H$32+H$43)*$G55,2)</f>
        <v>132.30000000000001</v>
      </c>
      <c r="I55" s="178"/>
      <c r="J55" s="135"/>
      <c r="K55" s="117"/>
      <c r="L55" s="117"/>
      <c r="M55" s="118"/>
      <c r="N55" s="119"/>
      <c r="O55" s="119"/>
      <c r="P55" s="119"/>
      <c r="Q55" s="119"/>
      <c r="R55" s="119"/>
    </row>
    <row r="56" spans="2:18" x14ac:dyDescent="0.25">
      <c r="B56" s="220" t="s">
        <v>159</v>
      </c>
      <c r="C56" s="252" t="s">
        <v>80</v>
      </c>
      <c r="D56" s="296"/>
      <c r="E56" s="296"/>
      <c r="F56" s="253"/>
      <c r="G56" s="30">
        <f>SUM(G47:G55)</f>
        <v>0.36800000000000005</v>
      </c>
      <c r="H56" s="31">
        <f>SUM(H47:H55)</f>
        <v>608.57000000000016</v>
      </c>
      <c r="I56" s="25"/>
      <c r="J56" s="138"/>
      <c r="K56" s="117"/>
      <c r="L56" s="117"/>
      <c r="M56" s="118"/>
      <c r="N56" s="119"/>
      <c r="O56" s="119"/>
      <c r="P56" s="119"/>
      <c r="Q56" s="119"/>
      <c r="R56" s="119"/>
    </row>
    <row r="57" spans="2:18" x14ac:dyDescent="0.25">
      <c r="B57" s="315"/>
      <c r="C57" s="316"/>
      <c r="D57" s="316"/>
      <c r="E57" s="316"/>
      <c r="F57" s="316"/>
      <c r="G57" s="316"/>
      <c r="H57" s="317"/>
      <c r="I57" s="210"/>
      <c r="J57" s="138"/>
      <c r="K57" s="117"/>
      <c r="L57" s="117"/>
      <c r="M57" s="118"/>
      <c r="N57" s="139"/>
      <c r="O57" s="119"/>
      <c r="P57" s="119"/>
      <c r="Q57" s="119"/>
      <c r="R57" s="119"/>
    </row>
    <row r="58" spans="2:18" ht="12.75" customHeight="1" x14ac:dyDescent="0.25">
      <c r="B58" s="318" t="s">
        <v>56</v>
      </c>
      <c r="C58" s="319"/>
      <c r="D58" s="319"/>
      <c r="E58" s="319"/>
      <c r="F58" s="319"/>
      <c r="G58" s="319"/>
      <c r="H58" s="320"/>
      <c r="I58" s="210"/>
      <c r="J58" s="135"/>
      <c r="K58" s="117"/>
      <c r="L58" s="117"/>
      <c r="M58" s="118"/>
      <c r="N58" s="119"/>
      <c r="O58" s="119"/>
      <c r="P58" s="119"/>
      <c r="Q58" s="119"/>
      <c r="R58" s="119"/>
    </row>
    <row r="59" spans="2:18" x14ac:dyDescent="0.25">
      <c r="B59" s="169" t="s">
        <v>59</v>
      </c>
      <c r="C59" s="252" t="s">
        <v>60</v>
      </c>
      <c r="D59" s="296"/>
      <c r="E59" s="296"/>
      <c r="F59" s="296"/>
      <c r="G59" s="253"/>
      <c r="H59" s="169" t="s">
        <v>68</v>
      </c>
      <c r="I59" s="191"/>
      <c r="J59" s="136"/>
      <c r="K59" s="117"/>
      <c r="L59" s="117"/>
      <c r="M59" s="118"/>
      <c r="N59" s="119"/>
      <c r="O59" s="119"/>
      <c r="P59" s="119"/>
      <c r="Q59" s="119"/>
      <c r="R59" s="119"/>
    </row>
    <row r="60" spans="2:18" ht="12.75" customHeight="1" x14ac:dyDescent="0.25">
      <c r="B60" s="220" t="s">
        <v>5</v>
      </c>
      <c r="C60" s="167" t="s">
        <v>66</v>
      </c>
      <c r="D60" s="285" t="s">
        <v>162</v>
      </c>
      <c r="E60" s="286"/>
      <c r="F60" s="286"/>
      <c r="G60" s="287"/>
      <c r="H60" s="90">
        <f>TRUNC((4.83*2*22)-(H$25*6%),2)</f>
        <v>129.44</v>
      </c>
      <c r="I60" s="194"/>
      <c r="J60" s="322"/>
      <c r="K60" s="322"/>
      <c r="L60" s="322"/>
      <c r="M60" s="322"/>
      <c r="N60" s="322"/>
      <c r="O60" s="119"/>
      <c r="P60" s="119"/>
      <c r="Q60" s="119"/>
      <c r="R60" s="119"/>
    </row>
    <row r="61" spans="2:18" ht="12.75" customHeight="1" x14ac:dyDescent="0.25">
      <c r="B61" s="220" t="s">
        <v>6</v>
      </c>
      <c r="C61" s="167" t="s">
        <v>67</v>
      </c>
      <c r="D61" s="285" t="s">
        <v>163</v>
      </c>
      <c r="E61" s="286"/>
      <c r="F61" s="286"/>
      <c r="G61" s="287"/>
      <c r="H61" s="90">
        <f>17.77*22</f>
        <v>390.94</v>
      </c>
      <c r="I61" s="194"/>
      <c r="J61" s="135"/>
      <c r="K61" s="135"/>
      <c r="L61" s="135"/>
      <c r="M61" s="135"/>
      <c r="N61" s="135"/>
      <c r="O61" s="119"/>
      <c r="P61" s="119"/>
      <c r="Q61" s="119"/>
      <c r="R61" s="119"/>
    </row>
    <row r="62" spans="2:18" x14ac:dyDescent="0.25">
      <c r="B62" s="220" t="s">
        <v>7</v>
      </c>
      <c r="C62" s="167" t="s">
        <v>222</v>
      </c>
      <c r="D62" s="285"/>
      <c r="E62" s="286"/>
      <c r="F62" s="286"/>
      <c r="G62" s="287"/>
      <c r="H62" s="90">
        <v>123.82</v>
      </c>
      <c r="I62" s="194"/>
      <c r="J62" s="135"/>
      <c r="K62" s="117"/>
      <c r="L62" s="117"/>
      <c r="M62" s="118"/>
      <c r="N62" s="119"/>
      <c r="O62" s="119"/>
      <c r="P62" s="119"/>
      <c r="Q62" s="119"/>
      <c r="R62" s="119"/>
    </row>
    <row r="63" spans="2:18" x14ac:dyDescent="0.25">
      <c r="B63" s="220" t="s">
        <v>8</v>
      </c>
      <c r="C63" s="235" t="s">
        <v>225</v>
      </c>
      <c r="D63" s="216"/>
      <c r="E63" s="217"/>
      <c r="F63" s="217"/>
      <c r="G63" s="218"/>
      <c r="H63" s="90">
        <f>(35.54/12)</f>
        <v>2.9616666666666664</v>
      </c>
      <c r="I63" s="194"/>
      <c r="J63" s="135"/>
      <c r="K63" s="117"/>
      <c r="L63" s="117"/>
      <c r="M63" s="118"/>
      <c r="N63" s="119"/>
      <c r="O63" s="119"/>
      <c r="P63" s="119"/>
      <c r="Q63" s="119"/>
      <c r="R63" s="119"/>
    </row>
    <row r="64" spans="2:18" x14ac:dyDescent="0.25">
      <c r="B64" s="220" t="s">
        <v>9</v>
      </c>
      <c r="C64" s="167" t="s">
        <v>224</v>
      </c>
      <c r="D64" s="216"/>
      <c r="E64" s="217"/>
      <c r="F64" s="217"/>
      <c r="G64" s="218"/>
      <c r="H64" s="90">
        <v>13.67</v>
      </c>
      <c r="I64" s="194"/>
      <c r="J64" s="135"/>
      <c r="K64" s="117"/>
      <c r="L64" s="117"/>
      <c r="M64" s="118"/>
      <c r="N64" s="119"/>
      <c r="O64" s="119"/>
      <c r="P64" s="119"/>
      <c r="Q64" s="119"/>
      <c r="R64" s="119"/>
    </row>
    <row r="65" spans="2:18" s="140" customFormat="1" x14ac:dyDescent="0.25">
      <c r="B65" s="220" t="s">
        <v>10</v>
      </c>
      <c r="C65" s="167" t="s">
        <v>223</v>
      </c>
      <c r="D65" s="285"/>
      <c r="E65" s="286"/>
      <c r="F65" s="286"/>
      <c r="G65" s="287"/>
      <c r="H65" s="90">
        <v>29.96</v>
      </c>
      <c r="I65" s="194"/>
      <c r="J65" s="135"/>
      <c r="K65" s="117"/>
      <c r="L65" s="117"/>
      <c r="M65" s="118"/>
      <c r="N65" s="119"/>
      <c r="O65" s="119"/>
      <c r="P65" s="119"/>
      <c r="Q65" s="119"/>
      <c r="R65" s="119"/>
    </row>
    <row r="66" spans="2:18" x14ac:dyDescent="0.25">
      <c r="B66" s="220" t="s">
        <v>160</v>
      </c>
      <c r="C66" s="252" t="s">
        <v>80</v>
      </c>
      <c r="D66" s="296"/>
      <c r="E66" s="296"/>
      <c r="F66" s="296"/>
      <c r="G66" s="253"/>
      <c r="H66" s="31">
        <f>SUM(H60:H65)</f>
        <v>690.79166666666674</v>
      </c>
      <c r="I66" s="25"/>
      <c r="K66" s="117"/>
      <c r="L66" s="117"/>
      <c r="M66" s="118"/>
      <c r="N66" s="119"/>
      <c r="O66" s="119"/>
      <c r="P66" s="119"/>
      <c r="Q66" s="119"/>
      <c r="R66" s="119"/>
    </row>
    <row r="67" spans="2:18" x14ac:dyDescent="0.25">
      <c r="B67" s="312"/>
      <c r="C67" s="311"/>
      <c r="D67" s="311"/>
      <c r="E67" s="311"/>
      <c r="F67" s="311"/>
      <c r="G67" s="311"/>
      <c r="H67" s="313"/>
      <c r="I67" s="211"/>
      <c r="J67" s="135"/>
      <c r="K67" s="117"/>
      <c r="L67" s="117"/>
      <c r="M67" s="118"/>
      <c r="N67" s="119"/>
      <c r="O67" s="119"/>
      <c r="P67" s="119"/>
      <c r="Q67" s="119"/>
      <c r="R67" s="119"/>
    </row>
    <row r="68" spans="2:18" x14ac:dyDescent="0.25">
      <c r="B68" s="314" t="s">
        <v>90</v>
      </c>
      <c r="C68" s="314"/>
      <c r="D68" s="314"/>
      <c r="E68" s="314"/>
      <c r="F68" s="314"/>
      <c r="G68" s="314"/>
      <c r="H68" s="314"/>
      <c r="I68" s="211"/>
      <c r="J68" s="135"/>
      <c r="K68" s="117"/>
      <c r="L68" s="117"/>
      <c r="M68" s="118"/>
      <c r="N68" s="119"/>
      <c r="O68" s="119"/>
      <c r="P68" s="119"/>
      <c r="Q68" s="119"/>
      <c r="R68" s="119"/>
    </row>
    <row r="69" spans="2:18" x14ac:dyDescent="0.25">
      <c r="B69" s="169">
        <v>2</v>
      </c>
      <c r="C69" s="252" t="s">
        <v>89</v>
      </c>
      <c r="D69" s="296"/>
      <c r="E69" s="296"/>
      <c r="F69" s="296"/>
      <c r="G69" s="253"/>
      <c r="H69" s="169" t="s">
        <v>68</v>
      </c>
      <c r="I69" s="191"/>
      <c r="J69" s="135"/>
      <c r="K69" s="117"/>
      <c r="L69" s="117"/>
      <c r="M69" s="118"/>
      <c r="N69" s="119"/>
      <c r="O69" s="119"/>
      <c r="P69" s="119"/>
      <c r="Q69" s="119"/>
      <c r="R69" s="119"/>
    </row>
    <row r="70" spans="2:18" x14ac:dyDescent="0.25">
      <c r="B70" s="220" t="s">
        <v>57</v>
      </c>
      <c r="C70" s="161" t="s">
        <v>46</v>
      </c>
      <c r="D70" s="285" t="s">
        <v>149</v>
      </c>
      <c r="E70" s="286"/>
      <c r="F70" s="286"/>
      <c r="G70" s="287"/>
      <c r="H70" s="28">
        <f>H43</f>
        <v>269.22000000000003</v>
      </c>
      <c r="I70" s="178"/>
      <c r="J70" s="135"/>
      <c r="K70" s="117"/>
      <c r="L70" s="117"/>
      <c r="M70" s="118"/>
      <c r="N70" s="119"/>
      <c r="O70" s="119"/>
      <c r="P70" s="119"/>
      <c r="Q70" s="119"/>
      <c r="R70" s="119"/>
    </row>
    <row r="71" spans="2:18" x14ac:dyDescent="0.25">
      <c r="B71" s="220" t="s">
        <v>58</v>
      </c>
      <c r="C71" s="161" t="s">
        <v>47</v>
      </c>
      <c r="D71" s="285" t="s">
        <v>159</v>
      </c>
      <c r="E71" s="286"/>
      <c r="F71" s="286"/>
      <c r="G71" s="287"/>
      <c r="H71" s="28">
        <f>H56</f>
        <v>608.57000000000016</v>
      </c>
      <c r="I71" s="178"/>
      <c r="J71" s="135"/>
      <c r="K71" s="117"/>
      <c r="L71" s="117"/>
      <c r="M71" s="118"/>
      <c r="N71" s="119"/>
      <c r="O71" s="119"/>
      <c r="P71" s="119"/>
      <c r="Q71" s="119"/>
      <c r="R71" s="119"/>
    </row>
    <row r="72" spans="2:18" x14ac:dyDescent="0.25">
      <c r="B72" s="220" t="s">
        <v>59</v>
      </c>
      <c r="C72" s="161" t="s">
        <v>60</v>
      </c>
      <c r="D72" s="285" t="s">
        <v>160</v>
      </c>
      <c r="E72" s="286"/>
      <c r="F72" s="286"/>
      <c r="G72" s="287"/>
      <c r="H72" s="28">
        <f>H66</f>
        <v>690.79166666666674</v>
      </c>
      <c r="I72" s="178"/>
      <c r="J72" s="135"/>
      <c r="K72" s="117"/>
      <c r="L72" s="117"/>
      <c r="M72" s="118"/>
      <c r="N72" s="119"/>
      <c r="O72" s="119"/>
      <c r="P72" s="119"/>
      <c r="Q72" s="119"/>
      <c r="R72" s="119"/>
    </row>
    <row r="73" spans="2:18" x14ac:dyDescent="0.25">
      <c r="B73" s="220" t="s">
        <v>161</v>
      </c>
      <c r="C73" s="252" t="s">
        <v>80</v>
      </c>
      <c r="D73" s="296"/>
      <c r="E73" s="296"/>
      <c r="F73" s="296"/>
      <c r="G73" s="253"/>
      <c r="H73" s="24">
        <f>SUM(H70:H72)</f>
        <v>1568.5816666666669</v>
      </c>
      <c r="I73" s="25"/>
      <c r="J73" s="135"/>
      <c r="K73" s="117"/>
      <c r="L73" s="117"/>
      <c r="M73" s="118"/>
      <c r="N73" s="119"/>
      <c r="O73" s="119"/>
      <c r="P73" s="119"/>
      <c r="Q73" s="119"/>
      <c r="R73" s="119"/>
    </row>
    <row r="74" spans="2:18" x14ac:dyDescent="0.25">
      <c r="B74" s="311"/>
      <c r="C74" s="311"/>
      <c r="D74" s="311"/>
      <c r="E74" s="311"/>
      <c r="F74" s="311"/>
      <c r="G74" s="311"/>
      <c r="H74" s="311"/>
      <c r="I74" s="191"/>
      <c r="J74" s="135"/>
      <c r="K74" s="117"/>
      <c r="L74" s="117"/>
      <c r="M74" s="118"/>
      <c r="N74" s="119"/>
      <c r="O74" s="119"/>
      <c r="P74" s="119"/>
      <c r="Q74" s="119"/>
      <c r="R74" s="119"/>
    </row>
    <row r="75" spans="2:18" x14ac:dyDescent="0.25">
      <c r="B75" s="211"/>
      <c r="C75" s="211"/>
      <c r="D75" s="211"/>
      <c r="E75" s="211"/>
      <c r="F75" s="211"/>
      <c r="G75" s="211"/>
      <c r="H75" s="211"/>
      <c r="I75" s="191"/>
      <c r="J75" s="135"/>
      <c r="K75" s="117"/>
      <c r="L75" s="117"/>
      <c r="M75" s="118"/>
      <c r="N75" s="119"/>
      <c r="O75" s="119"/>
      <c r="P75" s="119"/>
      <c r="Q75" s="119"/>
      <c r="R75" s="119"/>
    </row>
    <row r="76" spans="2:18" x14ac:dyDescent="0.25">
      <c r="B76" s="292" t="s">
        <v>91</v>
      </c>
      <c r="C76" s="292"/>
      <c r="D76" s="292"/>
      <c r="E76" s="292"/>
      <c r="F76" s="292"/>
      <c r="G76" s="292"/>
      <c r="H76" s="292"/>
      <c r="I76" s="191"/>
      <c r="J76" s="135"/>
      <c r="K76" s="117"/>
      <c r="L76" s="117"/>
      <c r="M76" s="118"/>
      <c r="N76" s="119"/>
      <c r="O76" s="119"/>
      <c r="P76" s="119"/>
      <c r="Q76" s="119"/>
      <c r="R76" s="119"/>
    </row>
    <row r="77" spans="2:18" x14ac:dyDescent="0.25">
      <c r="B77" s="169">
        <v>3</v>
      </c>
      <c r="C77" s="252" t="s">
        <v>81</v>
      </c>
      <c r="D77" s="296"/>
      <c r="E77" s="296"/>
      <c r="F77" s="253"/>
      <c r="G77" s="169" t="s">
        <v>2</v>
      </c>
      <c r="H77" s="169" t="s">
        <v>68</v>
      </c>
      <c r="I77" s="191"/>
      <c r="J77" s="141"/>
      <c r="K77" s="117"/>
      <c r="L77" s="117"/>
      <c r="M77" s="118"/>
      <c r="N77" s="119"/>
      <c r="O77" s="119"/>
      <c r="P77" s="119"/>
      <c r="Q77" s="119"/>
      <c r="R77" s="119"/>
    </row>
    <row r="78" spans="2:18" x14ac:dyDescent="0.25">
      <c r="B78" s="220" t="s">
        <v>5</v>
      </c>
      <c r="C78" s="162" t="s">
        <v>114</v>
      </c>
      <c r="D78" s="285" t="s">
        <v>178</v>
      </c>
      <c r="E78" s="286"/>
      <c r="F78" s="287"/>
      <c r="G78" s="91">
        <v>1</v>
      </c>
      <c r="H78" s="32">
        <f>TRUNC((H$79+H$80)*$G78,2)</f>
        <v>248.54</v>
      </c>
      <c r="I78" s="25"/>
      <c r="J78" s="138"/>
      <c r="K78" s="117"/>
      <c r="L78" s="117"/>
      <c r="M78" s="118"/>
      <c r="N78" s="119"/>
      <c r="O78" s="142"/>
      <c r="P78" s="119"/>
      <c r="Q78" s="119"/>
      <c r="R78" s="119"/>
    </row>
    <row r="79" spans="2:18" x14ac:dyDescent="0.25">
      <c r="B79" s="220" t="s">
        <v>6</v>
      </c>
      <c r="C79" s="167" t="s">
        <v>115</v>
      </c>
      <c r="D79" s="285" t="s">
        <v>199</v>
      </c>
      <c r="E79" s="286"/>
      <c r="F79" s="287"/>
      <c r="G79" s="33"/>
      <c r="H79" s="28">
        <f>TRUNC((H$32+H$43+H$55+H$66-H60)/12,2)</f>
        <v>195.62</v>
      </c>
      <c r="I79" s="178"/>
      <c r="J79" s="135"/>
      <c r="K79" s="117"/>
      <c r="L79" s="117"/>
      <c r="M79" s="118"/>
      <c r="N79" s="119"/>
      <c r="O79" s="143"/>
      <c r="P79" s="119"/>
      <c r="Q79" s="119"/>
      <c r="R79" s="119"/>
    </row>
    <row r="80" spans="2:18" x14ac:dyDescent="0.25">
      <c r="B80" s="220" t="s">
        <v>7</v>
      </c>
      <c r="C80" s="167" t="s">
        <v>116</v>
      </c>
      <c r="D80" s="285" t="s">
        <v>190</v>
      </c>
      <c r="E80" s="287"/>
      <c r="F80" s="93">
        <v>0.4</v>
      </c>
      <c r="G80" s="33"/>
      <c r="H80" s="28">
        <f>TRUNC(H$55*$F80,2)</f>
        <v>52.92</v>
      </c>
      <c r="I80" s="178"/>
      <c r="J80" s="135"/>
      <c r="K80" s="117"/>
      <c r="L80" s="117"/>
      <c r="M80" s="118"/>
      <c r="N80" s="119"/>
      <c r="O80" s="143"/>
      <c r="P80" s="119"/>
      <c r="Q80" s="119"/>
      <c r="R80" s="119"/>
    </row>
    <row r="81" spans="2:18" x14ac:dyDescent="0.25">
      <c r="B81" s="220" t="s">
        <v>8</v>
      </c>
      <c r="C81" s="162" t="s">
        <v>117</v>
      </c>
      <c r="D81" s="285" t="s">
        <v>179</v>
      </c>
      <c r="E81" s="286"/>
      <c r="F81" s="287"/>
      <c r="G81" s="91">
        <v>1</v>
      </c>
      <c r="H81" s="166">
        <f>IF($G81&gt;=1,(TRUNC(H$82*$G81,2)),"ERRO")</f>
        <v>52.92</v>
      </c>
      <c r="I81" s="180"/>
      <c r="J81" s="135"/>
      <c r="K81" s="117"/>
      <c r="L81" s="117"/>
      <c r="M81" s="118"/>
      <c r="N81" s="119"/>
      <c r="O81" s="139"/>
      <c r="P81" s="119"/>
      <c r="Q81" s="119"/>
      <c r="R81" s="119"/>
    </row>
    <row r="82" spans="2:18" x14ac:dyDescent="0.25">
      <c r="B82" s="220" t="s">
        <v>9</v>
      </c>
      <c r="C82" s="167" t="s">
        <v>118</v>
      </c>
      <c r="D82" s="285" t="s">
        <v>190</v>
      </c>
      <c r="E82" s="287"/>
      <c r="F82" s="93">
        <v>0.4</v>
      </c>
      <c r="G82" s="33"/>
      <c r="H82" s="28">
        <f>TRUNC(H$55*$F82,2)</f>
        <v>52.92</v>
      </c>
      <c r="I82" s="178"/>
      <c r="J82" s="135"/>
      <c r="K82" s="117"/>
      <c r="L82" s="117"/>
      <c r="M82" s="118"/>
      <c r="N82" s="119"/>
      <c r="O82" s="139"/>
      <c r="P82" s="119"/>
      <c r="Q82" s="119"/>
      <c r="R82" s="119"/>
    </row>
    <row r="83" spans="2:18" x14ac:dyDescent="0.25">
      <c r="B83" s="220" t="s">
        <v>10</v>
      </c>
      <c r="C83" s="162" t="s">
        <v>196</v>
      </c>
      <c r="D83" s="309" t="s">
        <v>191</v>
      </c>
      <c r="E83" s="310"/>
      <c r="F83" s="92">
        <v>30</v>
      </c>
      <c r="G83" s="92">
        <v>6</v>
      </c>
      <c r="H83" s="28">
        <f>TRUNC(((H$32+H$43+H$56)/30)*$G83/$F83,2)</f>
        <v>15.08</v>
      </c>
      <c r="I83" s="178"/>
      <c r="J83" s="173"/>
      <c r="K83" s="118"/>
      <c r="L83" s="118"/>
      <c r="M83" s="118"/>
      <c r="N83" s="119"/>
      <c r="O83" s="139"/>
      <c r="P83" s="119"/>
      <c r="Q83" s="119"/>
      <c r="R83" s="119"/>
    </row>
    <row r="84" spans="2:18" x14ac:dyDescent="0.25">
      <c r="B84" s="220" t="s">
        <v>165</v>
      </c>
      <c r="C84" s="252" t="s">
        <v>80</v>
      </c>
      <c r="D84" s="296"/>
      <c r="E84" s="296"/>
      <c r="F84" s="296"/>
      <c r="G84" s="253"/>
      <c r="H84" s="24">
        <f>H$78+H$81+H$83</f>
        <v>316.53999999999996</v>
      </c>
      <c r="I84" s="25"/>
      <c r="J84" s="119"/>
      <c r="K84" s="119"/>
      <c r="L84" s="119"/>
      <c r="M84" s="118"/>
      <c r="N84" s="119"/>
      <c r="O84" s="119"/>
      <c r="P84" s="119"/>
      <c r="Q84" s="119"/>
      <c r="R84" s="119"/>
    </row>
    <row r="85" spans="2:18" x14ac:dyDescent="0.25">
      <c r="B85" s="170"/>
      <c r="C85" s="170"/>
      <c r="D85" s="170"/>
      <c r="E85" s="170"/>
      <c r="F85" s="170"/>
      <c r="G85" s="170"/>
      <c r="H85" s="170"/>
      <c r="I85" s="170"/>
      <c r="J85" s="135"/>
      <c r="K85" s="117"/>
      <c r="L85" s="117"/>
      <c r="M85" s="118"/>
      <c r="N85" s="119"/>
      <c r="O85" s="119"/>
      <c r="P85" s="119"/>
      <c r="Q85" s="119"/>
      <c r="R85" s="119"/>
    </row>
    <row r="86" spans="2:18" x14ac:dyDescent="0.25">
      <c r="B86" s="211"/>
      <c r="C86" s="211"/>
      <c r="D86" s="211"/>
      <c r="E86" s="211"/>
      <c r="F86" s="211"/>
      <c r="G86" s="211"/>
      <c r="H86" s="211"/>
      <c r="I86" s="191"/>
      <c r="J86" s="135"/>
      <c r="K86" s="117"/>
      <c r="L86" s="117"/>
      <c r="M86" s="118"/>
      <c r="N86" s="119"/>
      <c r="O86" s="119"/>
      <c r="P86" s="119"/>
      <c r="Q86" s="119"/>
      <c r="R86" s="119"/>
    </row>
    <row r="87" spans="2:18" x14ac:dyDescent="0.25">
      <c r="B87" s="292" t="s">
        <v>92</v>
      </c>
      <c r="C87" s="292"/>
      <c r="D87" s="292"/>
      <c r="E87" s="292"/>
      <c r="F87" s="292"/>
      <c r="G87" s="292"/>
      <c r="H87" s="292"/>
      <c r="I87" s="191"/>
      <c r="J87" s="135"/>
      <c r="K87" s="117"/>
      <c r="L87" s="117"/>
      <c r="M87" s="118"/>
      <c r="N87" s="119"/>
      <c r="O87" s="119"/>
      <c r="P87" s="119"/>
      <c r="Q87" s="119"/>
      <c r="R87" s="119"/>
    </row>
    <row r="88" spans="2:18" x14ac:dyDescent="0.25">
      <c r="B88" s="303" t="s">
        <v>109</v>
      </c>
      <c r="C88" s="304"/>
      <c r="D88" s="304"/>
      <c r="E88" s="304"/>
      <c r="F88" s="304"/>
      <c r="G88" s="304"/>
      <c r="H88" s="305"/>
      <c r="I88" s="191"/>
      <c r="J88" s="135"/>
      <c r="K88" s="117"/>
      <c r="L88" s="117"/>
      <c r="M88" s="118"/>
      <c r="N88" s="119"/>
      <c r="O88" s="119"/>
      <c r="P88" s="119"/>
      <c r="Q88" s="119"/>
      <c r="R88" s="119"/>
    </row>
    <row r="89" spans="2:18" x14ac:dyDescent="0.25">
      <c r="B89" s="169" t="s">
        <v>17</v>
      </c>
      <c r="C89" s="252" t="s">
        <v>110</v>
      </c>
      <c r="D89" s="296"/>
      <c r="E89" s="296"/>
      <c r="F89" s="253"/>
      <c r="G89" s="169" t="s">
        <v>122</v>
      </c>
      <c r="H89" s="169" t="s">
        <v>68</v>
      </c>
      <c r="I89" s="191"/>
      <c r="J89" s="117"/>
      <c r="K89" s="117"/>
      <c r="L89" s="117"/>
      <c r="M89" s="118"/>
      <c r="N89" s="144"/>
      <c r="O89" s="119"/>
      <c r="P89" s="119"/>
      <c r="Q89" s="119"/>
      <c r="R89" s="119"/>
    </row>
    <row r="90" spans="2:18" x14ac:dyDescent="0.25">
      <c r="B90" s="220" t="s">
        <v>5</v>
      </c>
      <c r="C90" s="167" t="s">
        <v>128</v>
      </c>
      <c r="D90" s="285" t="s">
        <v>171</v>
      </c>
      <c r="E90" s="286"/>
      <c r="F90" s="287"/>
      <c r="G90" s="92">
        <v>30</v>
      </c>
      <c r="H90" s="28">
        <f>TRUNC((H$92*$G90)/12,2)</f>
        <v>272.47000000000003</v>
      </c>
      <c r="I90" s="178"/>
      <c r="J90" s="138"/>
      <c r="K90" s="117"/>
      <c r="L90" s="117"/>
      <c r="M90" s="118"/>
      <c r="N90" s="144"/>
      <c r="O90" s="119"/>
      <c r="P90" s="119"/>
      <c r="Q90" s="119"/>
      <c r="R90" s="119"/>
    </row>
    <row r="91" spans="2:18" ht="22.8" x14ac:dyDescent="0.25">
      <c r="B91" s="220" t="s">
        <v>6</v>
      </c>
      <c r="C91" s="163" t="s">
        <v>177</v>
      </c>
      <c r="D91" s="306" t="s">
        <v>180</v>
      </c>
      <c r="E91" s="307"/>
      <c r="F91" s="308"/>
      <c r="G91" s="112">
        <v>8</v>
      </c>
      <c r="H91" s="28">
        <f>TRUNC((H$92*$G91)/12,2)</f>
        <v>72.66</v>
      </c>
      <c r="I91" s="178"/>
      <c r="J91" s="138"/>
      <c r="K91" s="117"/>
      <c r="L91" s="117"/>
      <c r="M91" s="118"/>
      <c r="N91" s="144"/>
      <c r="O91" s="119"/>
      <c r="P91" s="119"/>
      <c r="Q91" s="119"/>
      <c r="R91" s="119"/>
    </row>
    <row r="92" spans="2:18" x14ac:dyDescent="0.25">
      <c r="B92" s="220" t="s">
        <v>7</v>
      </c>
      <c r="C92" s="167" t="s">
        <v>130</v>
      </c>
      <c r="D92" s="285" t="s">
        <v>164</v>
      </c>
      <c r="E92" s="286"/>
      <c r="F92" s="286"/>
      <c r="G92" s="287"/>
      <c r="H92" s="28">
        <f>TRUNC((H$32+H$73+H$84)/30,2)</f>
        <v>108.99</v>
      </c>
      <c r="I92" s="178"/>
      <c r="J92" s="138"/>
      <c r="K92" s="117"/>
      <c r="L92" s="117"/>
      <c r="M92" s="118"/>
      <c r="N92" s="144"/>
      <c r="O92" s="119"/>
      <c r="P92" s="119"/>
      <c r="Q92" s="119"/>
      <c r="R92" s="119"/>
    </row>
    <row r="93" spans="2:18" x14ac:dyDescent="0.25">
      <c r="B93" s="220" t="s">
        <v>166</v>
      </c>
      <c r="C93" s="252" t="s">
        <v>80</v>
      </c>
      <c r="D93" s="296"/>
      <c r="E93" s="296"/>
      <c r="F93" s="296"/>
      <c r="G93" s="253"/>
      <c r="H93" s="24">
        <f>TRUNC(H$90+H$91,2)</f>
        <v>345.13</v>
      </c>
      <c r="I93" s="25"/>
      <c r="J93" s="138"/>
      <c r="K93" s="117"/>
      <c r="L93" s="117"/>
      <c r="M93" s="118"/>
      <c r="N93" s="119"/>
      <c r="O93" s="119"/>
      <c r="P93" s="119"/>
      <c r="Q93" s="119"/>
      <c r="R93" s="119"/>
    </row>
    <row r="94" spans="2:18" x14ac:dyDescent="0.25">
      <c r="B94" s="145"/>
      <c r="C94" s="146"/>
      <c r="D94" s="146"/>
      <c r="E94" s="146"/>
      <c r="F94" s="146"/>
      <c r="G94" s="146"/>
      <c r="H94" s="147"/>
      <c r="I94" s="34"/>
      <c r="J94" s="135"/>
      <c r="K94" s="117"/>
      <c r="L94" s="117"/>
      <c r="M94" s="118"/>
      <c r="N94" s="119"/>
      <c r="O94" s="119"/>
      <c r="P94" s="119"/>
      <c r="Q94" s="119"/>
      <c r="R94" s="119"/>
    </row>
    <row r="95" spans="2:18" x14ac:dyDescent="0.25">
      <c r="B95" s="300" t="s">
        <v>111</v>
      </c>
      <c r="C95" s="301"/>
      <c r="D95" s="301"/>
      <c r="E95" s="301"/>
      <c r="F95" s="301"/>
      <c r="G95" s="301"/>
      <c r="H95" s="302"/>
      <c r="I95" s="191"/>
      <c r="J95" s="135"/>
      <c r="K95" s="117"/>
      <c r="L95" s="117"/>
      <c r="M95" s="118"/>
      <c r="N95" s="119"/>
      <c r="O95" s="119"/>
      <c r="P95" s="119"/>
      <c r="Q95" s="119"/>
      <c r="R95" s="119"/>
    </row>
    <row r="96" spans="2:18" x14ac:dyDescent="0.25">
      <c r="B96" s="169" t="s">
        <v>18</v>
      </c>
      <c r="C96" s="252" t="s">
        <v>112</v>
      </c>
      <c r="D96" s="296"/>
      <c r="E96" s="296"/>
      <c r="F96" s="253"/>
      <c r="G96" s="169" t="s">
        <v>122</v>
      </c>
      <c r="H96" s="169" t="s">
        <v>68</v>
      </c>
      <c r="I96" s="191"/>
      <c r="J96" s="135"/>
      <c r="K96" s="117"/>
      <c r="L96" s="117"/>
      <c r="M96" s="118"/>
      <c r="N96" s="119"/>
      <c r="O96" s="119"/>
      <c r="P96" s="119"/>
      <c r="Q96" s="119"/>
      <c r="R96" s="119"/>
    </row>
    <row r="97" spans="2:18" ht="22.8" x14ac:dyDescent="0.25">
      <c r="B97" s="220" t="s">
        <v>5</v>
      </c>
      <c r="C97" s="163" t="s">
        <v>113</v>
      </c>
      <c r="D97" s="285" t="s">
        <v>201</v>
      </c>
      <c r="E97" s="286"/>
      <c r="F97" s="287"/>
      <c r="G97" s="92"/>
      <c r="H97" s="28">
        <f>TRUNC(((H$32+H73+H84)/220)*(1+50%)*G97,2)</f>
        <v>0</v>
      </c>
      <c r="I97" s="178"/>
      <c r="J97" s="135"/>
      <c r="K97" s="117"/>
      <c r="L97" s="117"/>
      <c r="M97" s="118"/>
      <c r="N97" s="119"/>
      <c r="O97" s="119"/>
      <c r="P97" s="119"/>
      <c r="Q97" s="119"/>
      <c r="R97" s="119"/>
    </row>
    <row r="98" spans="2:18" x14ac:dyDescent="0.25">
      <c r="B98" s="220" t="s">
        <v>167</v>
      </c>
      <c r="C98" s="252" t="s">
        <v>80</v>
      </c>
      <c r="D98" s="296"/>
      <c r="E98" s="296"/>
      <c r="F98" s="296"/>
      <c r="G98" s="253"/>
      <c r="H98" s="24">
        <f>H97</f>
        <v>0</v>
      </c>
      <c r="I98" s="178"/>
      <c r="J98" s="135"/>
      <c r="K98" s="117"/>
      <c r="L98" s="117"/>
      <c r="M98" s="118"/>
      <c r="N98" s="119"/>
      <c r="O98" s="119"/>
      <c r="P98" s="119"/>
      <c r="Q98" s="119"/>
      <c r="R98" s="119"/>
    </row>
    <row r="99" spans="2:18" x14ac:dyDescent="0.25">
      <c r="B99" s="221"/>
      <c r="C99" s="222"/>
      <c r="D99" s="222"/>
      <c r="E99" s="222"/>
      <c r="F99" s="222"/>
      <c r="G99" s="222"/>
      <c r="H99" s="223"/>
      <c r="I99" s="199"/>
      <c r="J99" s="135"/>
      <c r="K99" s="117"/>
      <c r="L99" s="117"/>
      <c r="M99" s="118"/>
      <c r="N99" s="119"/>
      <c r="O99" s="119"/>
      <c r="P99" s="119"/>
      <c r="Q99" s="119"/>
      <c r="R99" s="119"/>
    </row>
    <row r="100" spans="2:18" x14ac:dyDescent="0.25">
      <c r="B100" s="300" t="s">
        <v>93</v>
      </c>
      <c r="C100" s="301"/>
      <c r="D100" s="301"/>
      <c r="E100" s="301"/>
      <c r="F100" s="301"/>
      <c r="G100" s="301"/>
      <c r="H100" s="302"/>
      <c r="I100" s="191"/>
      <c r="J100" s="135"/>
      <c r="K100" s="117"/>
      <c r="L100" s="117"/>
      <c r="M100" s="118"/>
      <c r="N100" s="119"/>
      <c r="O100" s="119"/>
      <c r="P100" s="119"/>
      <c r="Q100" s="119"/>
      <c r="R100" s="119"/>
    </row>
    <row r="101" spans="2:18" x14ac:dyDescent="0.25">
      <c r="B101" s="169">
        <v>4</v>
      </c>
      <c r="C101" s="252" t="s">
        <v>94</v>
      </c>
      <c r="D101" s="296"/>
      <c r="E101" s="296"/>
      <c r="F101" s="296"/>
      <c r="G101" s="253"/>
      <c r="H101" s="169" t="s">
        <v>68</v>
      </c>
      <c r="I101" s="191"/>
      <c r="J101" s="135"/>
      <c r="K101" s="117"/>
      <c r="L101" s="117"/>
      <c r="M101" s="118"/>
      <c r="N101" s="148"/>
      <c r="O101" s="119"/>
      <c r="P101" s="119"/>
      <c r="Q101" s="119"/>
      <c r="R101" s="119"/>
    </row>
    <row r="102" spans="2:18" x14ac:dyDescent="0.25">
      <c r="B102" s="220" t="s">
        <v>17</v>
      </c>
      <c r="C102" s="167" t="s">
        <v>61</v>
      </c>
      <c r="D102" s="285" t="s">
        <v>166</v>
      </c>
      <c r="E102" s="286"/>
      <c r="F102" s="286"/>
      <c r="G102" s="287"/>
      <c r="H102" s="28">
        <f>H93</f>
        <v>345.13</v>
      </c>
      <c r="I102" s="178"/>
      <c r="J102" s="135"/>
      <c r="K102" s="135"/>
      <c r="L102" s="135"/>
      <c r="M102" s="135"/>
      <c r="N102" s="119"/>
      <c r="O102" s="119"/>
      <c r="P102" s="119"/>
      <c r="Q102" s="119"/>
      <c r="R102" s="119"/>
    </row>
    <row r="103" spans="2:18" x14ac:dyDescent="0.25">
      <c r="B103" s="220" t="s">
        <v>18</v>
      </c>
      <c r="C103" s="167" t="s">
        <v>63</v>
      </c>
      <c r="D103" s="285" t="s">
        <v>167</v>
      </c>
      <c r="E103" s="286"/>
      <c r="F103" s="286"/>
      <c r="G103" s="287"/>
      <c r="H103" s="28">
        <f>H98</f>
        <v>0</v>
      </c>
      <c r="I103" s="178"/>
      <c r="J103" s="135"/>
      <c r="K103" s="117"/>
      <c r="L103" s="117"/>
      <c r="M103" s="118"/>
      <c r="N103" s="119"/>
      <c r="O103" s="119"/>
      <c r="P103" s="119"/>
      <c r="Q103" s="119"/>
      <c r="R103" s="119"/>
    </row>
    <row r="104" spans="2:18" x14ac:dyDescent="0.25">
      <c r="B104" s="220" t="s">
        <v>168</v>
      </c>
      <c r="C104" s="252" t="s">
        <v>80</v>
      </c>
      <c r="D104" s="296"/>
      <c r="E104" s="296"/>
      <c r="F104" s="296"/>
      <c r="G104" s="253"/>
      <c r="H104" s="24">
        <f>SUM(H102:H103)</f>
        <v>345.13</v>
      </c>
      <c r="I104" s="25"/>
      <c r="J104" s="135"/>
      <c r="K104" s="117"/>
      <c r="L104" s="117"/>
      <c r="M104" s="118"/>
      <c r="N104" s="119"/>
      <c r="O104" s="119"/>
      <c r="P104" s="119"/>
      <c r="Q104" s="119"/>
      <c r="R104" s="119"/>
    </row>
    <row r="105" spans="2:18" x14ac:dyDescent="0.25">
      <c r="B105" s="211"/>
      <c r="C105" s="211"/>
      <c r="D105" s="211"/>
      <c r="E105" s="211"/>
      <c r="F105" s="211"/>
      <c r="G105" s="211"/>
      <c r="H105" s="211"/>
      <c r="I105" s="191"/>
      <c r="J105" s="135"/>
      <c r="K105" s="117"/>
      <c r="L105" s="117"/>
      <c r="M105" s="118"/>
      <c r="N105" s="119"/>
      <c r="O105" s="119"/>
      <c r="P105" s="119"/>
      <c r="Q105" s="119"/>
      <c r="R105" s="119"/>
    </row>
    <row r="106" spans="2:18" x14ac:dyDescent="0.25">
      <c r="B106" s="211"/>
      <c r="C106" s="211"/>
      <c r="D106" s="211"/>
      <c r="E106" s="211"/>
      <c r="F106" s="211"/>
      <c r="G106" s="211"/>
      <c r="H106" s="211"/>
      <c r="I106" s="191"/>
      <c r="J106" s="135"/>
      <c r="K106" s="117"/>
      <c r="L106" s="117"/>
      <c r="M106" s="118"/>
      <c r="N106" s="119"/>
      <c r="O106" s="119"/>
      <c r="P106" s="119"/>
      <c r="Q106" s="119"/>
      <c r="R106" s="119"/>
    </row>
    <row r="107" spans="2:18" x14ac:dyDescent="0.25">
      <c r="B107" s="292" t="s">
        <v>95</v>
      </c>
      <c r="C107" s="292"/>
      <c r="D107" s="292"/>
      <c r="E107" s="292"/>
      <c r="F107" s="292"/>
      <c r="G107" s="292"/>
      <c r="H107" s="292"/>
      <c r="I107" s="191"/>
      <c r="J107" s="135"/>
      <c r="K107" s="117"/>
      <c r="L107" s="117"/>
      <c r="M107" s="118"/>
      <c r="N107" s="119"/>
      <c r="O107" s="119"/>
      <c r="P107" s="119"/>
      <c r="Q107" s="119"/>
      <c r="R107" s="119"/>
    </row>
    <row r="108" spans="2:18" x14ac:dyDescent="0.25">
      <c r="B108" s="169">
        <v>5</v>
      </c>
      <c r="C108" s="297" t="s">
        <v>82</v>
      </c>
      <c r="D108" s="298"/>
      <c r="E108" s="298"/>
      <c r="F108" s="298"/>
      <c r="G108" s="299"/>
      <c r="H108" s="169" t="s">
        <v>68</v>
      </c>
      <c r="I108" s="191"/>
      <c r="J108" s="135"/>
      <c r="K108" s="117"/>
      <c r="L108" s="117"/>
      <c r="M108" s="118"/>
      <c r="N108" s="119"/>
      <c r="O108" s="119"/>
      <c r="P108" s="119"/>
      <c r="Q108" s="119"/>
      <c r="R108" s="119"/>
    </row>
    <row r="109" spans="2:18" x14ac:dyDescent="0.25">
      <c r="B109" s="220" t="s">
        <v>5</v>
      </c>
      <c r="C109" s="124" t="s">
        <v>64</v>
      </c>
      <c r="D109" s="125"/>
      <c r="E109" s="125"/>
      <c r="F109" s="125"/>
      <c r="G109" s="126"/>
      <c r="H109" s="90">
        <f>Insumos!G28</f>
        <v>91.731666666666683</v>
      </c>
      <c r="I109" s="178"/>
      <c r="J109" s="135"/>
      <c r="K109" s="117"/>
      <c r="L109" s="117"/>
      <c r="M109" s="118"/>
      <c r="N109" s="119"/>
      <c r="O109" s="119"/>
      <c r="P109" s="119"/>
      <c r="Q109" s="119"/>
      <c r="R109" s="119"/>
    </row>
    <row r="110" spans="2:18" x14ac:dyDescent="0.25">
      <c r="B110" s="220" t="s">
        <v>6</v>
      </c>
      <c r="C110" s="124" t="s">
        <v>13</v>
      </c>
      <c r="D110" s="125"/>
      <c r="E110" s="125"/>
      <c r="F110" s="125"/>
      <c r="G110" s="126"/>
      <c r="H110" s="90">
        <f>Insumos!F66</f>
        <v>2864.0700000000011</v>
      </c>
      <c r="I110" s="178"/>
      <c r="J110" s="135"/>
      <c r="K110" s="117"/>
      <c r="L110" s="117"/>
      <c r="M110" s="118"/>
      <c r="N110" s="119"/>
      <c r="O110" s="119"/>
      <c r="P110" s="119"/>
      <c r="Q110" s="119"/>
      <c r="R110" s="119"/>
    </row>
    <row r="111" spans="2:18" x14ac:dyDescent="0.25">
      <c r="B111" s="220" t="s">
        <v>7</v>
      </c>
      <c r="C111" s="124" t="s">
        <v>14</v>
      </c>
      <c r="D111" s="125"/>
      <c r="E111" s="125"/>
      <c r="F111" s="125"/>
      <c r="G111" s="126"/>
      <c r="H111" s="90">
        <f>Insumos!G80</f>
        <v>79.567916666666662</v>
      </c>
      <c r="I111" s="178"/>
      <c r="J111" s="135"/>
      <c r="K111" s="117"/>
      <c r="L111" s="117"/>
      <c r="M111" s="118"/>
      <c r="N111" s="119"/>
      <c r="O111" s="119"/>
      <c r="P111" s="119"/>
      <c r="Q111" s="119"/>
      <c r="R111" s="119"/>
    </row>
    <row r="112" spans="2:18" x14ac:dyDescent="0.25">
      <c r="B112" s="220" t="s">
        <v>8</v>
      </c>
      <c r="C112" s="124" t="s">
        <v>3</v>
      </c>
      <c r="D112" s="125"/>
      <c r="E112" s="125"/>
      <c r="F112" s="125"/>
      <c r="G112" s="126"/>
      <c r="H112" s="127"/>
      <c r="I112" s="178"/>
      <c r="J112" s="135"/>
      <c r="K112" s="117"/>
      <c r="L112" s="117"/>
      <c r="M112" s="118"/>
      <c r="N112" s="119"/>
      <c r="O112" s="119"/>
      <c r="P112" s="119"/>
      <c r="Q112" s="119"/>
      <c r="R112" s="119"/>
    </row>
    <row r="113" spans="2:18" x14ac:dyDescent="0.25">
      <c r="B113" s="220" t="s">
        <v>169</v>
      </c>
      <c r="C113" s="159" t="s">
        <v>80</v>
      </c>
      <c r="D113" s="159"/>
      <c r="E113" s="159"/>
      <c r="F113" s="159"/>
      <c r="G113" s="160"/>
      <c r="H113" s="24">
        <f>SUM(H109:H112)</f>
        <v>3035.3695833333345</v>
      </c>
      <c r="I113" s="25"/>
      <c r="J113" s="135"/>
      <c r="K113" s="117"/>
      <c r="L113" s="117"/>
      <c r="M113" s="118"/>
      <c r="N113" s="119"/>
      <c r="O113" s="119"/>
      <c r="P113" s="119"/>
      <c r="Q113" s="119"/>
      <c r="R113" s="119"/>
    </row>
    <row r="114" spans="2:18" x14ac:dyDescent="0.25">
      <c r="B114" s="211"/>
      <c r="C114" s="211"/>
      <c r="D114" s="211"/>
      <c r="E114" s="211"/>
      <c r="F114" s="211"/>
      <c r="G114" s="149"/>
      <c r="H114" s="134"/>
      <c r="I114" s="25"/>
      <c r="J114" s="135"/>
      <c r="K114" s="117"/>
      <c r="L114" s="117"/>
      <c r="M114" s="118"/>
      <c r="N114" s="119"/>
      <c r="O114" s="119"/>
      <c r="P114" s="119"/>
      <c r="Q114" s="119"/>
      <c r="R114" s="119"/>
    </row>
    <row r="115" spans="2:18" x14ac:dyDescent="0.25">
      <c r="B115" s="211"/>
      <c r="C115" s="211"/>
      <c r="D115" s="211"/>
      <c r="E115" s="211"/>
      <c r="F115" s="211"/>
      <c r="G115" s="211"/>
      <c r="H115" s="211"/>
      <c r="I115" s="191"/>
      <c r="J115" s="135"/>
      <c r="K115" s="117"/>
      <c r="L115" s="117"/>
      <c r="M115" s="118"/>
      <c r="N115" s="119"/>
      <c r="O115" s="119"/>
      <c r="P115" s="119"/>
      <c r="Q115" s="119"/>
      <c r="R115" s="119"/>
    </row>
    <row r="116" spans="2:18" x14ac:dyDescent="0.25">
      <c r="B116" s="292" t="s">
        <v>96</v>
      </c>
      <c r="C116" s="292"/>
      <c r="D116" s="292"/>
      <c r="E116" s="292"/>
      <c r="F116" s="292"/>
      <c r="G116" s="292"/>
      <c r="H116" s="292"/>
      <c r="I116" s="191"/>
      <c r="J116" s="135"/>
      <c r="K116" s="117"/>
      <c r="L116" s="117"/>
      <c r="M116" s="118"/>
      <c r="N116" s="119"/>
      <c r="O116" s="119"/>
      <c r="P116" s="119"/>
      <c r="Q116" s="119"/>
      <c r="R116" s="119"/>
    </row>
    <row r="117" spans="2:18" x14ac:dyDescent="0.25">
      <c r="B117" s="169">
        <v>6</v>
      </c>
      <c r="C117" s="252" t="s">
        <v>83</v>
      </c>
      <c r="D117" s="296"/>
      <c r="E117" s="296"/>
      <c r="F117" s="253"/>
      <c r="G117" s="169" t="s">
        <v>2</v>
      </c>
      <c r="H117" s="169" t="s">
        <v>68</v>
      </c>
      <c r="I117" s="191"/>
      <c r="J117" s="135"/>
      <c r="K117" s="117"/>
      <c r="L117" s="117"/>
      <c r="M117" s="118"/>
      <c r="N117" s="119"/>
      <c r="O117" s="119"/>
      <c r="P117" s="119"/>
      <c r="Q117" s="119"/>
      <c r="R117" s="119"/>
    </row>
    <row r="118" spans="2:18" x14ac:dyDescent="0.25">
      <c r="B118" s="220" t="s">
        <v>5</v>
      </c>
      <c r="C118" s="167" t="s">
        <v>19</v>
      </c>
      <c r="D118" s="285" t="s">
        <v>181</v>
      </c>
      <c r="E118" s="286"/>
      <c r="F118" s="287"/>
      <c r="G118" s="101">
        <v>0.05</v>
      </c>
      <c r="H118" s="28">
        <f>TRUNC(H$135*$G118,2)</f>
        <v>332.51</v>
      </c>
      <c r="I118" s="178"/>
      <c r="J118" s="117"/>
      <c r="K118" s="117"/>
      <c r="L118" s="117"/>
      <c r="M118" s="118"/>
      <c r="N118" s="119"/>
      <c r="O118" s="119"/>
      <c r="P118" s="119"/>
      <c r="Q118" s="119"/>
      <c r="R118" s="119"/>
    </row>
    <row r="119" spans="2:18" x14ac:dyDescent="0.25">
      <c r="B119" s="220" t="s">
        <v>6</v>
      </c>
      <c r="C119" s="167" t="s">
        <v>4</v>
      </c>
      <c r="D119" s="285" t="s">
        <v>182</v>
      </c>
      <c r="E119" s="286"/>
      <c r="F119" s="287"/>
      <c r="G119" s="101">
        <v>0.1</v>
      </c>
      <c r="H119" s="28">
        <f>TRUNC((H$135+H$118)*$G119,2)</f>
        <v>698.27</v>
      </c>
      <c r="I119" s="178"/>
      <c r="J119" s="117"/>
      <c r="K119" s="117"/>
      <c r="L119" s="117"/>
      <c r="M119" s="118"/>
      <c r="N119" s="119"/>
      <c r="O119" s="119"/>
      <c r="P119" s="119"/>
      <c r="Q119" s="119"/>
      <c r="R119" s="119"/>
    </row>
    <row r="120" spans="2:18" x14ac:dyDescent="0.25">
      <c r="B120" s="220" t="s">
        <v>7</v>
      </c>
      <c r="C120" s="167" t="s">
        <v>136</v>
      </c>
      <c r="D120" s="285" t="s">
        <v>183</v>
      </c>
      <c r="E120" s="286"/>
      <c r="F120" s="287"/>
      <c r="G120" s="103">
        <f>1-(G121+G122+G123)</f>
        <v>0.85749999999999993</v>
      </c>
      <c r="H120" s="35">
        <f>TRUNC(((H$135+H$118+H$119)/$G120),2)</f>
        <v>8957.48</v>
      </c>
      <c r="I120" s="181"/>
      <c r="J120" s="135"/>
      <c r="K120" s="117"/>
      <c r="L120" s="117"/>
      <c r="M120" s="118"/>
      <c r="N120" s="119"/>
      <c r="O120" s="119"/>
      <c r="P120" s="119"/>
      <c r="Q120" s="119"/>
      <c r="R120" s="119"/>
    </row>
    <row r="121" spans="2:18" x14ac:dyDescent="0.25">
      <c r="B121" s="220" t="s">
        <v>40</v>
      </c>
      <c r="C121" s="167" t="s">
        <v>37</v>
      </c>
      <c r="D121" s="285" t="s">
        <v>184</v>
      </c>
      <c r="E121" s="286"/>
      <c r="F121" s="287"/>
      <c r="G121" s="102">
        <v>1.6500000000000001E-2</v>
      </c>
      <c r="H121" s="28">
        <f>TRUNC(H$120*$G121,2)</f>
        <v>147.79</v>
      </c>
      <c r="I121" s="178"/>
      <c r="J121" s="135"/>
      <c r="K121" s="117"/>
      <c r="L121" s="117"/>
      <c r="M121" s="118"/>
      <c r="N121" s="119"/>
      <c r="O121" s="119"/>
      <c r="P121" s="119"/>
      <c r="Q121" s="119"/>
      <c r="R121" s="119"/>
    </row>
    <row r="122" spans="2:18" x14ac:dyDescent="0.25">
      <c r="B122" s="220" t="s">
        <v>41</v>
      </c>
      <c r="C122" s="167" t="s">
        <v>38</v>
      </c>
      <c r="D122" s="285" t="s">
        <v>184</v>
      </c>
      <c r="E122" s="286"/>
      <c r="F122" s="287"/>
      <c r="G122" s="102">
        <v>7.5999999999999998E-2</v>
      </c>
      <c r="H122" s="28">
        <f>TRUNC(H$120*$G122,2)</f>
        <v>680.76</v>
      </c>
      <c r="I122" s="178"/>
      <c r="J122" s="135"/>
      <c r="K122" s="117"/>
      <c r="L122" s="117"/>
      <c r="M122" s="118"/>
      <c r="N122" s="119"/>
      <c r="O122" s="119"/>
      <c r="P122" s="119"/>
      <c r="Q122" s="119"/>
      <c r="R122" s="119"/>
    </row>
    <row r="123" spans="2:18" x14ac:dyDescent="0.25">
      <c r="B123" s="220" t="s">
        <v>42</v>
      </c>
      <c r="C123" s="167" t="s">
        <v>39</v>
      </c>
      <c r="D123" s="285" t="s">
        <v>184</v>
      </c>
      <c r="E123" s="286"/>
      <c r="F123" s="287"/>
      <c r="G123" s="102">
        <v>0.05</v>
      </c>
      <c r="H123" s="28">
        <f>TRUNC(H$120*$G123,2)</f>
        <v>447.87</v>
      </c>
      <c r="I123" s="178"/>
      <c r="J123" s="135"/>
      <c r="K123" s="117"/>
      <c r="L123" s="117"/>
      <c r="M123" s="118"/>
      <c r="N123" s="119"/>
      <c r="O123" s="119"/>
      <c r="P123" s="119"/>
      <c r="Q123" s="119"/>
      <c r="R123" s="119"/>
    </row>
    <row r="124" spans="2:18" x14ac:dyDescent="0.25">
      <c r="B124" s="220" t="s">
        <v>170</v>
      </c>
      <c r="C124" s="215" t="s">
        <v>80</v>
      </c>
      <c r="D124" s="277" t="s">
        <v>172</v>
      </c>
      <c r="E124" s="277"/>
      <c r="F124" s="277"/>
      <c r="G124" s="278"/>
      <c r="H124" s="24">
        <f>SUM(H118:H123)-H120</f>
        <v>2307.2000000000025</v>
      </c>
      <c r="I124" s="25"/>
      <c r="J124" s="138"/>
      <c r="K124" s="117"/>
      <c r="L124" s="117"/>
      <c r="M124" s="118"/>
      <c r="N124" s="119"/>
      <c r="O124" s="119"/>
      <c r="P124" s="119"/>
      <c r="Q124" s="119"/>
      <c r="R124" s="119"/>
    </row>
    <row r="125" spans="2:18" x14ac:dyDescent="0.25">
      <c r="B125" s="122"/>
      <c r="C125" s="122"/>
      <c r="D125" s="122"/>
      <c r="E125" s="122"/>
      <c r="F125" s="122"/>
      <c r="G125" s="122"/>
      <c r="H125" s="150"/>
      <c r="I125" s="36"/>
      <c r="J125" s="117"/>
      <c r="K125" s="117"/>
      <c r="L125" s="117"/>
      <c r="M125" s="118"/>
      <c r="N125" s="119"/>
      <c r="O125" s="119"/>
      <c r="P125" s="119"/>
      <c r="Q125" s="119"/>
      <c r="R125" s="119"/>
    </row>
    <row r="126" spans="2:18" x14ac:dyDescent="0.25">
      <c r="B126" s="291" t="s">
        <v>212</v>
      </c>
      <c r="C126" s="291"/>
      <c r="D126" s="291"/>
      <c r="E126" s="291"/>
      <c r="F126" s="291"/>
      <c r="G126" s="291"/>
      <c r="H126" s="291"/>
      <c r="I126" s="192"/>
      <c r="J126" s="117"/>
      <c r="K126" s="151"/>
      <c r="L126" s="117"/>
      <c r="M126" s="118"/>
      <c r="N126" s="119"/>
      <c r="O126" s="119"/>
      <c r="P126" s="119"/>
      <c r="Q126" s="119"/>
      <c r="R126" s="119"/>
    </row>
    <row r="127" spans="2:18" x14ac:dyDescent="0.25">
      <c r="B127" s="214"/>
      <c r="C127" s="214"/>
      <c r="D127" s="214"/>
      <c r="E127" s="214"/>
      <c r="F127" s="214"/>
      <c r="G127" s="214"/>
      <c r="H127" s="214"/>
      <c r="I127" s="192"/>
      <c r="J127" s="117"/>
      <c r="K127" s="151"/>
      <c r="L127" s="117"/>
      <c r="M127" s="118"/>
      <c r="N127" s="119"/>
      <c r="O127" s="119"/>
      <c r="P127" s="119"/>
      <c r="Q127" s="119"/>
      <c r="R127" s="119"/>
    </row>
    <row r="128" spans="2:18" x14ac:dyDescent="0.25">
      <c r="B128" s="292" t="s">
        <v>213</v>
      </c>
      <c r="C128" s="292"/>
      <c r="D128" s="292"/>
      <c r="E128" s="292"/>
      <c r="F128" s="292"/>
      <c r="G128" s="292"/>
      <c r="H128" s="292"/>
      <c r="I128" s="191"/>
      <c r="J128" s="117"/>
      <c r="K128" s="151"/>
      <c r="L128" s="117"/>
      <c r="M128" s="118"/>
      <c r="N128" s="119"/>
      <c r="O128" s="119"/>
      <c r="P128" s="119"/>
      <c r="Q128" s="119"/>
      <c r="R128" s="119"/>
    </row>
    <row r="129" spans="2:18" ht="12.75" customHeight="1" x14ac:dyDescent="0.25">
      <c r="B129" s="37"/>
      <c r="C129" s="293" t="s">
        <v>137</v>
      </c>
      <c r="D129" s="294"/>
      <c r="E129" s="294"/>
      <c r="F129" s="294"/>
      <c r="G129" s="295"/>
      <c r="H129" s="169" t="s">
        <v>68</v>
      </c>
      <c r="I129" s="191"/>
      <c r="J129" s="117"/>
      <c r="K129" s="117"/>
      <c r="L129" s="117"/>
      <c r="M129" s="118"/>
      <c r="N129" s="119"/>
      <c r="O129" s="119"/>
      <c r="P129" s="119"/>
      <c r="Q129" s="119"/>
      <c r="R129" s="119"/>
    </row>
    <row r="130" spans="2:18" x14ac:dyDescent="0.25">
      <c r="B130" s="220" t="s">
        <v>5</v>
      </c>
      <c r="C130" s="163" t="s">
        <v>98</v>
      </c>
      <c r="D130" s="285" t="s">
        <v>147</v>
      </c>
      <c r="E130" s="286"/>
      <c r="F130" s="286"/>
      <c r="G130" s="287"/>
      <c r="H130" s="28">
        <f>H32</f>
        <v>1384.64</v>
      </c>
      <c r="I130" s="178"/>
      <c r="J130" s="117"/>
      <c r="K130" s="117"/>
      <c r="L130" s="117"/>
      <c r="M130" s="118"/>
      <c r="N130" s="119"/>
      <c r="O130" s="119"/>
      <c r="P130" s="119"/>
      <c r="Q130" s="119"/>
      <c r="R130" s="119"/>
    </row>
    <row r="131" spans="2:18" ht="22.8" x14ac:dyDescent="0.25">
      <c r="B131" s="220" t="s">
        <v>6</v>
      </c>
      <c r="C131" s="163" t="s">
        <v>99</v>
      </c>
      <c r="D131" s="285" t="s">
        <v>161</v>
      </c>
      <c r="E131" s="286"/>
      <c r="F131" s="286"/>
      <c r="G131" s="287"/>
      <c r="H131" s="28">
        <f>H73</f>
        <v>1568.5816666666669</v>
      </c>
      <c r="I131" s="178"/>
      <c r="J131" s="117"/>
      <c r="K131" s="117"/>
      <c r="L131" s="117"/>
      <c r="M131" s="118"/>
      <c r="N131" s="119"/>
      <c r="O131" s="119"/>
      <c r="P131" s="119"/>
      <c r="Q131" s="119"/>
      <c r="R131" s="119"/>
    </row>
    <row r="132" spans="2:18" x14ac:dyDescent="0.25">
      <c r="B132" s="220" t="s">
        <v>7</v>
      </c>
      <c r="C132" s="163" t="s">
        <v>100</v>
      </c>
      <c r="D132" s="285" t="s">
        <v>165</v>
      </c>
      <c r="E132" s="286"/>
      <c r="F132" s="286"/>
      <c r="G132" s="287"/>
      <c r="H132" s="28">
        <f>H84</f>
        <v>316.53999999999996</v>
      </c>
      <c r="I132" s="178"/>
      <c r="J132" s="117"/>
      <c r="K132" s="151"/>
      <c r="L132" s="117"/>
      <c r="M132" s="118"/>
      <c r="N132" s="119"/>
      <c r="O132" s="119"/>
      <c r="P132" s="119"/>
      <c r="Q132" s="119"/>
      <c r="R132" s="119"/>
    </row>
    <row r="133" spans="2:18" ht="22.8" x14ac:dyDescent="0.25">
      <c r="B133" s="220" t="s">
        <v>8</v>
      </c>
      <c r="C133" s="163" t="s">
        <v>62</v>
      </c>
      <c r="D133" s="285" t="s">
        <v>168</v>
      </c>
      <c r="E133" s="286"/>
      <c r="F133" s="286"/>
      <c r="G133" s="287"/>
      <c r="H133" s="28">
        <f>H104</f>
        <v>345.13</v>
      </c>
      <c r="I133" s="178"/>
      <c r="J133" s="117"/>
      <c r="K133" s="151"/>
      <c r="L133" s="117"/>
      <c r="M133" s="118"/>
      <c r="N133" s="119"/>
      <c r="O133" s="119"/>
      <c r="P133" s="119"/>
      <c r="Q133" s="119"/>
      <c r="R133" s="119"/>
    </row>
    <row r="134" spans="2:18" x14ac:dyDescent="0.25">
      <c r="B134" s="220" t="s">
        <v>9</v>
      </c>
      <c r="C134" s="163" t="s">
        <v>101</v>
      </c>
      <c r="D134" s="285" t="s">
        <v>169</v>
      </c>
      <c r="E134" s="286"/>
      <c r="F134" s="286"/>
      <c r="G134" s="287"/>
      <c r="H134" s="28">
        <f>H113</f>
        <v>3035.3695833333345</v>
      </c>
      <c r="I134" s="178"/>
      <c r="J134" s="117"/>
      <c r="K134" s="117"/>
      <c r="L134" s="117"/>
      <c r="M134" s="118"/>
      <c r="N134" s="119"/>
      <c r="O134" s="119"/>
      <c r="P134" s="119"/>
      <c r="Q134" s="119"/>
      <c r="R134" s="119"/>
    </row>
    <row r="135" spans="2:18" x14ac:dyDescent="0.25">
      <c r="B135" s="219" t="s">
        <v>10</v>
      </c>
      <c r="C135" s="162" t="s">
        <v>65</v>
      </c>
      <c r="D135" s="288" t="s">
        <v>188</v>
      </c>
      <c r="E135" s="289"/>
      <c r="F135" s="289"/>
      <c r="G135" s="290"/>
      <c r="H135" s="32">
        <f>SUM(H130:H134)</f>
        <v>6650.2612500000014</v>
      </c>
      <c r="I135" s="25"/>
      <c r="J135" s="117"/>
      <c r="K135" s="152"/>
      <c r="L135" s="117"/>
      <c r="M135" s="118"/>
      <c r="N135" s="119"/>
      <c r="O135" s="119"/>
      <c r="P135" s="119"/>
      <c r="Q135" s="119"/>
      <c r="R135" s="119"/>
    </row>
    <row r="136" spans="2:18" x14ac:dyDescent="0.25">
      <c r="B136" s="220" t="s">
        <v>11</v>
      </c>
      <c r="C136" s="167" t="s">
        <v>102</v>
      </c>
      <c r="D136" s="285" t="s">
        <v>170</v>
      </c>
      <c r="E136" s="286"/>
      <c r="F136" s="286"/>
      <c r="G136" s="287"/>
      <c r="H136" s="28">
        <f>H124</f>
        <v>2307.2000000000025</v>
      </c>
      <c r="I136" s="178"/>
      <c r="J136" s="117"/>
      <c r="K136" s="117"/>
      <c r="L136" s="117"/>
      <c r="M136" s="118"/>
      <c r="N136" s="119"/>
      <c r="O136" s="119"/>
      <c r="P136" s="119"/>
      <c r="Q136" s="119"/>
      <c r="R136" s="119"/>
    </row>
    <row r="137" spans="2:18" x14ac:dyDescent="0.25">
      <c r="B137" s="220" t="s">
        <v>173</v>
      </c>
      <c r="C137" s="209" t="s">
        <v>97</v>
      </c>
      <c r="D137" s="276" t="s">
        <v>187</v>
      </c>
      <c r="E137" s="277"/>
      <c r="F137" s="277"/>
      <c r="G137" s="278"/>
      <c r="H137" s="38">
        <f>SUM(H135:H136)</f>
        <v>8957.4612500000039</v>
      </c>
      <c r="I137" s="195"/>
      <c r="J137" s="117"/>
      <c r="K137" s="153"/>
      <c r="L137" s="117"/>
      <c r="M137" s="118"/>
      <c r="N137" s="119"/>
      <c r="O137" s="119"/>
      <c r="P137" s="119"/>
      <c r="Q137" s="119"/>
      <c r="R137" s="119"/>
    </row>
    <row r="138" spans="2:18" ht="12.75" hidden="1" customHeight="1" x14ac:dyDescent="0.25">
      <c r="B138" s="15"/>
      <c r="C138" s="15"/>
      <c r="D138" s="15"/>
      <c r="E138" s="15"/>
      <c r="F138" s="15"/>
      <c r="G138" s="15"/>
      <c r="H138" s="39"/>
      <c r="I138" s="196"/>
      <c r="J138" s="154"/>
      <c r="K138" s="154"/>
      <c r="L138" s="154"/>
      <c r="M138" s="119"/>
      <c r="N138" s="119"/>
      <c r="O138" s="119"/>
      <c r="P138" s="119"/>
      <c r="Q138" s="119"/>
      <c r="R138" s="119"/>
    </row>
    <row r="139" spans="2:18" ht="40.5" hidden="1" customHeight="1" x14ac:dyDescent="0.25">
      <c r="B139" s="40"/>
      <c r="C139" s="40" t="s">
        <v>20</v>
      </c>
      <c r="D139" s="40"/>
      <c r="E139" s="40"/>
      <c r="F139" s="40"/>
      <c r="G139" s="41"/>
      <c r="H139" s="41"/>
      <c r="I139" s="197"/>
      <c r="J139" s="154"/>
      <c r="K139" s="154"/>
      <c r="L139" s="154"/>
      <c r="M139" s="119"/>
      <c r="N139" s="119"/>
      <c r="O139" s="119"/>
      <c r="P139" s="119"/>
      <c r="Q139" s="119"/>
      <c r="R139" s="119"/>
    </row>
    <row r="140" spans="2:18" ht="39" hidden="1" customHeight="1" x14ac:dyDescent="0.25">
      <c r="B140" s="279" t="s">
        <v>22</v>
      </c>
      <c r="C140" s="280"/>
      <c r="D140" s="224"/>
      <c r="E140" s="224"/>
      <c r="F140" s="224"/>
      <c r="G140" s="42" t="s">
        <v>21</v>
      </c>
      <c r="H140" s="43" t="s">
        <v>0</v>
      </c>
      <c r="I140" s="197"/>
      <c r="J140" s="154"/>
      <c r="K140" s="154"/>
      <c r="L140" s="154"/>
      <c r="M140" s="119"/>
      <c r="N140" s="119"/>
      <c r="O140" s="119"/>
      <c r="P140" s="119"/>
      <c r="Q140" s="119"/>
      <c r="R140" s="119"/>
    </row>
    <row r="141" spans="2:18" ht="12.75" hidden="1" customHeight="1" x14ac:dyDescent="0.25">
      <c r="B141" s="281" t="s">
        <v>23</v>
      </c>
      <c r="C141" s="282"/>
      <c r="D141" s="44"/>
      <c r="E141" s="44"/>
      <c r="F141" s="44"/>
      <c r="G141" s="45"/>
      <c r="H141" s="46">
        <v>0</v>
      </c>
      <c r="I141" s="182"/>
      <c r="J141" s="154"/>
      <c r="K141" s="154"/>
      <c r="L141" s="154"/>
      <c r="M141" s="119"/>
      <c r="N141" s="119"/>
      <c r="O141" s="119"/>
      <c r="P141" s="119"/>
      <c r="Q141" s="119"/>
      <c r="R141" s="119"/>
    </row>
    <row r="142" spans="2:18" ht="12.75" hidden="1" customHeight="1" x14ac:dyDescent="0.25">
      <c r="B142" s="283" t="s">
        <v>24</v>
      </c>
      <c r="C142" s="284"/>
      <c r="D142" s="47"/>
      <c r="E142" s="47"/>
      <c r="F142" s="47"/>
      <c r="G142" s="48"/>
      <c r="H142" s="49">
        <v>0</v>
      </c>
      <c r="I142" s="182"/>
      <c r="J142" s="154"/>
      <c r="K142" s="154"/>
      <c r="L142" s="154"/>
      <c r="M142" s="119"/>
      <c r="N142" s="119"/>
      <c r="O142" s="119"/>
      <c r="P142" s="119"/>
      <c r="Q142" s="119"/>
      <c r="R142" s="119"/>
    </row>
    <row r="143" spans="2:18" ht="12.75" hidden="1" customHeight="1" x14ac:dyDescent="0.25">
      <c r="B143" s="283" t="s">
        <v>25</v>
      </c>
      <c r="C143" s="284"/>
      <c r="D143" s="47"/>
      <c r="E143" s="47"/>
      <c r="F143" s="47"/>
      <c r="G143" s="48"/>
      <c r="H143" s="49">
        <v>0</v>
      </c>
      <c r="I143" s="182"/>
      <c r="J143" s="154"/>
      <c r="K143" s="154"/>
      <c r="L143" s="154"/>
      <c r="M143" s="119"/>
      <c r="N143" s="119"/>
      <c r="O143" s="119"/>
      <c r="P143" s="119"/>
      <c r="Q143" s="119"/>
      <c r="R143" s="119"/>
    </row>
    <row r="144" spans="2:18" ht="12.75" hidden="1" customHeight="1" x14ac:dyDescent="0.25">
      <c r="B144" s="283" t="s">
        <v>26</v>
      </c>
      <c r="C144" s="284"/>
      <c r="D144" s="47"/>
      <c r="E144" s="47"/>
      <c r="F144" s="47"/>
      <c r="G144" s="48"/>
      <c r="H144" s="49">
        <v>0</v>
      </c>
      <c r="I144" s="182"/>
      <c r="J144" s="154"/>
      <c r="K144" s="154"/>
      <c r="L144" s="154"/>
      <c r="M144" s="119"/>
      <c r="N144" s="119"/>
      <c r="O144" s="119"/>
      <c r="P144" s="119"/>
      <c r="Q144" s="119"/>
      <c r="R144" s="119"/>
    </row>
    <row r="145" spans="2:18" ht="12.75" hidden="1" customHeight="1" x14ac:dyDescent="0.25">
      <c r="B145" s="270"/>
      <c r="C145" s="271"/>
      <c r="D145" s="50"/>
      <c r="E145" s="50"/>
      <c r="F145" s="50"/>
      <c r="G145" s="51"/>
      <c r="H145" s="49"/>
      <c r="I145" s="182"/>
      <c r="J145" s="154"/>
      <c r="K145" s="154"/>
      <c r="L145" s="154"/>
      <c r="M145" s="119"/>
      <c r="N145" s="119"/>
      <c r="O145" s="119"/>
      <c r="P145" s="119"/>
      <c r="Q145" s="119"/>
      <c r="R145" s="119"/>
    </row>
    <row r="146" spans="2:18" ht="13.5" hidden="1" customHeight="1" x14ac:dyDescent="0.25">
      <c r="B146" s="272"/>
      <c r="C146" s="273"/>
      <c r="D146" s="52"/>
      <c r="E146" s="52"/>
      <c r="F146" s="52"/>
      <c r="G146" s="53"/>
      <c r="H146" s="54"/>
      <c r="I146" s="182"/>
      <c r="J146" s="154"/>
      <c r="K146" s="154"/>
      <c r="L146" s="154"/>
      <c r="M146" s="119"/>
      <c r="N146" s="119"/>
      <c r="O146" s="119"/>
      <c r="P146" s="119"/>
      <c r="Q146" s="119"/>
      <c r="R146" s="119"/>
    </row>
    <row r="147" spans="2:18" ht="13.5" hidden="1" customHeight="1" x14ac:dyDescent="0.25">
      <c r="B147" s="55" t="s">
        <v>27</v>
      </c>
      <c r="C147" s="56"/>
      <c r="D147" s="56"/>
      <c r="E147" s="56"/>
      <c r="F147" s="56"/>
      <c r="G147" s="57"/>
      <c r="H147" s="58">
        <f>SUM(H145:H146)</f>
        <v>0</v>
      </c>
      <c r="I147" s="183"/>
      <c r="J147" s="154"/>
      <c r="K147" s="154"/>
      <c r="L147" s="154"/>
      <c r="M147" s="119"/>
      <c r="N147" s="119"/>
      <c r="O147" s="119"/>
      <c r="P147" s="119"/>
      <c r="Q147" s="119"/>
      <c r="R147" s="119"/>
    </row>
    <row r="148" spans="2:18" ht="12.75" hidden="1" customHeight="1" x14ac:dyDescent="0.25">
      <c r="B148" s="15"/>
      <c r="C148" s="15"/>
      <c r="D148" s="15"/>
      <c r="E148" s="15"/>
      <c r="F148" s="15"/>
      <c r="G148" s="15"/>
      <c r="H148" s="15"/>
      <c r="I148" s="19"/>
      <c r="J148" s="154"/>
      <c r="K148" s="154"/>
      <c r="L148" s="154"/>
      <c r="M148" s="119"/>
      <c r="N148" s="119"/>
      <c r="O148" s="119"/>
      <c r="P148" s="119"/>
      <c r="Q148" s="119"/>
      <c r="R148" s="119"/>
    </row>
    <row r="149" spans="2:18" ht="13.5" hidden="1" customHeight="1" x14ac:dyDescent="0.25">
      <c r="B149" s="40" t="s">
        <v>28</v>
      </c>
      <c r="C149" s="40" t="s">
        <v>29</v>
      </c>
      <c r="D149" s="40"/>
      <c r="E149" s="40"/>
      <c r="F149" s="40"/>
      <c r="G149" s="41"/>
      <c r="H149" s="41"/>
      <c r="I149" s="197"/>
      <c r="J149" s="154"/>
      <c r="K149" s="154"/>
      <c r="L149" s="154"/>
      <c r="M149" s="119"/>
      <c r="N149" s="119"/>
      <c r="O149" s="119"/>
      <c r="P149" s="119"/>
      <c r="Q149" s="119"/>
      <c r="R149" s="119"/>
    </row>
    <row r="150" spans="2:18" ht="13.5" hidden="1" customHeight="1" x14ac:dyDescent="0.25">
      <c r="B150" s="59" t="s">
        <v>30</v>
      </c>
      <c r="C150" s="60"/>
      <c r="D150" s="60"/>
      <c r="E150" s="60"/>
      <c r="F150" s="60"/>
      <c r="G150" s="60"/>
      <c r="H150" s="61"/>
      <c r="I150" s="197"/>
      <c r="J150" s="154"/>
      <c r="K150" s="154"/>
      <c r="L150" s="154"/>
      <c r="M150" s="119"/>
      <c r="N150" s="119"/>
      <c r="O150" s="119"/>
      <c r="P150" s="119"/>
      <c r="Q150" s="119"/>
      <c r="R150" s="119"/>
    </row>
    <row r="151" spans="2:18" ht="12.75" hidden="1" customHeight="1" x14ac:dyDescent="0.25">
      <c r="B151" s="62"/>
      <c r="C151" s="63" t="s">
        <v>31</v>
      </c>
      <c r="D151" s="64"/>
      <c r="E151" s="64"/>
      <c r="F151" s="64"/>
      <c r="G151" s="65"/>
      <c r="H151" s="43" t="s">
        <v>0</v>
      </c>
      <c r="I151" s="197"/>
      <c r="J151" s="154"/>
      <c r="K151" s="154"/>
      <c r="L151" s="154"/>
      <c r="M151" s="119"/>
      <c r="N151" s="119"/>
      <c r="O151" s="119"/>
      <c r="P151" s="119"/>
      <c r="Q151" s="119"/>
      <c r="R151" s="119"/>
    </row>
    <row r="152" spans="2:18" ht="12.75" hidden="1" customHeight="1" x14ac:dyDescent="0.25">
      <c r="B152" s="66" t="s">
        <v>5</v>
      </c>
      <c r="C152" s="67" t="s">
        <v>32</v>
      </c>
      <c r="D152" s="68"/>
      <c r="E152" s="68"/>
      <c r="F152" s="68"/>
      <c r="G152" s="69"/>
      <c r="H152" s="70">
        <f>H121</f>
        <v>147.79</v>
      </c>
      <c r="I152" s="182"/>
      <c r="J152" s="154"/>
      <c r="K152" s="154"/>
      <c r="L152" s="154"/>
      <c r="M152" s="119"/>
      <c r="N152" s="119"/>
      <c r="O152" s="119"/>
      <c r="P152" s="119"/>
      <c r="Q152" s="119"/>
      <c r="R152" s="119"/>
    </row>
    <row r="153" spans="2:18" ht="13.5" hidden="1" customHeight="1" x14ac:dyDescent="0.25">
      <c r="B153" s="71" t="s">
        <v>6</v>
      </c>
      <c r="C153" s="72" t="s">
        <v>33</v>
      </c>
      <c r="D153" s="73"/>
      <c r="E153" s="73"/>
      <c r="F153" s="73"/>
      <c r="G153" s="74"/>
      <c r="H153" s="75" t="e">
        <f>#REF!</f>
        <v>#REF!</v>
      </c>
      <c r="I153" s="182"/>
      <c r="J153" s="154"/>
      <c r="K153" s="154"/>
      <c r="L153" s="154"/>
      <c r="M153" s="119"/>
      <c r="N153" s="119"/>
      <c r="O153" s="119"/>
      <c r="P153" s="119"/>
      <c r="Q153" s="119"/>
      <c r="R153" s="119"/>
    </row>
    <row r="154" spans="2:18" ht="13.5" hidden="1" customHeight="1" x14ac:dyDescent="0.25">
      <c r="B154" s="71" t="s">
        <v>7</v>
      </c>
      <c r="C154" s="76" t="s">
        <v>34</v>
      </c>
      <c r="D154" s="77"/>
      <c r="E154" s="77"/>
      <c r="F154" s="77"/>
      <c r="G154" s="78"/>
      <c r="H154" s="75">
        <f>H124</f>
        <v>2307.2000000000025</v>
      </c>
      <c r="I154" s="182"/>
      <c r="J154" s="154"/>
      <c r="K154" s="154"/>
      <c r="L154" s="154"/>
      <c r="M154" s="119"/>
      <c r="N154" s="119"/>
      <c r="O154" s="119"/>
      <c r="P154" s="119"/>
      <c r="Q154" s="119"/>
      <c r="R154" s="119"/>
    </row>
    <row r="155" spans="2:18" ht="13.5" hidden="1" customHeight="1" x14ac:dyDescent="0.25">
      <c r="B155" s="79" t="s">
        <v>16</v>
      </c>
      <c r="C155" s="80"/>
      <c r="D155" s="80"/>
      <c r="E155" s="80"/>
      <c r="F155" s="80"/>
      <c r="G155" s="81"/>
      <c r="H155" s="58" t="e">
        <f>SUM(H152:H154)</f>
        <v>#REF!</v>
      </c>
      <c r="I155" s="183"/>
      <c r="J155" s="154"/>
      <c r="K155" s="154"/>
      <c r="L155" s="154"/>
      <c r="M155" s="119"/>
      <c r="N155" s="119"/>
      <c r="O155" s="119"/>
      <c r="P155" s="119"/>
      <c r="Q155" s="119"/>
      <c r="R155" s="119"/>
    </row>
    <row r="156" spans="2:18" ht="12.75" hidden="1" customHeight="1" x14ac:dyDescent="0.25">
      <c r="B156" s="82" t="s">
        <v>15</v>
      </c>
      <c r="C156" s="15" t="s">
        <v>35</v>
      </c>
      <c r="D156" s="15"/>
      <c r="E156" s="15"/>
      <c r="F156" s="15"/>
      <c r="G156" s="15"/>
      <c r="H156" s="15"/>
      <c r="I156" s="19"/>
      <c r="J156" s="154"/>
      <c r="K156" s="154"/>
      <c r="L156" s="154"/>
      <c r="M156" s="119"/>
      <c r="N156" s="119"/>
      <c r="O156" s="119"/>
      <c r="P156" s="119"/>
      <c r="Q156" s="119"/>
      <c r="R156" s="119"/>
    </row>
    <row r="157" spans="2:18" ht="12.75" hidden="1" customHeight="1" x14ac:dyDescent="0.25">
      <c r="B157" s="15"/>
      <c r="C157" s="15"/>
      <c r="D157" s="15"/>
      <c r="E157" s="15"/>
      <c r="F157" s="15"/>
      <c r="G157" s="15"/>
      <c r="H157" s="15"/>
      <c r="I157" s="19"/>
      <c r="J157" s="154"/>
      <c r="K157" s="154"/>
      <c r="L157" s="154"/>
      <c r="M157" s="119"/>
      <c r="N157" s="119"/>
      <c r="O157" s="119"/>
      <c r="P157" s="119"/>
      <c r="Q157" s="119"/>
      <c r="R157" s="119"/>
    </row>
    <row r="158" spans="2:18" x14ac:dyDescent="0.25">
      <c r="I158" s="19"/>
      <c r="J158" s="154"/>
      <c r="K158" s="154"/>
      <c r="L158" s="154"/>
      <c r="M158" s="119"/>
      <c r="N158" s="119"/>
      <c r="O158" s="119"/>
      <c r="P158" s="119"/>
      <c r="Q158" s="119"/>
      <c r="R158" s="119"/>
    </row>
    <row r="159" spans="2:18" x14ac:dyDescent="0.25">
      <c r="B159" s="274" t="s">
        <v>214</v>
      </c>
      <c r="C159" s="274"/>
      <c r="D159" s="274"/>
      <c r="E159" s="274"/>
      <c r="F159" s="274"/>
      <c r="I159" s="19"/>
      <c r="J159" s="172"/>
      <c r="K159" s="155"/>
      <c r="L159" s="154"/>
      <c r="M159" s="119"/>
      <c r="N159" s="119"/>
      <c r="O159" s="119"/>
      <c r="P159" s="119"/>
      <c r="Q159" s="119"/>
      <c r="R159" s="119"/>
    </row>
    <row r="160" spans="2:18" x14ac:dyDescent="0.25">
      <c r="B160" s="156"/>
      <c r="C160" s="156"/>
      <c r="D160" s="156"/>
      <c r="E160" s="140"/>
      <c r="F160" s="140"/>
      <c r="I160" s="19"/>
    </row>
    <row r="161" spans="2:14" x14ac:dyDescent="0.25">
      <c r="B161" s="275" t="s">
        <v>215</v>
      </c>
      <c r="C161" s="275"/>
      <c r="D161" s="275"/>
      <c r="E161" s="275"/>
      <c r="F161" s="275"/>
      <c r="G161" s="275"/>
      <c r="H161" s="275"/>
      <c r="I161" s="193"/>
      <c r="J161" s="172"/>
    </row>
    <row r="162" spans="2:14" x14ac:dyDescent="0.25">
      <c r="B162" s="220" t="s">
        <v>5</v>
      </c>
      <c r="C162" s="165" t="s">
        <v>123</v>
      </c>
      <c r="D162" s="267" t="s">
        <v>173</v>
      </c>
      <c r="E162" s="268"/>
      <c r="F162" s="268"/>
      <c r="G162" s="269"/>
      <c r="H162" s="12">
        <f>H137</f>
        <v>8957.4612500000039</v>
      </c>
      <c r="I162" s="190"/>
    </row>
    <row r="163" spans="2:14" ht="22.8" x14ac:dyDescent="0.25">
      <c r="B163" s="220" t="s">
        <v>6</v>
      </c>
      <c r="C163" s="164" t="s">
        <v>175</v>
      </c>
      <c r="D163" s="267" t="s">
        <v>176</v>
      </c>
      <c r="E163" s="268"/>
      <c r="F163" s="268"/>
      <c r="G163" s="269"/>
      <c r="H163" s="12">
        <f>H43+H84+H102</f>
        <v>930.89</v>
      </c>
      <c r="I163" s="184"/>
    </row>
    <row r="164" spans="2:14" ht="22.8" x14ac:dyDescent="0.25">
      <c r="B164" s="220" t="s">
        <v>7</v>
      </c>
      <c r="C164" s="188" t="s">
        <v>192</v>
      </c>
      <c r="D164" s="260" t="s">
        <v>200</v>
      </c>
      <c r="E164" s="261"/>
      <c r="F164" s="261"/>
      <c r="G164" s="262"/>
      <c r="H164" s="189">
        <f>TRUNC((H$43*$G56),2)</f>
        <v>99.07</v>
      </c>
      <c r="I164" s="190"/>
      <c r="J164" s="171"/>
    </row>
    <row r="165" spans="2:14" ht="12.75" customHeight="1" x14ac:dyDescent="0.25">
      <c r="B165" s="220" t="s">
        <v>8</v>
      </c>
      <c r="C165" s="164" t="s">
        <v>19</v>
      </c>
      <c r="D165" s="263" t="s">
        <v>185</v>
      </c>
      <c r="E165" s="264"/>
      <c r="F165" s="265"/>
      <c r="G165" s="13">
        <f>G118</f>
        <v>0.05</v>
      </c>
      <c r="H165" s="12">
        <f>TRUNC((H$163+H$164)*$G165,2)</f>
        <v>51.49</v>
      </c>
      <c r="I165" s="184"/>
      <c r="J165" s="266"/>
      <c r="K165" s="266"/>
      <c r="L165" s="266"/>
      <c r="M165" s="266"/>
      <c r="N165" s="266"/>
    </row>
    <row r="166" spans="2:14" ht="12.75" customHeight="1" x14ac:dyDescent="0.25">
      <c r="B166" s="220" t="s">
        <v>9</v>
      </c>
      <c r="C166" s="164" t="s">
        <v>4</v>
      </c>
      <c r="D166" s="263" t="s">
        <v>186</v>
      </c>
      <c r="E166" s="264"/>
      <c r="F166" s="265"/>
      <c r="G166" s="13">
        <f>G119</f>
        <v>0.1</v>
      </c>
      <c r="H166" s="12">
        <f>TRUNC((H$163+H$164+H$165)*$G166,2)</f>
        <v>108.14</v>
      </c>
      <c r="I166" s="184"/>
      <c r="J166" s="266"/>
      <c r="K166" s="266"/>
      <c r="L166" s="266"/>
      <c r="M166" s="266"/>
      <c r="N166" s="266"/>
    </row>
    <row r="167" spans="2:14" ht="12.75" customHeight="1" x14ac:dyDescent="0.25">
      <c r="B167" s="220" t="s">
        <v>10</v>
      </c>
      <c r="C167" s="164" t="s">
        <v>124</v>
      </c>
      <c r="D167" s="263" t="s">
        <v>194</v>
      </c>
      <c r="E167" s="264"/>
      <c r="F167" s="265"/>
      <c r="G167" s="13">
        <f>G121+G122+G123</f>
        <v>0.14250000000000002</v>
      </c>
      <c r="H167" s="12">
        <f>TRUNC((H$163+H$164+H$165+H$166)/(1-$G167)-(H$163+H$164+H$165+H$166),2)</f>
        <v>197.68</v>
      </c>
      <c r="I167" s="184"/>
      <c r="J167" s="266"/>
      <c r="K167" s="266"/>
      <c r="L167" s="266"/>
      <c r="M167" s="266"/>
      <c r="N167" s="266"/>
    </row>
    <row r="168" spans="2:14" ht="22.8" x14ac:dyDescent="0.25">
      <c r="B168" s="220" t="s">
        <v>11</v>
      </c>
      <c r="C168" s="226" t="s">
        <v>125</v>
      </c>
      <c r="D168" s="267" t="s">
        <v>195</v>
      </c>
      <c r="E168" s="268"/>
      <c r="F168" s="268"/>
      <c r="G168" s="269"/>
      <c r="H168" s="227">
        <f>SUM(H163:H167)</f>
        <v>1387.2700000000002</v>
      </c>
      <c r="I168" s="185"/>
    </row>
    <row r="169" spans="2:14" x14ac:dyDescent="0.25">
      <c r="B169" s="220" t="s">
        <v>174</v>
      </c>
      <c r="C169" s="213" t="s">
        <v>145</v>
      </c>
      <c r="D169" s="256" t="s">
        <v>193</v>
      </c>
      <c r="E169" s="257"/>
      <c r="F169" s="257"/>
      <c r="G169" s="258"/>
      <c r="H169" s="83">
        <f>H162-H168</f>
        <v>7570.1912500000035</v>
      </c>
      <c r="I169" s="198"/>
    </row>
    <row r="170" spans="2:14" ht="45" customHeight="1" x14ac:dyDescent="0.25">
      <c r="B170" s="259" t="s">
        <v>144</v>
      </c>
      <c r="C170" s="259"/>
      <c r="D170" s="259"/>
      <c r="E170" s="259"/>
      <c r="F170" s="259"/>
      <c r="G170" s="259"/>
      <c r="H170" s="259"/>
      <c r="I170" s="186"/>
    </row>
  </sheetData>
  <mergeCells count="142">
    <mergeCell ref="B11:B12"/>
    <mergeCell ref="C11:H11"/>
    <mergeCell ref="C12:H12"/>
    <mergeCell ref="B13:B14"/>
    <mergeCell ref="C13:H13"/>
    <mergeCell ref="C14:H14"/>
    <mergeCell ref="B2:H2"/>
    <mergeCell ref="B3:H3"/>
    <mergeCell ref="B6:F6"/>
    <mergeCell ref="G6:H6"/>
    <mergeCell ref="B8:H8"/>
    <mergeCell ref="B9:B10"/>
    <mergeCell ref="C9:H9"/>
    <mergeCell ref="C10:H10"/>
    <mergeCell ref="L29:L30"/>
    <mergeCell ref="D30:F30"/>
    <mergeCell ref="B19:B20"/>
    <mergeCell ref="C19:H19"/>
    <mergeCell ref="C20:H20"/>
    <mergeCell ref="B23:H23"/>
    <mergeCell ref="C24:F24"/>
    <mergeCell ref="D25:F25"/>
    <mergeCell ref="B15:B16"/>
    <mergeCell ref="C15:H15"/>
    <mergeCell ref="C16:H16"/>
    <mergeCell ref="B17:B18"/>
    <mergeCell ref="C17:H17"/>
    <mergeCell ref="C18:H18"/>
    <mergeCell ref="D31:F31"/>
    <mergeCell ref="C32:F32"/>
    <mergeCell ref="C33:F34"/>
    <mergeCell ref="B37:H37"/>
    <mergeCell ref="B38:H38"/>
    <mergeCell ref="B39:H39"/>
    <mergeCell ref="D26:F26"/>
    <mergeCell ref="D27:F27"/>
    <mergeCell ref="D28:F28"/>
    <mergeCell ref="D29:F29"/>
    <mergeCell ref="B49:B50"/>
    <mergeCell ref="C49:C50"/>
    <mergeCell ref="D49:D50"/>
    <mergeCell ref="C40:F40"/>
    <mergeCell ref="D41:F41"/>
    <mergeCell ref="D42:F42"/>
    <mergeCell ref="C43:F43"/>
    <mergeCell ref="B44:H44"/>
    <mergeCell ref="B45:H45"/>
    <mergeCell ref="G49:G50"/>
    <mergeCell ref="H49:H50"/>
    <mergeCell ref="J49:J50"/>
    <mergeCell ref="D51:F51"/>
    <mergeCell ref="D52:F52"/>
    <mergeCell ref="D53:F53"/>
    <mergeCell ref="C46:F46"/>
    <mergeCell ref="D47:F47"/>
    <mergeCell ref="D48:F48"/>
    <mergeCell ref="D60:G60"/>
    <mergeCell ref="J60:N60"/>
    <mergeCell ref="D61:G61"/>
    <mergeCell ref="D62:G62"/>
    <mergeCell ref="D65:G65"/>
    <mergeCell ref="C66:G66"/>
    <mergeCell ref="D54:F54"/>
    <mergeCell ref="D55:F55"/>
    <mergeCell ref="C56:F56"/>
    <mergeCell ref="B57:H57"/>
    <mergeCell ref="B58:H58"/>
    <mergeCell ref="C59:G59"/>
    <mergeCell ref="C73:G73"/>
    <mergeCell ref="B74:H74"/>
    <mergeCell ref="B76:H76"/>
    <mergeCell ref="C77:F77"/>
    <mergeCell ref="D78:F78"/>
    <mergeCell ref="D79:F79"/>
    <mergeCell ref="B67:H67"/>
    <mergeCell ref="B68:H68"/>
    <mergeCell ref="C69:G69"/>
    <mergeCell ref="D70:G70"/>
    <mergeCell ref="D71:G71"/>
    <mergeCell ref="D72:G72"/>
    <mergeCell ref="B88:H88"/>
    <mergeCell ref="C89:F89"/>
    <mergeCell ref="D90:F90"/>
    <mergeCell ref="D91:F91"/>
    <mergeCell ref="D92:G92"/>
    <mergeCell ref="C93:G93"/>
    <mergeCell ref="D80:E80"/>
    <mergeCell ref="D81:F81"/>
    <mergeCell ref="D82:E82"/>
    <mergeCell ref="D83:E83"/>
    <mergeCell ref="C84:G84"/>
    <mergeCell ref="B87:H87"/>
    <mergeCell ref="D102:G102"/>
    <mergeCell ref="D103:G103"/>
    <mergeCell ref="C104:G104"/>
    <mergeCell ref="B107:H107"/>
    <mergeCell ref="C108:G108"/>
    <mergeCell ref="B116:H116"/>
    <mergeCell ref="B95:H95"/>
    <mergeCell ref="C96:F96"/>
    <mergeCell ref="D97:F97"/>
    <mergeCell ref="C98:G98"/>
    <mergeCell ref="B100:H100"/>
    <mergeCell ref="C101:G101"/>
    <mergeCell ref="D123:F123"/>
    <mergeCell ref="D124:G124"/>
    <mergeCell ref="B126:H126"/>
    <mergeCell ref="B128:H128"/>
    <mergeCell ref="C129:G129"/>
    <mergeCell ref="D130:G130"/>
    <mergeCell ref="C117:F117"/>
    <mergeCell ref="D118:F118"/>
    <mergeCell ref="D119:F119"/>
    <mergeCell ref="D120:F120"/>
    <mergeCell ref="D121:F121"/>
    <mergeCell ref="D122:F122"/>
    <mergeCell ref="D137:G137"/>
    <mergeCell ref="B140:C140"/>
    <mergeCell ref="B141:C141"/>
    <mergeCell ref="B142:C142"/>
    <mergeCell ref="B143:C143"/>
    <mergeCell ref="B144:C144"/>
    <mergeCell ref="D131:G131"/>
    <mergeCell ref="D132:G132"/>
    <mergeCell ref="D133:G133"/>
    <mergeCell ref="D134:G134"/>
    <mergeCell ref="D135:G135"/>
    <mergeCell ref="D136:G136"/>
    <mergeCell ref="D169:G169"/>
    <mergeCell ref="B170:H170"/>
    <mergeCell ref="D164:G164"/>
    <mergeCell ref="D165:F165"/>
    <mergeCell ref="J165:N167"/>
    <mergeCell ref="D166:F166"/>
    <mergeCell ref="D167:F167"/>
    <mergeCell ref="D168:G168"/>
    <mergeCell ref="B145:C145"/>
    <mergeCell ref="B146:C146"/>
    <mergeCell ref="B159:F159"/>
    <mergeCell ref="B161:H161"/>
    <mergeCell ref="D162:G162"/>
    <mergeCell ref="D163:G163"/>
  </mergeCells>
  <dataValidations count="11">
    <dataValidation type="list" allowBlank="1" showInputMessage="1" showErrorMessage="1" sqref="G83">
      <formula1>"3,6,9,12,15"</formula1>
    </dataValidation>
    <dataValidation type="custom" allowBlank="1" showInputMessage="1" showErrorMessage="1" sqref="G120">
      <formula1>1-(G121+G122+G123)</formula1>
    </dataValidation>
    <dataValidation type="list" operator="equal" allowBlank="1" showInputMessage="1" showErrorMessage="1" errorTitle="Valor errado" error="Percentual fixo. Preencher com 40%." sqref="F80 F82">
      <formula1>"40%"</formula1>
    </dataValidation>
    <dataValidation type="whole" allowBlank="1" showInputMessage="1" showErrorMessage="1" errorTitle="Valor errado" error="Quantidade fixa de dias. Prencher com 30" sqref="G90">
      <formula1>30</formula1>
      <formula2>30</formula2>
    </dataValidation>
    <dataValidation type="list" allowBlank="1" showInputMessage="1" showErrorMessage="1" sqref="G30">
      <formula1>"0, 50%, 100%"</formula1>
    </dataValidation>
    <dataValidation type="list" allowBlank="1" showInputMessage="1" showErrorMessage="1" sqref="G121">
      <mc:AlternateContent xmlns:x12ac="http://schemas.microsoft.com/office/spreadsheetml/2011/1/ac" xmlns:mc="http://schemas.openxmlformats.org/markup-compatibility/2006">
        <mc:Choice Requires="x12ac">
          <x12ac:list>"0,65%","1,65%"</x12ac:list>
        </mc:Choice>
        <mc:Fallback>
          <formula1>"0,65%,1,65%"</formula1>
        </mc:Fallback>
      </mc:AlternateContent>
    </dataValidation>
    <dataValidation type="list" allowBlank="1" showInputMessage="1" showErrorMessage="1" sqref="G122">
      <mc:AlternateContent xmlns:x12ac="http://schemas.microsoft.com/office/spreadsheetml/2011/1/ac" xmlns:mc="http://schemas.openxmlformats.org/markup-compatibility/2006">
        <mc:Choice Requires="x12ac">
          <x12ac:list>3%," 7,6%"</x12ac:list>
        </mc:Choice>
        <mc:Fallback>
          <formula1>"3%, 7,6%"</formula1>
        </mc:Fallback>
      </mc:AlternateContent>
    </dataValidation>
    <dataValidation type="list" allowBlank="1" showInputMessage="1" showErrorMessage="1" sqref="G28:G29">
      <formula1>"0, 20%"</formula1>
    </dataValidation>
    <dataValidation type="list" allowBlank="1" showInputMessage="1" showErrorMessage="1" sqref="E50">
      <formula1>"1%, 2%, 3%"</formula1>
    </dataValidation>
    <dataValidation type="list" allowBlank="1" showInputMessage="1" showErrorMessage="1" sqref="G27">
      <formula1>"0%, 10%, 20%, 40%"</formula1>
    </dataValidation>
    <dataValidation type="list" allowBlank="1" showInputMessage="1" showErrorMessage="1" sqref="G26">
      <formula1>"0%, 30%"</formula1>
    </dataValidation>
  </dataValidations>
  <pageMargins left="0.511811024" right="0.511811024" top="0.78740157499999996" bottom="0.78740157499999996" header="0.31496062000000002" footer="0.31496062000000002"/>
  <pageSetup paperSize="9" scale="78" orientation="portrait" verticalDpi="300" r:id="rId1"/>
  <colBreaks count="1" manualBreakCount="1">
    <brk id="8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80"/>
  <sheetViews>
    <sheetView showGridLines="0" tabSelected="1" view="pageBreakPreview" zoomScale="106" zoomScaleNormal="100" zoomScaleSheetLayoutView="106" workbookViewId="0">
      <selection activeCell="A2" sqref="A2:G2"/>
    </sheetView>
  </sheetViews>
  <sheetFormatPr defaultColWidth="9.109375" defaultRowHeight="11.4" x14ac:dyDescent="0.25"/>
  <cols>
    <col min="1" max="1" width="5.33203125" style="95" customWidth="1"/>
    <col min="2" max="2" width="25.6640625" style="95" customWidth="1"/>
    <col min="3" max="3" width="14" style="95" customWidth="1"/>
    <col min="4" max="4" width="14.109375" style="95" customWidth="1"/>
    <col min="5" max="5" width="15.44140625" style="95" customWidth="1"/>
    <col min="6" max="6" width="14.88671875" style="95" customWidth="1"/>
    <col min="7" max="7" width="15.88671875" style="95" customWidth="1"/>
    <col min="8" max="10" width="15.6640625" style="95" customWidth="1"/>
    <col min="11" max="16384" width="9.109375" style="95"/>
  </cols>
  <sheetData>
    <row r="1" spans="1:12" ht="12" thickBot="1" x14ac:dyDescent="0.3"/>
    <row r="2" spans="1:12" ht="18.75" customHeight="1" thickBot="1" x14ac:dyDescent="0.3">
      <c r="A2" s="349" t="s">
        <v>228</v>
      </c>
      <c r="B2" s="350"/>
      <c r="C2" s="350"/>
      <c r="D2" s="350"/>
      <c r="E2" s="350"/>
      <c r="F2" s="350"/>
      <c r="G2" s="351"/>
      <c r="H2" s="230"/>
      <c r="I2" s="230"/>
    </row>
    <row r="4" spans="1:12" s="96" customFormat="1" ht="30" customHeight="1" x14ac:dyDescent="0.25">
      <c r="A4" s="347" t="s">
        <v>103</v>
      </c>
      <c r="B4" s="348"/>
      <c r="C4" s="246" t="s">
        <v>284</v>
      </c>
      <c r="D4" s="237" t="s">
        <v>104</v>
      </c>
      <c r="E4" s="237" t="s">
        <v>133</v>
      </c>
      <c r="F4" s="237" t="s">
        <v>134</v>
      </c>
      <c r="G4" s="237" t="s">
        <v>135</v>
      </c>
      <c r="H4" s="228"/>
      <c r="I4" s="228"/>
      <c r="K4" s="95"/>
      <c r="L4" s="95"/>
    </row>
    <row r="5" spans="1:12" ht="22.5" customHeight="1" x14ac:dyDescent="0.25">
      <c r="A5" s="6">
        <v>1</v>
      </c>
      <c r="B5" s="231" t="s">
        <v>280</v>
      </c>
      <c r="C5" s="234">
        <v>6</v>
      </c>
      <c r="D5" s="100">
        <f>(139.93+151.6)/2</f>
        <v>145.76499999999999</v>
      </c>
      <c r="E5" s="232">
        <v>2</v>
      </c>
      <c r="F5" s="238">
        <f t="shared" ref="F5:F12" si="0">SUM(D5*E5*2)</f>
        <v>583.05999999999995</v>
      </c>
      <c r="G5" s="238">
        <f>SUM(F5/12)</f>
        <v>48.588333333333331</v>
      </c>
      <c r="H5" s="229"/>
      <c r="I5" s="229"/>
    </row>
    <row r="6" spans="1:12" ht="22.5" customHeight="1" x14ac:dyDescent="0.25">
      <c r="A6" s="6">
        <v>2</v>
      </c>
      <c r="B6" s="231" t="s">
        <v>281</v>
      </c>
      <c r="C6" s="234">
        <v>6</v>
      </c>
      <c r="D6" s="100">
        <f>(127.6+138.29)/2</f>
        <v>132.94499999999999</v>
      </c>
      <c r="E6" s="232">
        <v>2</v>
      </c>
      <c r="F6" s="238">
        <f t="shared" si="0"/>
        <v>531.78</v>
      </c>
      <c r="G6" s="238">
        <f t="shared" ref="G6:G12" si="1">SUM(F6/12)</f>
        <v>44.314999999999998</v>
      </c>
      <c r="H6" s="229"/>
      <c r="I6" s="229"/>
    </row>
    <row r="7" spans="1:12" ht="22.5" customHeight="1" x14ac:dyDescent="0.25">
      <c r="A7" s="6">
        <v>3</v>
      </c>
      <c r="B7" s="231" t="s">
        <v>229</v>
      </c>
      <c r="C7" s="234">
        <v>6</v>
      </c>
      <c r="D7" s="100">
        <v>19.850000000000001</v>
      </c>
      <c r="E7" s="232">
        <v>2</v>
      </c>
      <c r="F7" s="238">
        <f t="shared" si="0"/>
        <v>79.400000000000006</v>
      </c>
      <c r="G7" s="238">
        <f t="shared" si="1"/>
        <v>6.6166666666666671</v>
      </c>
      <c r="H7" s="229"/>
      <c r="I7" s="229"/>
    </row>
    <row r="8" spans="1:12" ht="22.5" customHeight="1" x14ac:dyDescent="0.25">
      <c r="A8" s="6">
        <f t="shared" ref="A8" si="2">A7+1</f>
        <v>4</v>
      </c>
      <c r="B8" s="231" t="s">
        <v>279</v>
      </c>
      <c r="C8" s="234">
        <v>6</v>
      </c>
      <c r="D8" s="100">
        <f>(43.66+36.6)/2</f>
        <v>40.129999999999995</v>
      </c>
      <c r="E8" s="232">
        <v>1</v>
      </c>
      <c r="F8" s="238">
        <f t="shared" si="0"/>
        <v>80.259999999999991</v>
      </c>
      <c r="G8" s="238">
        <f t="shared" si="1"/>
        <v>6.6883333333333326</v>
      </c>
      <c r="H8" s="229"/>
      <c r="I8" s="229"/>
    </row>
    <row r="9" spans="1:12" ht="22.5" customHeight="1" x14ac:dyDescent="0.25">
      <c r="A9" s="6">
        <v>8</v>
      </c>
      <c r="B9" s="231" t="s">
        <v>230</v>
      </c>
      <c r="C9" s="234">
        <v>6</v>
      </c>
      <c r="D9" s="100">
        <v>116.6</v>
      </c>
      <c r="E9" s="232">
        <v>1</v>
      </c>
      <c r="F9" s="238">
        <f t="shared" si="0"/>
        <v>233.2</v>
      </c>
      <c r="G9" s="238">
        <f t="shared" si="1"/>
        <v>19.433333333333334</v>
      </c>
      <c r="H9" s="229"/>
      <c r="I9" s="229"/>
    </row>
    <row r="10" spans="1:12" ht="22.5" customHeight="1" x14ac:dyDescent="0.25">
      <c r="A10" s="6">
        <v>9</v>
      </c>
      <c r="B10" s="231" t="s">
        <v>282</v>
      </c>
      <c r="C10" s="234">
        <v>6</v>
      </c>
      <c r="D10" s="100">
        <f>(135.29+112.23)/2</f>
        <v>123.75999999999999</v>
      </c>
      <c r="E10" s="232">
        <v>2</v>
      </c>
      <c r="F10" s="238">
        <f t="shared" si="0"/>
        <v>495.03999999999996</v>
      </c>
      <c r="G10" s="238">
        <f t="shared" si="1"/>
        <v>41.25333333333333</v>
      </c>
      <c r="H10" s="229"/>
      <c r="I10" s="229"/>
    </row>
    <row r="11" spans="1:12" ht="22.5" customHeight="1" x14ac:dyDescent="0.25">
      <c r="A11" s="6">
        <v>11</v>
      </c>
      <c r="B11" s="231" t="s">
        <v>231</v>
      </c>
      <c r="C11" s="234">
        <v>6</v>
      </c>
      <c r="D11" s="100">
        <v>26.63</v>
      </c>
      <c r="E11" s="232">
        <v>2</v>
      </c>
      <c r="F11" s="238">
        <f t="shared" si="0"/>
        <v>106.52</v>
      </c>
      <c r="G11" s="238">
        <f t="shared" si="1"/>
        <v>8.8766666666666669</v>
      </c>
      <c r="H11" s="229"/>
      <c r="I11" s="229"/>
    </row>
    <row r="12" spans="1:12" ht="22.5" customHeight="1" x14ac:dyDescent="0.25">
      <c r="A12" s="6">
        <v>12</v>
      </c>
      <c r="B12" s="231" t="s">
        <v>232</v>
      </c>
      <c r="C12" s="234">
        <v>6</v>
      </c>
      <c r="D12" s="100">
        <v>23.85</v>
      </c>
      <c r="E12" s="232">
        <v>2</v>
      </c>
      <c r="F12" s="238">
        <f t="shared" si="0"/>
        <v>95.4</v>
      </c>
      <c r="G12" s="238">
        <f t="shared" si="1"/>
        <v>7.95</v>
      </c>
      <c r="H12" s="229"/>
      <c r="I12" s="229"/>
    </row>
    <row r="13" spans="1:12" ht="22.5" customHeight="1" x14ac:dyDescent="0.25">
      <c r="A13" s="97"/>
      <c r="B13" s="98"/>
      <c r="C13" s="98"/>
      <c r="D13" s="99"/>
      <c r="E13" s="99"/>
      <c r="F13" s="239">
        <f>SUM(F5:F12)</f>
        <v>2204.6600000000003</v>
      </c>
      <c r="G13" s="239">
        <f>SUM(G5:G12)</f>
        <v>183.72166666666666</v>
      </c>
    </row>
    <row r="19" spans="1:10" ht="12" thickBot="1" x14ac:dyDescent="0.3"/>
    <row r="20" spans="1:10" ht="18.75" customHeight="1" thickBot="1" x14ac:dyDescent="0.3">
      <c r="A20" s="349" t="s">
        <v>233</v>
      </c>
      <c r="B20" s="350"/>
      <c r="C20" s="350"/>
      <c r="D20" s="350"/>
      <c r="E20" s="350"/>
      <c r="F20" s="350"/>
      <c r="G20" s="350"/>
      <c r="H20" s="351"/>
      <c r="I20" s="230"/>
      <c r="J20" s="230"/>
    </row>
    <row r="22" spans="1:10" ht="22.5" customHeight="1" x14ac:dyDescent="0.25">
      <c r="A22" s="347" t="s">
        <v>103</v>
      </c>
      <c r="B22" s="348"/>
      <c r="C22" s="246" t="s">
        <v>284</v>
      </c>
      <c r="D22" s="237" t="s">
        <v>104</v>
      </c>
      <c r="E22" s="237" t="s">
        <v>133</v>
      </c>
      <c r="F22" s="237" t="s">
        <v>134</v>
      </c>
      <c r="G22" s="237" t="s">
        <v>135</v>
      </c>
    </row>
    <row r="23" spans="1:10" ht="22.5" customHeight="1" x14ac:dyDescent="0.25">
      <c r="A23" s="6">
        <v>1</v>
      </c>
      <c r="B23" s="231" t="s">
        <v>234</v>
      </c>
      <c r="C23" s="231">
        <v>6</v>
      </c>
      <c r="D23" s="100">
        <v>60.52</v>
      </c>
      <c r="E23" s="232">
        <v>2</v>
      </c>
      <c r="F23" s="238">
        <f t="shared" ref="F23:F27" si="3">SUM(D23*E23*2)</f>
        <v>242.08</v>
      </c>
      <c r="G23" s="238">
        <f>SUM(F23/12)</f>
        <v>20.173333333333336</v>
      </c>
    </row>
    <row r="24" spans="1:10" ht="22.5" customHeight="1" x14ac:dyDescent="0.25">
      <c r="A24" s="6">
        <v>2</v>
      </c>
      <c r="B24" s="231" t="s">
        <v>283</v>
      </c>
      <c r="C24" s="231">
        <v>6</v>
      </c>
      <c r="D24" s="100">
        <f>(63.26+69.93)/2</f>
        <v>66.594999999999999</v>
      </c>
      <c r="E24" s="232">
        <v>2</v>
      </c>
      <c r="F24" s="238">
        <f t="shared" si="3"/>
        <v>266.38</v>
      </c>
      <c r="G24" s="238">
        <f>SUM(F24/12)</f>
        <v>22.198333333333334</v>
      </c>
    </row>
    <row r="25" spans="1:10" ht="22.5" customHeight="1" x14ac:dyDescent="0.25">
      <c r="A25" s="6">
        <v>4</v>
      </c>
      <c r="B25" s="231" t="s">
        <v>235</v>
      </c>
      <c r="C25" s="231">
        <v>6</v>
      </c>
      <c r="D25" s="100">
        <v>15.13</v>
      </c>
      <c r="E25" s="232">
        <v>2</v>
      </c>
      <c r="F25" s="238">
        <f t="shared" si="3"/>
        <v>60.52</v>
      </c>
      <c r="G25" s="238">
        <f t="shared" ref="G25:G27" si="4">SUM(F25/12)</f>
        <v>5.0433333333333339</v>
      </c>
    </row>
    <row r="26" spans="1:10" ht="22.5" customHeight="1" x14ac:dyDescent="0.25">
      <c r="A26" s="6">
        <v>5</v>
      </c>
      <c r="B26" s="231" t="s">
        <v>236</v>
      </c>
      <c r="C26" s="231">
        <v>6</v>
      </c>
      <c r="D26" s="100">
        <v>74.650000000000006</v>
      </c>
      <c r="E26" s="232">
        <v>2</v>
      </c>
      <c r="F26" s="238">
        <f t="shared" si="3"/>
        <v>298.60000000000002</v>
      </c>
      <c r="G26" s="238">
        <f t="shared" si="4"/>
        <v>24.883333333333336</v>
      </c>
    </row>
    <row r="27" spans="1:10" ht="22.5" customHeight="1" x14ac:dyDescent="0.25">
      <c r="A27" s="6">
        <v>6</v>
      </c>
      <c r="B27" s="231" t="s">
        <v>230</v>
      </c>
      <c r="C27" s="231">
        <v>6</v>
      </c>
      <c r="D27" s="100">
        <v>116.6</v>
      </c>
      <c r="E27" s="232">
        <v>1</v>
      </c>
      <c r="F27" s="238">
        <f t="shared" si="3"/>
        <v>233.2</v>
      </c>
      <c r="G27" s="238">
        <f t="shared" si="4"/>
        <v>19.433333333333334</v>
      </c>
    </row>
    <row r="28" spans="1:10" ht="22.5" customHeight="1" x14ac:dyDescent="0.25">
      <c r="A28" s="97"/>
      <c r="B28" s="98"/>
      <c r="C28" s="98"/>
      <c r="D28" s="99"/>
      <c r="E28" s="99"/>
      <c r="F28" s="239">
        <f>SUM(F23:F27)</f>
        <v>1100.78</v>
      </c>
      <c r="G28" s="239">
        <f>SUM(G23:G27)</f>
        <v>91.731666666666683</v>
      </c>
    </row>
    <row r="30" spans="1:10" ht="12" thickBot="1" x14ac:dyDescent="0.3"/>
    <row r="31" spans="1:10" ht="15" customHeight="1" thickBot="1" x14ac:dyDescent="0.3">
      <c r="A31" s="349" t="s">
        <v>131</v>
      </c>
      <c r="B31" s="350"/>
      <c r="C31" s="350"/>
      <c r="D31" s="350"/>
      <c r="E31" s="350"/>
      <c r="F31" s="351"/>
      <c r="G31" s="247"/>
    </row>
    <row r="33" spans="1:6" ht="22.8" x14ac:dyDescent="0.25">
      <c r="A33" s="347" t="s">
        <v>103</v>
      </c>
      <c r="B33" s="348"/>
      <c r="C33" s="237" t="s">
        <v>104</v>
      </c>
      <c r="D33" s="237" t="s">
        <v>237</v>
      </c>
      <c r="E33" s="237" t="s">
        <v>134</v>
      </c>
      <c r="F33" s="237" t="s">
        <v>135</v>
      </c>
    </row>
    <row r="34" spans="1:6" ht="22.5" customHeight="1" x14ac:dyDescent="0.25">
      <c r="A34" s="6">
        <v>1</v>
      </c>
      <c r="B34" s="231" t="s">
        <v>238</v>
      </c>
      <c r="C34" s="100">
        <v>7.6</v>
      </c>
      <c r="D34" s="232">
        <v>10</v>
      </c>
      <c r="E34" s="238">
        <f t="shared" ref="E34:E65" si="5">SUM(C34*D34*12)</f>
        <v>912</v>
      </c>
      <c r="F34" s="238">
        <f>SUM(E34/12)/2</f>
        <v>38</v>
      </c>
    </row>
    <row r="35" spans="1:6" ht="22.5" customHeight="1" x14ac:dyDescent="0.25">
      <c r="A35" s="6">
        <v>2</v>
      </c>
      <c r="B35" s="231" t="s">
        <v>239</v>
      </c>
      <c r="C35" s="100">
        <v>144.77000000000001</v>
      </c>
      <c r="D35" s="232">
        <v>6</v>
      </c>
      <c r="E35" s="238">
        <f t="shared" si="5"/>
        <v>10423.440000000002</v>
      </c>
      <c r="F35" s="238">
        <f t="shared" ref="F35:F65" si="6">SUM(E35/12)/2</f>
        <v>434.31000000000012</v>
      </c>
    </row>
    <row r="36" spans="1:6" ht="22.5" customHeight="1" x14ac:dyDescent="0.25">
      <c r="A36" s="6">
        <v>3</v>
      </c>
      <c r="B36" s="231" t="s">
        <v>240</v>
      </c>
      <c r="C36" s="100">
        <v>13.71</v>
      </c>
      <c r="D36" s="232">
        <v>6</v>
      </c>
      <c r="E36" s="238">
        <f t="shared" si="5"/>
        <v>987.12000000000012</v>
      </c>
      <c r="F36" s="238">
        <f t="shared" si="6"/>
        <v>41.13</v>
      </c>
    </row>
    <row r="37" spans="1:6" ht="22.5" customHeight="1" x14ac:dyDescent="0.25">
      <c r="A37" s="6">
        <v>4</v>
      </c>
      <c r="B37" s="231" t="s">
        <v>241</v>
      </c>
      <c r="C37" s="100">
        <v>62.48</v>
      </c>
      <c r="D37" s="232">
        <v>8</v>
      </c>
      <c r="E37" s="238">
        <f t="shared" si="5"/>
        <v>5998.08</v>
      </c>
      <c r="F37" s="238">
        <f t="shared" si="6"/>
        <v>249.92</v>
      </c>
    </row>
    <row r="38" spans="1:6" ht="22.5" customHeight="1" x14ac:dyDescent="0.25">
      <c r="A38" s="6">
        <v>5</v>
      </c>
      <c r="B38" s="231" t="s">
        <v>242</v>
      </c>
      <c r="C38" s="100">
        <v>64.45</v>
      </c>
      <c r="D38" s="232">
        <v>3</v>
      </c>
      <c r="E38" s="238">
        <f t="shared" si="5"/>
        <v>2320.2000000000003</v>
      </c>
      <c r="F38" s="238">
        <f t="shared" si="6"/>
        <v>96.675000000000011</v>
      </c>
    </row>
    <row r="39" spans="1:6" ht="22.5" customHeight="1" x14ac:dyDescent="0.25">
      <c r="A39" s="6">
        <v>6</v>
      </c>
      <c r="B39" s="231" t="s">
        <v>243</v>
      </c>
      <c r="C39" s="100">
        <v>1.83</v>
      </c>
      <c r="D39" s="232">
        <v>10</v>
      </c>
      <c r="E39" s="238">
        <f t="shared" si="5"/>
        <v>219.60000000000002</v>
      </c>
      <c r="F39" s="238">
        <f t="shared" si="6"/>
        <v>9.15</v>
      </c>
    </row>
    <row r="40" spans="1:6" ht="22.5" customHeight="1" x14ac:dyDescent="0.25">
      <c r="A40" s="6">
        <v>7</v>
      </c>
      <c r="B40" s="231" t="s">
        <v>244</v>
      </c>
      <c r="C40" s="100">
        <v>1.84</v>
      </c>
      <c r="D40" s="232">
        <v>30</v>
      </c>
      <c r="E40" s="238">
        <f t="shared" si="5"/>
        <v>662.40000000000009</v>
      </c>
      <c r="F40" s="238">
        <f t="shared" si="6"/>
        <v>27.600000000000005</v>
      </c>
    </row>
    <row r="41" spans="1:6" ht="22.5" customHeight="1" x14ac:dyDescent="0.25">
      <c r="A41" s="6">
        <v>8</v>
      </c>
      <c r="B41" s="231" t="s">
        <v>245</v>
      </c>
      <c r="C41" s="100">
        <v>25.21</v>
      </c>
      <c r="D41" s="232">
        <v>6</v>
      </c>
      <c r="E41" s="238">
        <f t="shared" si="5"/>
        <v>1815.12</v>
      </c>
      <c r="F41" s="238">
        <f t="shared" si="6"/>
        <v>75.63</v>
      </c>
    </row>
    <row r="42" spans="1:6" ht="22.5" customHeight="1" x14ac:dyDescent="0.25">
      <c r="A42" s="6">
        <v>9</v>
      </c>
      <c r="B42" s="231" t="s">
        <v>246</v>
      </c>
      <c r="C42" s="100">
        <v>15.78</v>
      </c>
      <c r="D42" s="232">
        <v>4</v>
      </c>
      <c r="E42" s="238">
        <f t="shared" si="5"/>
        <v>757.43999999999994</v>
      </c>
      <c r="F42" s="238">
        <f t="shared" si="6"/>
        <v>31.56</v>
      </c>
    </row>
    <row r="43" spans="1:6" ht="22.5" customHeight="1" x14ac:dyDescent="0.25">
      <c r="A43" s="6">
        <v>10</v>
      </c>
      <c r="B43" s="231" t="s">
        <v>247</v>
      </c>
      <c r="C43" s="100">
        <v>2.93</v>
      </c>
      <c r="D43" s="232">
        <v>2</v>
      </c>
      <c r="E43" s="238">
        <f t="shared" si="5"/>
        <v>70.320000000000007</v>
      </c>
      <c r="F43" s="238">
        <f t="shared" si="6"/>
        <v>2.93</v>
      </c>
    </row>
    <row r="44" spans="1:6" ht="22.5" customHeight="1" x14ac:dyDescent="0.25">
      <c r="A44" s="6">
        <v>11</v>
      </c>
      <c r="B44" s="231" t="s">
        <v>248</v>
      </c>
      <c r="C44" s="100">
        <v>5.78</v>
      </c>
      <c r="D44" s="232">
        <v>4</v>
      </c>
      <c r="E44" s="238">
        <f t="shared" si="5"/>
        <v>277.44</v>
      </c>
      <c r="F44" s="238">
        <f t="shared" si="6"/>
        <v>11.56</v>
      </c>
    </row>
    <row r="45" spans="1:6" ht="22.5" customHeight="1" x14ac:dyDescent="0.25">
      <c r="A45" s="6">
        <v>12</v>
      </c>
      <c r="B45" s="231" t="s">
        <v>249</v>
      </c>
      <c r="C45" s="100">
        <v>4.04</v>
      </c>
      <c r="D45" s="232">
        <v>2</v>
      </c>
      <c r="E45" s="238">
        <f t="shared" si="5"/>
        <v>96.960000000000008</v>
      </c>
      <c r="F45" s="238">
        <f t="shared" si="6"/>
        <v>4.04</v>
      </c>
    </row>
    <row r="46" spans="1:6" ht="22.5" customHeight="1" x14ac:dyDescent="0.25">
      <c r="A46" s="6">
        <v>13</v>
      </c>
      <c r="B46" s="231" t="s">
        <v>250</v>
      </c>
      <c r="C46" s="100">
        <v>4.26</v>
      </c>
      <c r="D46" s="232">
        <v>15</v>
      </c>
      <c r="E46" s="238">
        <f t="shared" si="5"/>
        <v>766.8</v>
      </c>
      <c r="F46" s="238">
        <f t="shared" si="6"/>
        <v>31.95</v>
      </c>
    </row>
    <row r="47" spans="1:6" ht="22.5" customHeight="1" x14ac:dyDescent="0.25">
      <c r="A47" s="6">
        <v>14</v>
      </c>
      <c r="B47" s="231" t="s">
        <v>251</v>
      </c>
      <c r="C47" s="100">
        <v>4.8099999999999996</v>
      </c>
      <c r="D47" s="232">
        <v>15</v>
      </c>
      <c r="E47" s="238">
        <f t="shared" si="5"/>
        <v>865.8</v>
      </c>
      <c r="F47" s="238">
        <f t="shared" si="6"/>
        <v>36.074999999999996</v>
      </c>
    </row>
    <row r="48" spans="1:6" ht="22.5" customHeight="1" x14ac:dyDescent="0.25">
      <c r="A48" s="6">
        <v>15</v>
      </c>
      <c r="B48" s="231" t="s">
        <v>252</v>
      </c>
      <c r="C48" s="100">
        <v>85.77</v>
      </c>
      <c r="D48" s="232">
        <v>1</v>
      </c>
      <c r="E48" s="238">
        <f t="shared" si="5"/>
        <v>1029.24</v>
      </c>
      <c r="F48" s="238">
        <f t="shared" si="6"/>
        <v>42.884999999999998</v>
      </c>
    </row>
    <row r="49" spans="1:6" ht="22.5" customHeight="1" x14ac:dyDescent="0.25">
      <c r="A49" s="6">
        <v>16</v>
      </c>
      <c r="B49" s="231" t="s">
        <v>253</v>
      </c>
      <c r="C49" s="100">
        <v>77.78</v>
      </c>
      <c r="D49" s="232">
        <v>1</v>
      </c>
      <c r="E49" s="238">
        <f t="shared" si="5"/>
        <v>933.36</v>
      </c>
      <c r="F49" s="238">
        <f t="shared" si="6"/>
        <v>38.89</v>
      </c>
    </row>
    <row r="50" spans="1:6" ht="22.5" customHeight="1" x14ac:dyDescent="0.25">
      <c r="A50" s="6">
        <v>17</v>
      </c>
      <c r="B50" s="231" t="s">
        <v>254</v>
      </c>
      <c r="C50" s="100">
        <v>68.900000000000006</v>
      </c>
      <c r="D50" s="232">
        <v>1</v>
      </c>
      <c r="E50" s="238">
        <f t="shared" si="5"/>
        <v>826.80000000000007</v>
      </c>
      <c r="F50" s="238">
        <f t="shared" si="6"/>
        <v>34.450000000000003</v>
      </c>
    </row>
    <row r="51" spans="1:6" ht="22.5" customHeight="1" x14ac:dyDescent="0.25">
      <c r="A51" s="6">
        <v>18</v>
      </c>
      <c r="B51" s="231" t="s">
        <v>255</v>
      </c>
      <c r="C51" s="100">
        <v>76.59</v>
      </c>
      <c r="D51" s="232">
        <v>1</v>
      </c>
      <c r="E51" s="238">
        <f t="shared" si="5"/>
        <v>919.08</v>
      </c>
      <c r="F51" s="238">
        <f t="shared" si="6"/>
        <v>38.295000000000002</v>
      </c>
    </row>
    <row r="52" spans="1:6" ht="22.5" customHeight="1" x14ac:dyDescent="0.25">
      <c r="A52" s="6">
        <v>19</v>
      </c>
      <c r="B52" s="231" t="s">
        <v>256</v>
      </c>
      <c r="C52" s="100">
        <v>91.9</v>
      </c>
      <c r="D52" s="232">
        <v>1</v>
      </c>
      <c r="E52" s="238">
        <f t="shared" si="5"/>
        <v>1102.8000000000002</v>
      </c>
      <c r="F52" s="238">
        <f t="shared" si="6"/>
        <v>45.95000000000001</v>
      </c>
    </row>
    <row r="53" spans="1:6" ht="22.5" customHeight="1" x14ac:dyDescent="0.25">
      <c r="A53" s="6">
        <v>20</v>
      </c>
      <c r="B53" s="231" t="s">
        <v>257</v>
      </c>
      <c r="C53" s="100">
        <v>31.16</v>
      </c>
      <c r="D53" s="232">
        <v>4</v>
      </c>
      <c r="E53" s="238">
        <f t="shared" si="5"/>
        <v>1495.68</v>
      </c>
      <c r="F53" s="238">
        <f t="shared" si="6"/>
        <v>62.32</v>
      </c>
    </row>
    <row r="54" spans="1:6" s="245" customFormat="1" ht="22.5" customHeight="1" x14ac:dyDescent="0.25">
      <c r="A54" s="240">
        <v>21</v>
      </c>
      <c r="B54" s="241" t="s">
        <v>258</v>
      </c>
      <c r="C54" s="242">
        <v>3.9</v>
      </c>
      <c r="D54" s="243">
        <v>2</v>
      </c>
      <c r="E54" s="244">
        <f t="shared" si="5"/>
        <v>93.6</v>
      </c>
      <c r="F54" s="238">
        <f t="shared" si="6"/>
        <v>3.9</v>
      </c>
    </row>
    <row r="55" spans="1:6" ht="22.5" customHeight="1" x14ac:dyDescent="0.25">
      <c r="A55" s="6">
        <v>22</v>
      </c>
      <c r="B55" s="231" t="s">
        <v>259</v>
      </c>
      <c r="C55" s="100">
        <v>3.27</v>
      </c>
      <c r="D55" s="232">
        <v>4</v>
      </c>
      <c r="E55" s="238">
        <f t="shared" si="5"/>
        <v>156.96</v>
      </c>
      <c r="F55" s="238">
        <f t="shared" si="6"/>
        <v>6.54</v>
      </c>
    </row>
    <row r="56" spans="1:6" ht="22.5" customHeight="1" x14ac:dyDescent="0.25">
      <c r="A56" s="6">
        <v>23</v>
      </c>
      <c r="B56" s="231" t="s">
        <v>260</v>
      </c>
      <c r="C56" s="100">
        <v>37.549999999999997</v>
      </c>
      <c r="D56" s="232">
        <v>1</v>
      </c>
      <c r="E56" s="238">
        <f t="shared" si="5"/>
        <v>450.59999999999997</v>
      </c>
      <c r="F56" s="238">
        <f t="shared" si="6"/>
        <v>18.774999999999999</v>
      </c>
    </row>
    <row r="57" spans="1:6" ht="22.5" customHeight="1" x14ac:dyDescent="0.25">
      <c r="A57" s="6">
        <v>24</v>
      </c>
      <c r="B57" s="231" t="s">
        <v>261</v>
      </c>
      <c r="C57" s="100">
        <v>4.17</v>
      </c>
      <c r="D57" s="232">
        <v>4</v>
      </c>
      <c r="E57" s="238">
        <f t="shared" si="5"/>
        <v>200.16</v>
      </c>
      <c r="F57" s="238">
        <f t="shared" si="6"/>
        <v>8.34</v>
      </c>
    </row>
    <row r="58" spans="1:6" ht="22.5" customHeight="1" x14ac:dyDescent="0.25">
      <c r="A58" s="6">
        <v>25</v>
      </c>
      <c r="B58" s="231" t="s">
        <v>262</v>
      </c>
      <c r="C58" s="100">
        <v>7.56</v>
      </c>
      <c r="D58" s="232">
        <v>5</v>
      </c>
      <c r="E58" s="238">
        <f t="shared" si="5"/>
        <v>453.59999999999997</v>
      </c>
      <c r="F58" s="238">
        <f t="shared" si="6"/>
        <v>18.899999999999999</v>
      </c>
    </row>
    <row r="59" spans="1:6" ht="22.5" customHeight="1" x14ac:dyDescent="0.25">
      <c r="A59" s="6">
        <v>26</v>
      </c>
      <c r="B59" s="231" t="s">
        <v>263</v>
      </c>
      <c r="C59" s="100">
        <v>5.67</v>
      </c>
      <c r="D59" s="232">
        <v>2</v>
      </c>
      <c r="E59" s="238">
        <f t="shared" si="5"/>
        <v>136.07999999999998</v>
      </c>
      <c r="F59" s="238">
        <f t="shared" si="6"/>
        <v>5.669999999999999</v>
      </c>
    </row>
    <row r="60" spans="1:6" ht="22.5" customHeight="1" x14ac:dyDescent="0.25">
      <c r="A60" s="6">
        <v>27</v>
      </c>
      <c r="B60" s="231" t="s">
        <v>264</v>
      </c>
      <c r="C60" s="100">
        <v>157.59</v>
      </c>
      <c r="D60" s="232">
        <v>5</v>
      </c>
      <c r="E60" s="238">
        <f t="shared" si="5"/>
        <v>9455.4000000000015</v>
      </c>
      <c r="F60" s="238">
        <f t="shared" si="6"/>
        <v>393.97500000000008</v>
      </c>
    </row>
    <row r="61" spans="1:6" ht="22.5" customHeight="1" x14ac:dyDescent="0.25">
      <c r="A61" s="6">
        <v>28</v>
      </c>
      <c r="B61" s="231" t="s">
        <v>265</v>
      </c>
      <c r="C61" s="100">
        <v>113.1</v>
      </c>
      <c r="D61" s="232">
        <v>15</v>
      </c>
      <c r="E61" s="238">
        <f t="shared" si="5"/>
        <v>20358</v>
      </c>
      <c r="F61" s="238">
        <f t="shared" si="6"/>
        <v>848.25</v>
      </c>
    </row>
    <row r="62" spans="1:6" ht="22.5" customHeight="1" x14ac:dyDescent="0.25">
      <c r="A62" s="6">
        <v>29</v>
      </c>
      <c r="B62" s="231" t="s">
        <v>266</v>
      </c>
      <c r="C62" s="100">
        <v>20.03</v>
      </c>
      <c r="D62" s="232">
        <v>6</v>
      </c>
      <c r="E62" s="238">
        <f t="shared" si="5"/>
        <v>1442.16</v>
      </c>
      <c r="F62" s="238">
        <f t="shared" si="6"/>
        <v>60.09</v>
      </c>
    </row>
    <row r="63" spans="1:6" ht="22.5" customHeight="1" x14ac:dyDescent="0.25">
      <c r="A63" s="6">
        <v>30</v>
      </c>
      <c r="B63" s="231" t="s">
        <v>267</v>
      </c>
      <c r="C63" s="100">
        <v>17.57</v>
      </c>
      <c r="D63" s="232">
        <v>15</v>
      </c>
      <c r="E63" s="238">
        <f t="shared" si="5"/>
        <v>3162.6000000000004</v>
      </c>
      <c r="F63" s="238">
        <f t="shared" si="6"/>
        <v>131.77500000000001</v>
      </c>
    </row>
    <row r="64" spans="1:6" ht="22.5" customHeight="1" x14ac:dyDescent="0.25">
      <c r="A64" s="6">
        <v>31</v>
      </c>
      <c r="B64" s="231" t="s">
        <v>268</v>
      </c>
      <c r="C64" s="100">
        <v>4.62</v>
      </c>
      <c r="D64" s="232">
        <v>5</v>
      </c>
      <c r="E64" s="238">
        <f t="shared" si="5"/>
        <v>277.20000000000005</v>
      </c>
      <c r="F64" s="238">
        <f t="shared" si="6"/>
        <v>11.550000000000002</v>
      </c>
    </row>
    <row r="65" spans="1:7" ht="22.5" customHeight="1" x14ac:dyDescent="0.25">
      <c r="A65" s="6">
        <v>32</v>
      </c>
      <c r="B65" s="231" t="s">
        <v>269</v>
      </c>
      <c r="C65" s="100">
        <v>5.97</v>
      </c>
      <c r="D65" s="232">
        <v>1</v>
      </c>
      <c r="E65" s="238">
        <f t="shared" si="5"/>
        <v>71.64</v>
      </c>
      <c r="F65" s="238">
        <f t="shared" si="6"/>
        <v>2.9849999999999999</v>
      </c>
    </row>
    <row r="66" spans="1:7" ht="22.5" customHeight="1" x14ac:dyDescent="0.25">
      <c r="A66" s="97"/>
      <c r="B66" s="98"/>
      <c r="C66" s="99"/>
      <c r="D66" s="99"/>
      <c r="E66" s="239">
        <f>SUM(E34:E65)</f>
        <v>68737.680000000008</v>
      </c>
      <c r="F66" s="239">
        <f>SUM(F34:F65)</f>
        <v>2864.0700000000011</v>
      </c>
    </row>
    <row r="69" spans="1:7" x14ac:dyDescent="0.25">
      <c r="A69" s="352" t="s">
        <v>132</v>
      </c>
      <c r="B69" s="352"/>
      <c r="C69" s="352"/>
      <c r="D69" s="352"/>
      <c r="E69" s="352"/>
      <c r="F69" s="352"/>
      <c r="G69" s="352"/>
    </row>
    <row r="71" spans="1:7" ht="22.8" x14ac:dyDescent="0.25">
      <c r="A71" s="347" t="s">
        <v>103</v>
      </c>
      <c r="B71" s="348"/>
      <c r="C71" s="246" t="s">
        <v>284</v>
      </c>
      <c r="D71" s="237" t="s">
        <v>104</v>
      </c>
      <c r="E71" s="237" t="s">
        <v>270</v>
      </c>
      <c r="F71" s="237" t="s">
        <v>134</v>
      </c>
      <c r="G71" s="237" t="s">
        <v>135</v>
      </c>
    </row>
    <row r="72" spans="1:7" ht="22.5" customHeight="1" x14ac:dyDescent="0.25">
      <c r="A72" s="6">
        <v>1</v>
      </c>
      <c r="B72" s="231" t="s">
        <v>271</v>
      </c>
      <c r="C72" s="234">
        <v>12</v>
      </c>
      <c r="D72" s="100">
        <v>264.93</v>
      </c>
      <c r="E72" s="232">
        <v>2</v>
      </c>
      <c r="F72" s="238">
        <f>SUM(D72*E72)</f>
        <v>529.86</v>
      </c>
      <c r="G72" s="238">
        <f>SUM(F72/12)/2</f>
        <v>22.077500000000001</v>
      </c>
    </row>
    <row r="73" spans="1:7" ht="22.5" customHeight="1" x14ac:dyDescent="0.25">
      <c r="A73" s="6">
        <v>2</v>
      </c>
      <c r="B73" s="231" t="s">
        <v>272</v>
      </c>
      <c r="C73" s="234">
        <v>12</v>
      </c>
      <c r="D73" s="100">
        <v>746.78</v>
      </c>
      <c r="E73" s="232">
        <v>1</v>
      </c>
      <c r="F73" s="238">
        <f t="shared" ref="F73:F79" si="7">SUM(D73*E73)</f>
        <v>746.78</v>
      </c>
      <c r="G73" s="238">
        <f t="shared" ref="G73:G79" si="8">SUM(F73/12)/2</f>
        <v>31.115833333333331</v>
      </c>
    </row>
    <row r="74" spans="1:7" ht="22.5" customHeight="1" x14ac:dyDescent="0.25">
      <c r="A74" s="6">
        <v>3</v>
      </c>
      <c r="B74" s="231" t="s">
        <v>273</v>
      </c>
      <c r="C74" s="234">
        <v>12</v>
      </c>
      <c r="D74" s="100">
        <v>115.94</v>
      </c>
      <c r="E74" s="232">
        <v>2</v>
      </c>
      <c r="F74" s="238">
        <f t="shared" si="7"/>
        <v>231.88</v>
      </c>
      <c r="G74" s="238">
        <f t="shared" si="8"/>
        <v>9.6616666666666671</v>
      </c>
    </row>
    <row r="75" spans="1:7" ht="22.5" customHeight="1" x14ac:dyDescent="0.25">
      <c r="A75" s="6">
        <v>4</v>
      </c>
      <c r="B75" s="231" t="s">
        <v>274</v>
      </c>
      <c r="C75" s="234">
        <v>12</v>
      </c>
      <c r="D75" s="100">
        <v>19.489999999999998</v>
      </c>
      <c r="E75" s="232">
        <v>2</v>
      </c>
      <c r="F75" s="238">
        <f t="shared" si="7"/>
        <v>38.979999999999997</v>
      </c>
      <c r="G75" s="238">
        <f t="shared" si="8"/>
        <v>1.6241666666666665</v>
      </c>
    </row>
    <row r="76" spans="1:7" ht="22.5" customHeight="1" x14ac:dyDescent="0.25">
      <c r="A76" s="6">
        <v>5</v>
      </c>
      <c r="B76" s="231" t="s">
        <v>275</v>
      </c>
      <c r="C76" s="234">
        <v>12</v>
      </c>
      <c r="D76" s="100">
        <v>24.29</v>
      </c>
      <c r="E76" s="232">
        <v>2</v>
      </c>
      <c r="F76" s="238">
        <f t="shared" si="7"/>
        <v>48.58</v>
      </c>
      <c r="G76" s="238">
        <f t="shared" si="8"/>
        <v>2.0241666666666664</v>
      </c>
    </row>
    <row r="77" spans="1:7" ht="22.5" customHeight="1" x14ac:dyDescent="0.25">
      <c r="A77" s="6">
        <v>6</v>
      </c>
      <c r="B77" s="231" t="s">
        <v>276</v>
      </c>
      <c r="C77" s="234">
        <v>12</v>
      </c>
      <c r="D77" s="100">
        <v>36.44</v>
      </c>
      <c r="E77" s="232">
        <v>5</v>
      </c>
      <c r="F77" s="238">
        <f t="shared" si="7"/>
        <v>182.2</v>
      </c>
      <c r="G77" s="238">
        <f t="shared" si="8"/>
        <v>7.5916666666666659</v>
      </c>
    </row>
    <row r="78" spans="1:7" ht="22.5" customHeight="1" x14ac:dyDescent="0.25">
      <c r="A78" s="6">
        <v>7</v>
      </c>
      <c r="B78" s="231" t="s">
        <v>277</v>
      </c>
      <c r="C78" s="234">
        <v>12</v>
      </c>
      <c r="D78" s="100">
        <v>22.99</v>
      </c>
      <c r="E78" s="232">
        <v>1</v>
      </c>
      <c r="F78" s="238">
        <f t="shared" si="7"/>
        <v>22.99</v>
      </c>
      <c r="G78" s="238">
        <f t="shared" si="8"/>
        <v>0.95791666666666664</v>
      </c>
    </row>
    <row r="79" spans="1:7" ht="22.5" customHeight="1" x14ac:dyDescent="0.25">
      <c r="A79" s="6">
        <v>8</v>
      </c>
      <c r="B79" s="231" t="s">
        <v>278</v>
      </c>
      <c r="C79" s="234">
        <v>12</v>
      </c>
      <c r="D79" s="100">
        <v>54.18</v>
      </c>
      <c r="E79" s="232">
        <v>2</v>
      </c>
      <c r="F79" s="238">
        <f t="shared" si="7"/>
        <v>108.36</v>
      </c>
      <c r="G79" s="238">
        <f t="shared" si="8"/>
        <v>4.5149999999999997</v>
      </c>
    </row>
    <row r="80" spans="1:7" ht="22.5" customHeight="1" x14ac:dyDescent="0.25">
      <c r="A80" s="97"/>
      <c r="B80" s="98"/>
      <c r="C80" s="98"/>
      <c r="D80" s="99"/>
      <c r="E80" s="99"/>
      <c r="F80" s="239">
        <f>SUM(F72:F79)</f>
        <v>1909.6299999999999</v>
      </c>
      <c r="G80" s="239">
        <f>SUM(G72:G79)</f>
        <v>79.567916666666662</v>
      </c>
    </row>
  </sheetData>
  <mergeCells count="8">
    <mergeCell ref="A2:G2"/>
    <mergeCell ref="A20:H20"/>
    <mergeCell ref="A69:G69"/>
    <mergeCell ref="A71:B71"/>
    <mergeCell ref="A4:B4"/>
    <mergeCell ref="A22:B22"/>
    <mergeCell ref="A31:F31"/>
    <mergeCell ref="A33:B33"/>
  </mergeCells>
  <pageMargins left="0.511811024" right="0.511811024" top="0.78740157499999996" bottom="0.78740157499999996" header="0.31496062000000002" footer="0.31496062000000002"/>
  <pageSetup paperSize="9" scale="89" orientation="portrait" r:id="rId1"/>
  <rowBreaks count="1" manualBreakCount="1">
    <brk id="29" max="16383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Quadro resumo</vt:lpstr>
      <vt:lpstr>Copeira</vt:lpstr>
      <vt:lpstr>ASG</vt:lpstr>
      <vt:lpstr>Insumos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</dc:creator>
  <cp:lastModifiedBy>Sonia de Bessa Alves</cp:lastModifiedBy>
  <cp:lastPrinted>2022-10-19T12:36:32Z</cp:lastPrinted>
  <dcterms:created xsi:type="dcterms:W3CDTF">2010-12-08T17:56:29Z</dcterms:created>
  <dcterms:modified xsi:type="dcterms:W3CDTF">2022-10-27T15:59:04Z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