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CAD\2022\Transporte - RC 5209\"/>
    </mc:Choice>
  </mc:AlternateContent>
  <bookViews>
    <workbookView xWindow="0" yWindow="0" windowWidth="21000" windowHeight="10425" tabRatio="877"/>
  </bookViews>
  <sheets>
    <sheet name="Quadro resumo" sheetId="29" r:id="rId1"/>
    <sheet name="Planilha de custos" sheetId="27" r:id="rId2"/>
    <sheet name="Insumos" sheetId="23" r:id="rId3"/>
  </sheets>
  <definedNames>
    <definedName name="_xlnm.Print_Area" localSheetId="2">Insumos!$A$2:$H$29</definedName>
    <definedName name="_xlnm.Print_Area" localSheetId="1">'Planilha de custos'!$B$2:$H$173</definedName>
    <definedName name="_xlnm.Print_Area" localSheetId="0">'Quadro resumo'!$B$1:$H$26</definedName>
  </definedNames>
  <calcPr calcId="162913" iterateDelta="1E-4"/>
</workbook>
</file>

<file path=xl/calcChain.xml><?xml version="1.0" encoding="utf-8"?>
<calcChain xmlns="http://schemas.openxmlformats.org/spreadsheetml/2006/main">
  <c r="H173" i="27" l="1"/>
  <c r="F11" i="29" s="1"/>
  <c r="G11" i="29" s="1"/>
  <c r="H11" i="29" s="1"/>
  <c r="F9" i="23" l="1"/>
  <c r="G9" i="23"/>
  <c r="F28" i="23" l="1"/>
  <c r="G28" i="23" s="1"/>
  <c r="G29" i="23" s="1"/>
  <c r="H109" i="27" s="1"/>
  <c r="F7" i="23" l="1"/>
  <c r="G7" i="23" s="1"/>
  <c r="F8" i="23"/>
  <c r="G8" i="23" s="1"/>
  <c r="F10" i="23"/>
  <c r="G10" i="23" s="1"/>
  <c r="H60" i="27" l="1"/>
  <c r="H59" i="27" l="1"/>
  <c r="G164" i="27" l="1"/>
  <c r="G163" i="27"/>
  <c r="G162" i="27"/>
  <c r="H150" i="27"/>
  <c r="H144" i="27"/>
  <c r="G117" i="27"/>
  <c r="H63" i="27"/>
  <c r="H69" i="27" s="1"/>
  <c r="G48" i="27"/>
  <c r="G55" i="27" s="1"/>
  <c r="G41" i="27"/>
  <c r="G40" i="27"/>
  <c r="H27" i="27"/>
  <c r="H26" i="27"/>
  <c r="H33" i="27" l="1"/>
  <c r="H29" i="27" s="1"/>
  <c r="H28" i="27"/>
  <c r="G42" i="27"/>
  <c r="H31" i="27" l="1"/>
  <c r="H40" i="27" s="1"/>
  <c r="H41" i="27" l="1"/>
  <c r="H42" i="27" s="1"/>
  <c r="H127" i="27"/>
  <c r="H161" i="27" l="1"/>
  <c r="H52" i="27"/>
  <c r="H51" i="27"/>
  <c r="H50" i="27"/>
  <c r="H54" i="27"/>
  <c r="H76" i="27" s="1"/>
  <c r="H47" i="27"/>
  <c r="H53" i="27"/>
  <c r="H48" i="27"/>
  <c r="H67" i="27"/>
  <c r="H46" i="27"/>
  <c r="H79" i="27" l="1"/>
  <c r="H78" i="27" s="1"/>
  <c r="H77" i="27"/>
  <c r="H75" i="27" s="1"/>
  <c r="H55" i="27"/>
  <c r="H80" i="27" s="1"/>
  <c r="H68" i="27" l="1"/>
  <c r="H70" i="27" s="1"/>
  <c r="H81" i="27"/>
  <c r="H94" i="27" l="1"/>
  <c r="H95" i="27" s="1"/>
  <c r="H128" i="27"/>
  <c r="H89" i="27"/>
  <c r="H88" i="27" s="1"/>
  <c r="H129" i="27"/>
  <c r="H100" i="27" l="1"/>
  <c r="H87" i="27"/>
  <c r="H90" i="27" s="1"/>
  <c r="H99" i="27" s="1"/>
  <c r="H160" i="27" l="1"/>
  <c r="H101" i="27"/>
  <c r="H130" i="27" s="1"/>
  <c r="H162" i="27" l="1"/>
  <c r="H163" i="27" l="1"/>
  <c r="H164" i="27" s="1"/>
  <c r="H165" i="27" s="1"/>
  <c r="G19" i="23"/>
  <c r="H19" i="23" s="1"/>
  <c r="G20" i="23" l="1"/>
  <c r="F6" i="23" l="1"/>
  <c r="G6" i="23" s="1"/>
  <c r="F5" i="23"/>
  <c r="G5" i="23" s="1"/>
  <c r="H20" i="23"/>
  <c r="A20" i="23"/>
  <c r="A6" i="23"/>
  <c r="A7" i="23" s="1"/>
  <c r="A8" i="23" s="1"/>
  <c r="H21" i="23" l="1"/>
  <c r="G11" i="23"/>
  <c r="H106" i="27"/>
  <c r="H108" i="27" l="1"/>
  <c r="H110" i="27" s="1"/>
  <c r="H131" i="27" s="1"/>
  <c r="H132" i="27" s="1"/>
  <c r="H115" i="27" l="1"/>
  <c r="H116" i="27" s="1"/>
  <c r="H117" i="27" l="1"/>
  <c r="H120" i="27" l="1"/>
  <c r="H118" i="27"/>
  <c r="H119" i="27"/>
  <c r="H149" i="27" l="1"/>
  <c r="H152" i="27" s="1"/>
  <c r="H121" i="27"/>
  <c r="H151" i="27" l="1"/>
  <c r="H133" i="27"/>
  <c r="H134" i="27" l="1"/>
  <c r="F10" i="29" s="1"/>
  <c r="G10" i="29" s="1"/>
  <c r="H159" i="27" l="1"/>
  <c r="H166" i="27" l="1"/>
  <c r="H10" i="29" l="1"/>
  <c r="H12" i="29" s="1"/>
  <c r="H13" i="29" s="1"/>
  <c r="G12" i="29"/>
</calcChain>
</file>

<file path=xl/comments1.xml><?xml version="1.0" encoding="utf-8"?>
<comments xmlns="http://schemas.openxmlformats.org/spreadsheetml/2006/main">
  <authors>
    <author>michelly</author>
    <author>Felipe Mazza Mascarenhas</author>
  </authors>
  <commentList>
    <comment ref="B23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29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8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0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4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6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8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8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0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7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8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<sst xmlns="http://schemas.openxmlformats.org/spreadsheetml/2006/main" count="354" uniqueCount="245">
  <si>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</si>
  <si>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</si>
  <si>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</si>
  <si>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</si>
  <si>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</si>
  <si>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</si>
  <si>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</si>
  <si>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</si>
  <si>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</si>
  <si>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</si>
  <si>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</si>
  <si>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</si>
  <si>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</si>
  <si>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</si>
  <si>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</si>
  <si>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</si>
  <si>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</si>
  <si>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</si>
  <si>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</si>
  <si>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</si>
  <si>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</si>
  <si>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</si>
  <si>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</si>
  <si>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</si>
  <si>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</si>
  <si>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</si>
  <si>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</si>
  <si>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</si>
  <si>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</si>
  <si>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</si>
  <si>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</si>
  <si>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</si>
  <si>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</si>
  <si>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</si>
  <si>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</si>
  <si>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</si>
  <si>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</si>
  <si>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</si>
  <si>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</si>
  <si>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</si>
  <si>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</si>
  <si>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</si>
  <si>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</si>
  <si>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</si>
  <si>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</si>
  <si>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</si>
  <si>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</si>
  <si>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</si>
  <si>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</si>
  <si>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</si>
  <si>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</si>
  <si>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</si>
  <si>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</si>
  <si>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</si>
  <si>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</si>
  <si>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</si>
  <si>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</si>
  <si>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</si>
  <si>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</si>
  <si>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</si>
  <si>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</si>
  <si>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</si>
  <si>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</si>
  <si>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</si>
  <si>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</si>
  <si>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</si>
  <si>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</si>
  <si>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</si>
  <si>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</si>
  <si>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</si>
  <si>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</si>
  <si>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</si>
  <si>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</si>
  <si>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</si>
  <si>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</si>
  <si>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</si>
  <si>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</si>
  <si>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</si>
  <si>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</si>
  <si>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</si>
  <si>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</si>
  <si>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</si>
  <si>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</si>
  <si>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</si>
  <si>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</si>
  <si>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</si>
  <si>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</si>
  <si>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</si>
  <si>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</si>
  <si>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</si>
  <si>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</si>
  <si>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</si>
  <si>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</si>
  <si>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</si>
  <si>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</si>
  <si>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</si>
  <si>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</si>
  <si>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</si>
  <si>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</si>
  <si>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</si>
  <si>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</si>
  <si>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</si>
  <si>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</si>
  <si>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Item</t>
  </si>
  <si>
    <t>Custo Unitário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</si>
  <si>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</si>
  <si>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</si>
  <si>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</si>
  <si>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</si>
  <si>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</si>
  <si>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</si>
  <si>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</si>
  <si>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</si>
  <si>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</si>
  <si>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Registro Eletrônico de Ponto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</si>
  <si>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</si>
  <si>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</si>
  <si>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</si>
  <si>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</si>
  <si>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</si>
  <si>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</si>
  <si>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</si>
  <si>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</si>
  <si>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</si>
  <si>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</si>
  <si>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</si>
  <si>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</si>
  <si>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</si>
  <si>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</si>
  <si>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</si>
  <si>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</si>
  <si>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</si>
  <si>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</si>
  <si>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Vida Útil (meses)</t>
  </si>
  <si>
    <t>CUSTO TOTAL MENSAL</t>
  </si>
  <si>
    <t>EQUIPAMENTOS</t>
  </si>
  <si>
    <t>Investimento</t>
  </si>
  <si>
    <t>Nº de Mudas por posto</t>
  </si>
  <si>
    <t>Custo anual por posto</t>
  </si>
  <si>
    <t>Custo mensal por posto</t>
  </si>
  <si>
    <t>Quant. por posto</t>
  </si>
  <si>
    <t>BASE DE CÁLCULO DOS TRIBUTOS</t>
  </si>
  <si>
    <t>Mão de Obra vinculada à execução contratual (valor por posto)</t>
  </si>
  <si>
    <t>Memória de cálculo da hora extra</t>
  </si>
  <si>
    <t>Quant. mensal</t>
  </si>
  <si>
    <t>Quant. de postos</t>
  </si>
  <si>
    <t>Quant. de equipamentos</t>
  </si>
  <si>
    <t>Valor da hora extra</t>
  </si>
  <si>
    <t>Anexo II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</si>
  <si>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</si>
  <si>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</si>
  <si>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</si>
  <si>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</si>
  <si>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</si>
  <si>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</si>
  <si>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</si>
  <si>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</si>
  <si>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</si>
  <si>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</si>
  <si>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</si>
  <si>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</si>
  <si>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</si>
  <si>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</si>
  <si>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</si>
  <si>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</si>
  <si>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</si>
  <si>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</si>
  <si>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</si>
  <si>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</si>
  <si>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</si>
  <si>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</si>
  <si>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</si>
  <si>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</si>
  <si>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</si>
  <si>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</si>
  <si>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</si>
  <si>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</si>
  <si>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</si>
  <si>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</si>
  <si>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</si>
  <si>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</si>
  <si>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</si>
  <si>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</si>
  <si>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</si>
  <si>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t>7.F + 7.G</t>
  </si>
  <si>
    <t>7.A + 7.B + 7.C + 7.D + 7.E</t>
  </si>
  <si>
    <t>2.2.H x 40%</t>
  </si>
  <si>
    <t>Encargos Previdenciários, FGTS e outras contribuições</t>
  </si>
  <si>
    <t>8.A - 8.G</t>
  </si>
  <si>
    <t>8.B + 8.C + 8.D + 8.E + 8.F</t>
  </si>
  <si>
    <t>Aviso Prévio - Lei nº 12.506/2011, Art. 1º</t>
  </si>
  <si>
    <t>(Tot.1 + Tot.2.1 + 2.2.H + Tot.2.3 - 2.3.A) ÷ 12 meses</t>
  </si>
  <si>
    <t>Tot. 2.1 x Encargos % 2.2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</si>
  <si>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</si>
  <si>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</si>
  <si>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</si>
  <si>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</si>
  <si>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</si>
  <si>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</si>
  <si>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</si>
  <si>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Prazo de depreciação do equipamento (meses)</t>
  </si>
  <si>
    <r>
      <t>OBJETO:</t>
    </r>
    <r>
      <rPr>
        <sz val="9"/>
        <rFont val="Tahoma"/>
        <family val="2"/>
      </rPr>
      <t xml:space="preserve"> Contratação de serviços de transporte executivo, com dedicação exclusiva, para atender o escritório da Finep Rio de Janeiro.</t>
    </r>
  </si>
  <si>
    <t>Motoristas</t>
  </si>
  <si>
    <t>Plano odontológico</t>
  </si>
  <si>
    <t>Terno</t>
  </si>
  <si>
    <t xml:space="preserve">Gravata </t>
  </si>
  <si>
    <t>Camisa social</t>
  </si>
  <si>
    <t>Par de meias</t>
  </si>
  <si>
    <t>Sapato social</t>
  </si>
  <si>
    <t>Smartphone</t>
  </si>
  <si>
    <t>Plano telefonia (100 minutos) c/ internet (5Gb)</t>
  </si>
  <si>
    <t>Plano telefonia c/internet</t>
  </si>
  <si>
    <t>-</t>
  </si>
  <si>
    <t>Cinto</t>
  </si>
  <si>
    <t>A contar do dia da sessão de recebimento da mesma (observar o subitem 5.5 do Edital).</t>
  </si>
  <si>
    <t>Quantidade</t>
  </si>
  <si>
    <t xml:space="preserve">Locação do veículo </t>
  </si>
  <si>
    <t>Serviço de transporte executivo, com motorista, sob regime de dedicação exclusiva.</t>
  </si>
  <si>
    <t>VALOR TOTAL GLOBAL</t>
  </si>
  <si>
    <t>Módulo 7 - QUADRO-RESUMO DO CUSTO POR EMPREGADO</t>
  </si>
  <si>
    <t>CUSTO POR EMPREGADO</t>
  </si>
  <si>
    <t>PAGAMENTO MÍNIMO MENSAL SEM FATO GERADOR E/OU OUTRAS OCORRÊNCIAS</t>
  </si>
  <si>
    <t>Módulo 8- QUADRO-RESUMO DO PAGAMENTO MENSAL SEM FATO GERADOR E/OU OUTRAS OCORRÊNCIAS</t>
  </si>
  <si>
    <t>LOCAÇÃO DO VEÍCULO</t>
  </si>
  <si>
    <t>Módulo 9 - QUADRO-RESUMO DA LOCAÇÃO DO VEÍCULO</t>
  </si>
  <si>
    <t>Tot.9</t>
  </si>
  <si>
    <t xml:space="preserve">Motoristas </t>
  </si>
  <si>
    <t>Total (unitário)</t>
  </si>
  <si>
    <t>TELEFONE C/ INTERNET</t>
  </si>
  <si>
    <t>Locação do veículo (locação, combustível, manutenção, seguro, IPVA, etc.)</t>
  </si>
  <si>
    <t xml:space="preserve">{[(1.A + 1.B + 1.C) ÷ 220h] x 44 h} x 50% </t>
  </si>
  <si>
    <r>
      <t xml:space="preserve">(3.B + 3.C) x </t>
    </r>
    <r>
      <rPr>
        <sz val="8"/>
        <color rgb="FFFF0000"/>
        <rFont val="Tahoma"/>
        <family val="2"/>
      </rPr>
      <t>30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</si>
  <si>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100</t>
    </r>
    <r>
      <rPr>
        <sz val="8"/>
        <rFont val="Tahoma"/>
        <family val="2"/>
      </rPr>
      <t>%</t>
    </r>
  </si>
  <si>
    <t>{[(Tot.1+Tot.2.1+Tot.2.2)÷30 dias]x 3 dias}÷ 12 meses</t>
  </si>
  <si>
    <t>Preencher apenas as células em amarelo e substituir os caracteres em vermelho</t>
  </si>
  <si>
    <r>
      <t xml:space="preserve">(4.1.C x </t>
    </r>
    <r>
      <rPr>
        <sz val="8"/>
        <color rgb="FFFF0000"/>
        <rFont val="Tahoma"/>
        <family val="2"/>
      </rPr>
      <t>8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</si>
  <si>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5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</si>
  <si>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10</t>
    </r>
    <r>
      <rPr>
        <sz val="8"/>
        <rFont val="Tahoma"/>
        <family val="2"/>
      </rPr>
      <t>%</t>
    </r>
  </si>
  <si>
    <r>
      <t xml:space="preserve">6.C x </t>
    </r>
    <r>
      <rPr>
        <sz val="8"/>
        <color rgb="FFFF0000"/>
        <rFont val="Tahoma"/>
        <family val="2"/>
      </rPr>
      <t>1,65</t>
    </r>
    <r>
      <rPr>
        <sz val="8"/>
        <rFont val="Tahoma"/>
        <family val="2"/>
      </rPr>
      <t>%</t>
    </r>
  </si>
  <si>
    <r>
      <t xml:space="preserve">6.C x </t>
    </r>
    <r>
      <rPr>
        <sz val="8"/>
        <color rgb="FFFF0000"/>
        <rFont val="Tahoma"/>
        <family val="2"/>
      </rPr>
      <t>7,60</t>
    </r>
    <r>
      <rPr>
        <sz val="8"/>
        <rFont val="Tahoma"/>
        <family val="2"/>
      </rPr>
      <t>%</t>
    </r>
  </si>
  <si>
    <r>
      <t xml:space="preserve">6.C x </t>
    </r>
    <r>
      <rPr>
        <sz val="8"/>
        <color rgb="FFFF0000"/>
        <rFont val="Tahoma"/>
        <family val="2"/>
      </rPr>
      <t>5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</si>
  <si>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5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</si>
  <si>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10</t>
    </r>
    <r>
      <rPr>
        <sz val="8"/>
        <color theme="1"/>
        <rFont val="Tahoma"/>
        <family val="2"/>
      </rPr>
      <t>%</t>
    </r>
  </si>
  <si>
    <r>
      <t xml:space="preserve">(8.B + 8.C + 8.D + 8.E) x </t>
    </r>
    <r>
      <rPr>
        <sz val="8"/>
        <color rgb="FFFF0000"/>
        <rFont val="Tahoma"/>
        <family val="2"/>
      </rPr>
      <t>14,25</t>
    </r>
    <r>
      <rPr>
        <sz val="8"/>
        <color theme="1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</si>
  <si>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0,8575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</si>
</sst>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sz val="12"/>
      <name val="Arial"/>
      <family val="2"/>
    </font>
    <font>
      <sz val="12"/>
      <color rgb="FFFF0000"/>
      <name val="Tahoma"/>
      <family val="2"/>
    </font>
    <font>
      <sz val="12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9"/>
      <color theme="3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7">
    <xf numFmtId="0" fontId="0" fillId="0" borderId="0" xfId="0"/>
    <xf numFmtId="0" fontId="11" fillId="0" borderId="0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8" fontId="18" fillId="0" borderId="1" xfId="0" applyNumberFormat="1" applyFont="1" applyBorder="1" applyAlignment="1">
      <alignment vertical="center" wrapText="1"/>
    </xf>
    <xf numFmtId="8" fontId="19" fillId="0" borderId="1" xfId="0" applyNumberFormat="1" applyFont="1" applyBorder="1" applyAlignment="1">
      <alignment vertical="center"/>
    </xf>
    <xf numFmtId="8" fontId="10" fillId="0" borderId="1" xfId="0" applyNumberFormat="1" applyFont="1" applyFill="1" applyBorder="1" applyAlignment="1">
      <alignment vertical="center"/>
    </xf>
    <xf numFmtId="0" fontId="25" fillId="6" borderId="42" xfId="0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vertical="center"/>
    </xf>
    <xf numFmtId="10" fontId="18" fillId="0" borderId="1" xfId="2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43" fontId="11" fillId="0" borderId="1" xfId="3" applyFont="1" applyBorder="1" applyAlignment="1">
      <alignment vertical="center"/>
    </xf>
    <xf numFmtId="43" fontId="10" fillId="3" borderId="1" xfId="3" applyFont="1" applyFill="1" applyBorder="1" applyAlignment="1">
      <alignment vertical="center"/>
    </xf>
    <xf numFmtId="43" fontId="10" fillId="0" borderId="0" xfId="3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horizontal="center" vertical="center"/>
    </xf>
    <xf numFmtId="43" fontId="11" fillId="0" borderId="1" xfId="3" applyFont="1" applyFill="1" applyBorder="1" applyAlignment="1">
      <alignment vertical="center"/>
    </xf>
    <xf numFmtId="10" fontId="10" fillId="3" borderId="1" xfId="0" applyNumberFormat="1" applyFont="1" applyFill="1" applyBorder="1" applyAlignment="1">
      <alignment horizontal="center" vertical="center"/>
    </xf>
    <xf numFmtId="10" fontId="10" fillId="3" borderId="36" xfId="0" applyNumberFormat="1" applyFont="1" applyFill="1" applyBorder="1" applyAlignment="1">
      <alignment horizontal="center" vertical="center"/>
    </xf>
    <xf numFmtId="43" fontId="10" fillId="3" borderId="36" xfId="3" applyFont="1" applyFill="1" applyBorder="1" applyAlignment="1">
      <alignment vertical="center"/>
    </xf>
    <xf numFmtId="43" fontId="10" fillId="0" borderId="1" xfId="3" applyFont="1" applyFill="1" applyBorder="1" applyAlignment="1">
      <alignment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43" fontId="11" fillId="0" borderId="1" xfId="3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4" fontId="10" fillId="3" borderId="1" xfId="1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2" fontId="8" fillId="0" borderId="13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2" fontId="8" fillId="0" borderId="14" xfId="0" applyNumberFormat="1" applyFont="1" applyFill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2" fontId="9" fillId="0" borderId="10" xfId="0" applyNumberFormat="1" applyFont="1" applyFill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2" fontId="8" fillId="0" borderId="5" xfId="0" applyNumberFormat="1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vertical="center"/>
    </xf>
    <xf numFmtId="0" fontId="8" fillId="0" borderId="2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19" fillId="2" borderId="1" xfId="0" applyNumberFormat="1" applyFont="1" applyFill="1" applyBorder="1" applyAlignment="1">
      <alignment vertical="center"/>
    </xf>
    <xf numFmtId="10" fontId="11" fillId="7" borderId="1" xfId="2" applyNumberFormat="1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vertical="center"/>
    </xf>
    <xf numFmtId="9" fontId="11" fillId="7" borderId="7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43" fontId="11" fillId="7" borderId="1" xfId="3" applyFont="1" applyFill="1" applyBorder="1" applyAlignment="1">
      <alignment horizontal="right" vertical="center"/>
    </xf>
    <xf numFmtId="10" fontId="11" fillId="7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18" fillId="5" borderId="1" xfId="0" applyNumberFormat="1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4" fontId="19" fillId="5" borderId="0" xfId="0" applyNumberFormat="1" applyFont="1" applyFill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3" fontId="18" fillId="7" borderId="1" xfId="0" applyNumberFormat="1" applyFont="1" applyFill="1" applyBorder="1" applyAlignment="1">
      <alignment horizontal="center" vertical="center" wrapText="1"/>
    </xf>
    <xf numFmtId="4" fontId="19" fillId="4" borderId="24" xfId="0" applyNumberFormat="1" applyFont="1" applyFill="1" applyBorder="1" applyAlignment="1">
      <alignment horizontal="center" vertical="center" wrapText="1"/>
    </xf>
    <xf numFmtId="10" fontId="11" fillId="7" borderId="1" xfId="0" applyNumberFormat="1" applyFont="1" applyFill="1" applyBorder="1" applyAlignment="1">
      <alignment horizontal="right" vertical="center"/>
    </xf>
    <xf numFmtId="10" fontId="11" fillId="7" borderId="1" xfId="2" applyNumberFormat="1" applyFont="1" applyFill="1" applyBorder="1" applyAlignment="1">
      <alignment horizontal="right" vertical="center"/>
    </xf>
    <xf numFmtId="0" fontId="11" fillId="3" borderId="1" xfId="2" applyNumberFormat="1" applyFont="1" applyFill="1" applyBorder="1" applyAlignment="1">
      <alignment horizontal="right" vertical="center"/>
    </xf>
    <xf numFmtId="43" fontId="11" fillId="0" borderId="1" xfId="3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8" fontId="11" fillId="0" borderId="0" xfId="0" applyNumberFormat="1" applyFont="1" applyAlignment="1">
      <alignment vertical="center"/>
    </xf>
    <xf numFmtId="8" fontId="10" fillId="2" borderId="1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2" fontId="11" fillId="7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5" borderId="0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left" vertical="center"/>
    </xf>
    <xf numFmtId="0" fontId="11" fillId="5" borderId="23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0" fontId="11" fillId="5" borderId="24" xfId="0" applyFont="1" applyFill="1" applyBorder="1" applyAlignment="1">
      <alignment vertical="center"/>
    </xf>
    <xf numFmtId="43" fontId="11" fillId="5" borderId="1" xfId="3" applyFont="1" applyFill="1" applyBorder="1" applyAlignment="1">
      <alignment vertical="center"/>
    </xf>
    <xf numFmtId="0" fontId="31" fillId="5" borderId="0" xfId="0" applyFont="1" applyFill="1" applyAlignment="1">
      <alignment vertical="center"/>
    </xf>
    <xf numFmtId="0" fontId="32" fillId="5" borderId="0" xfId="0" applyFont="1" applyFill="1" applyAlignment="1">
      <alignment vertical="center"/>
    </xf>
    <xf numFmtId="0" fontId="30" fillId="5" borderId="0" xfId="0" applyFont="1" applyFill="1" applyAlignment="1">
      <alignment vertical="center"/>
    </xf>
    <xf numFmtId="0" fontId="22" fillId="5" borderId="0" xfId="0" applyFont="1" applyFill="1" applyAlignment="1">
      <alignment horizontal="left" vertical="center"/>
    </xf>
    <xf numFmtId="2" fontId="20" fillId="5" borderId="0" xfId="0" applyNumberFormat="1" applyFont="1" applyFill="1" applyAlignment="1">
      <alignment vertical="center"/>
    </xf>
    <xf numFmtId="10" fontId="22" fillId="5" borderId="0" xfId="0" applyNumberFormat="1" applyFont="1" applyFill="1" applyAlignment="1">
      <alignment vertical="center"/>
    </xf>
    <xf numFmtId="43" fontId="10" fillId="5" borderId="0" xfId="3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2" fontId="23" fillId="5" borderId="0" xfId="0" applyNumberFormat="1" applyFont="1" applyFill="1" applyAlignment="1">
      <alignment vertical="center"/>
    </xf>
    <xf numFmtId="43" fontId="22" fillId="5" borderId="0" xfId="0" applyNumberFormat="1" applyFont="1" applyFill="1" applyBorder="1" applyAlignment="1">
      <alignment vertical="center"/>
    </xf>
    <xf numFmtId="43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2" fontId="22" fillId="5" borderId="0" xfId="0" applyNumberFormat="1" applyFont="1" applyFill="1" applyBorder="1" applyAlignment="1">
      <alignment vertical="center"/>
    </xf>
    <xf numFmtId="43" fontId="6" fillId="5" borderId="0" xfId="3" applyFont="1" applyFill="1" applyAlignment="1">
      <alignment vertical="center"/>
    </xf>
    <xf numFmtId="9" fontId="6" fillId="5" borderId="0" xfId="2" applyFont="1" applyFill="1" applyAlignment="1">
      <alignment vertical="center"/>
    </xf>
    <xf numFmtId="10" fontId="6" fillId="5" borderId="0" xfId="2" applyNumberFormat="1" applyFont="1" applyFill="1" applyAlignment="1">
      <alignment vertical="center"/>
    </xf>
    <xf numFmtId="0" fontId="20" fillId="5" borderId="37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43" xfId="0" applyFont="1" applyFill="1" applyBorder="1" applyAlignment="1">
      <alignment horizontal="left" vertical="center" wrapText="1"/>
    </xf>
    <xf numFmtId="2" fontId="6" fillId="5" borderId="0" xfId="0" applyNumberFormat="1" applyFont="1" applyFill="1" applyAlignment="1">
      <alignment vertical="center"/>
    </xf>
    <xf numFmtId="10" fontId="10" fillId="5" borderId="0" xfId="0" applyNumberFormat="1" applyFont="1" applyFill="1" applyBorder="1" applyAlignment="1">
      <alignment horizontal="center" vertical="center"/>
    </xf>
    <xf numFmtId="2" fontId="10" fillId="5" borderId="0" xfId="0" applyNumberFormat="1" applyFont="1" applyFill="1" applyBorder="1" applyAlignment="1">
      <alignment vertical="center"/>
    </xf>
    <xf numFmtId="164" fontId="23" fillId="5" borderId="0" xfId="1" applyFont="1" applyFill="1" applyAlignment="1">
      <alignment vertical="center"/>
    </xf>
    <xf numFmtId="2" fontId="22" fillId="5" borderId="0" xfId="0" applyNumberFormat="1" applyFont="1" applyFill="1" applyAlignment="1">
      <alignment vertical="center"/>
    </xf>
    <xf numFmtId="43" fontId="22" fillId="5" borderId="0" xfId="3" applyFont="1" applyFill="1" applyAlignment="1">
      <alignment vertical="center"/>
    </xf>
    <xf numFmtId="0" fontId="21" fillId="5" borderId="0" xfId="0" applyFont="1" applyFill="1" applyAlignment="1">
      <alignment vertical="center"/>
    </xf>
    <xf numFmtId="43" fontId="21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11" fillId="0" borderId="34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3" borderId="24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43" fontId="10" fillId="0" borderId="1" xfId="3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left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center" vertical="center"/>
    </xf>
    <xf numFmtId="43" fontId="7" fillId="5" borderId="0" xfId="0" quotePrefix="1" applyNumberFormat="1" applyFont="1" applyFill="1" applyAlignment="1">
      <alignment vertical="center"/>
    </xf>
    <xf numFmtId="0" fontId="21" fillId="5" borderId="0" xfId="0" quotePrefix="1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5" borderId="0" xfId="0" quotePrefix="1" applyFont="1" applyFill="1" applyAlignment="1">
      <alignment vertical="center"/>
    </xf>
    <xf numFmtId="43" fontId="11" fillId="0" borderId="0" xfId="3" applyFont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43" fontId="11" fillId="0" borderId="0" xfId="3" applyFont="1" applyBorder="1" applyAlignment="1">
      <alignment horizontal="center" vertical="center"/>
    </xf>
    <xf numFmtId="43" fontId="11" fillId="0" borderId="0" xfId="0" applyNumberFormat="1" applyFont="1" applyFill="1" applyBorder="1" applyAlignment="1">
      <alignment vertical="center"/>
    </xf>
    <xf numFmtId="43" fontId="11" fillId="0" borderId="0" xfId="3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 wrapText="1"/>
    </xf>
    <xf numFmtId="43" fontId="10" fillId="0" borderId="0" xfId="3" applyFont="1" applyFill="1" applyBorder="1" applyAlignment="1">
      <alignment horizontal="center" vertical="center"/>
    </xf>
    <xf numFmtId="43" fontId="11" fillId="0" borderId="0" xfId="3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vertical="center"/>
    </xf>
    <xf numFmtId="165" fontId="18" fillId="5" borderId="0" xfId="0" applyNumberFormat="1" applyFont="1" applyFill="1" applyBorder="1" applyAlignment="1">
      <alignment vertical="center"/>
    </xf>
    <xf numFmtId="165" fontId="15" fillId="0" borderId="0" xfId="1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165" fontId="18" fillId="0" borderId="1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3" fontId="11" fillId="0" borderId="0" xfId="3" applyFont="1" applyFill="1" applyBorder="1" applyAlignment="1">
      <alignment horizontal="right" vertical="center"/>
    </xf>
    <xf numFmtId="164" fontId="10" fillId="0" borderId="0" xfId="1" applyFont="1" applyFill="1" applyBorder="1" applyAlignment="1">
      <alignment vertical="center"/>
    </xf>
    <xf numFmtId="2" fontId="8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vertical="center"/>
    </xf>
    <xf numFmtId="43" fontId="10" fillId="0" borderId="0" xfId="0" applyNumberFormat="1" applyFont="1" applyFill="1" applyBorder="1" applyAlignment="1">
      <alignment horizontal="center" vertical="center"/>
    </xf>
    <xf numFmtId="43" fontId="15" fillId="5" borderId="0" xfId="3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4" fontId="18" fillId="5" borderId="0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43" fontId="18" fillId="0" borderId="1" xfId="3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4" fontId="19" fillId="4" borderId="39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9" fontId="11" fillId="0" borderId="1" xfId="2" applyNumberFormat="1" applyFont="1" applyFill="1" applyBorder="1" applyAlignment="1">
      <alignment horizontal="center" vertical="center"/>
    </xf>
    <xf numFmtId="10" fontId="11" fillId="0" borderId="1" xfId="2" applyNumberFormat="1" applyFont="1" applyFill="1" applyBorder="1" applyAlignment="1">
      <alignment horizontal="center" vertical="center"/>
    </xf>
    <xf numFmtId="10" fontId="11" fillId="0" borderId="1" xfId="2" applyNumberFormat="1" applyFont="1" applyFill="1" applyBorder="1" applyAlignment="1">
      <alignment vertical="center"/>
    </xf>
    <xf numFmtId="43" fontId="11" fillId="0" borderId="1" xfId="3" applyFont="1" applyFill="1" applyBorder="1" applyAlignment="1">
      <alignment horizontal="right" vertical="center"/>
    </xf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8" fillId="7" borderId="1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8" fontId="10" fillId="0" borderId="0" xfId="0" applyNumberFormat="1" applyFont="1" applyFill="1" applyBorder="1" applyAlignment="1">
      <alignment vertical="center"/>
    </xf>
    <xf numFmtId="166" fontId="18" fillId="3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8" fontId="18" fillId="5" borderId="36" xfId="0" applyNumberFormat="1" applyFont="1" applyFill="1" applyBorder="1" applyAlignment="1">
      <alignment vertical="center" wrapText="1"/>
    </xf>
    <xf numFmtId="166" fontId="18" fillId="0" borderId="1" xfId="3" applyNumberFormat="1" applyFont="1" applyFill="1" applyBorder="1" applyAlignment="1">
      <alignment vertical="center" wrapText="1"/>
    </xf>
    <xf numFmtId="43" fontId="11" fillId="0" borderId="0" xfId="3" applyFont="1" applyAlignment="1">
      <alignment vertical="center"/>
    </xf>
    <xf numFmtId="165" fontId="18" fillId="7" borderId="1" xfId="0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165" fontId="24" fillId="0" borderId="1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left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10" fontId="11" fillId="0" borderId="38" xfId="0" applyNumberFormat="1" applyFont="1" applyFill="1" applyBorder="1" applyAlignment="1">
      <alignment horizontal="center" vertical="center"/>
    </xf>
    <xf numFmtId="10" fontId="11" fillId="0" borderId="39" xfId="0" applyNumberFormat="1" applyFont="1" applyFill="1" applyBorder="1" applyAlignment="1">
      <alignment horizontal="center" vertical="center"/>
    </xf>
    <xf numFmtId="43" fontId="11" fillId="0" borderId="36" xfId="3" applyFont="1" applyFill="1" applyBorder="1" applyAlignment="1">
      <alignment horizontal="center" vertical="center"/>
    </xf>
    <xf numFmtId="43" fontId="11" fillId="0" borderId="7" xfId="3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left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34" fillId="0" borderId="23" xfId="0" applyFont="1" applyFill="1" applyBorder="1" applyAlignment="1">
      <alignment horizontal="left" vertical="center"/>
    </xf>
    <xf numFmtId="0" fontId="34" fillId="0" borderId="24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left" vertical="center"/>
    </xf>
    <xf numFmtId="0" fontId="26" fillId="0" borderId="23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24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4" fillId="5" borderId="0" xfId="0" applyFont="1" applyFill="1" applyAlignment="1">
      <alignment horizontal="left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26" fillId="3" borderId="23" xfId="0" applyFont="1" applyFill="1" applyBorder="1" applyAlignment="1">
      <alignment horizontal="left" vertical="center"/>
    </xf>
    <xf numFmtId="0" fontId="26" fillId="3" borderId="9" xfId="0" applyFont="1" applyFill="1" applyBorder="1" applyAlignment="1">
      <alignment horizontal="left" vertical="center"/>
    </xf>
    <xf numFmtId="0" fontId="26" fillId="3" borderId="24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8" fillId="5" borderId="23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9" fillId="2" borderId="24" xfId="0" applyFont="1" applyFill="1" applyBorder="1" applyAlignment="1">
      <alignment horizontal="left" vertical="center"/>
    </xf>
    <xf numFmtId="0" fontId="7" fillId="5" borderId="0" xfId="0" quotePrefix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33" fillId="2" borderId="23" xfId="0" applyFont="1" applyFill="1" applyBorder="1" applyAlignment="1">
      <alignment horizontal="left" vertical="center"/>
    </xf>
    <xf numFmtId="0" fontId="33" fillId="2" borderId="9" xfId="0" applyFont="1" applyFill="1" applyBorder="1" applyAlignment="1">
      <alignment horizontal="left" vertical="center"/>
    </xf>
    <xf numFmtId="0" fontId="33" fillId="2" borderId="24" xfId="0" applyFont="1" applyFill="1" applyBorder="1" applyAlignment="1">
      <alignment horizontal="left" vertical="center"/>
    </xf>
    <xf numFmtId="0" fontId="35" fillId="0" borderId="46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</cellXfs>
  <cellStyles count="22">
    <cellStyle name="Moeda" xfId="1" builtinId="4"/>
    <cellStyle name="Moeda 2" xfId="6"/>
    <cellStyle name="Moeda 3" xfId="11"/>
    <cellStyle name="Moeda 3 2" xfId="19"/>
    <cellStyle name="Normal" xfId="0" builtinId="0"/>
    <cellStyle name="Normal 2" xfId="5"/>
    <cellStyle name="Normal 3" xfId="4"/>
    <cellStyle name="Normal 3 2" xfId="15"/>
    <cellStyle name="Normal 4" xfId="12"/>
    <cellStyle name="Normal 4 2" xfId="20"/>
    <cellStyle name="Porcentagem" xfId="2" builtinId="5"/>
    <cellStyle name="Porcentagem 2" xfId="7"/>
    <cellStyle name="Porcentagem 3" xfId="10"/>
    <cellStyle name="Porcentagem 3 2" xfId="18"/>
    <cellStyle name="Vírgula" xfId="3" builtinId="3"/>
    <cellStyle name="Vírgula 2" xfId="8"/>
    <cellStyle name="Vírgula 2 2" xfId="16"/>
    <cellStyle name="Vírgula 3" xfId="9"/>
    <cellStyle name="Vírgula 3 2" xfId="17"/>
    <cellStyle name="Vírgula 4" xfId="13"/>
    <cellStyle name="Vírgula 4 2" xfId="21"/>
    <cellStyle name="Vírgula 5" xfId="14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J26"/>
  <sheetViews>
    <sheetView showGridLines="0" tabSelected="1" zoomScaleNormal="100" workbookViewId="0">
      <selection activeCell="G31" sqref="G31"/>
    </sheetView>
  </sheetViews>
  <sheetFormatPr defaultRowHeight="22.5" customHeight="1" x14ac:dyDescent="0.2"/>
  <cols>
    <col min="1" max="1" width="3.28515625" style="239" customWidth="1"/>
    <col min="2" max="2" width="19.28515625" style="239" customWidth="1"/>
    <col min="3" max="3" width="16.85546875" style="239" customWidth="1"/>
    <col min="4" max="4" width="11.140625" style="239" bestFit="1" customWidth="1"/>
    <col min="5" max="5" width="10.5703125" style="239" customWidth="1"/>
    <col min="6" max="6" width="12.85546875" style="239" customWidth="1"/>
    <col min="7" max="7" width="13.7109375" style="239" customWidth="1"/>
    <col min="8" max="8" width="16.140625" style="239" bestFit="1" customWidth="1"/>
    <col min="9" max="9" width="14.7109375" style="239" bestFit="1" customWidth="1"/>
    <col min="10" max="16384" width="9.140625" style="239"/>
  </cols>
  <sheetData>
    <row r="1" spans="2:10" ht="22.5" customHeight="1" x14ac:dyDescent="0.2">
      <c r="B1" s="259" t="s">
        <v>148</v>
      </c>
      <c r="C1" s="259"/>
      <c r="D1" s="259"/>
      <c r="E1" s="259"/>
      <c r="F1" s="259"/>
      <c r="G1" s="259"/>
      <c r="H1" s="259"/>
    </row>
    <row r="3" spans="2:10" ht="22.5" customHeight="1" x14ac:dyDescent="0.2">
      <c r="B3" s="108" t="s">
        <v>149</v>
      </c>
      <c r="C3" s="108"/>
    </row>
    <row r="4" spans="2:10" ht="22.5" customHeight="1" x14ac:dyDescent="0.2">
      <c r="B4" s="260" t="s">
        <v>201</v>
      </c>
      <c r="C4" s="260"/>
      <c r="D4" s="260"/>
      <c r="E4" s="260"/>
      <c r="F4" s="260"/>
      <c r="G4" s="260"/>
      <c r="H4" s="260"/>
      <c r="I4" s="104"/>
    </row>
    <row r="5" spans="2:10" ht="22.5" customHeight="1" x14ac:dyDescent="0.2">
      <c r="B5" s="248"/>
      <c r="C5" s="248"/>
      <c r="D5" s="248"/>
      <c r="E5" s="248"/>
      <c r="F5" s="248"/>
      <c r="G5" s="248"/>
      <c r="H5" s="248"/>
      <c r="I5" s="104"/>
    </row>
    <row r="6" spans="2:10" ht="22.5" customHeight="1" thickBot="1" x14ac:dyDescent="0.25"/>
    <row r="7" spans="2:10" ht="22.5" customHeight="1" thickBot="1" x14ac:dyDescent="0.25">
      <c r="B7" s="267" t="s">
        <v>108</v>
      </c>
      <c r="C7" s="268"/>
      <c r="D7" s="268"/>
      <c r="E7" s="268"/>
      <c r="F7" s="268"/>
      <c r="G7" s="268"/>
      <c r="H7" s="269"/>
    </row>
    <row r="9" spans="2:10" ht="22.5" customHeight="1" x14ac:dyDescent="0.2">
      <c r="B9" s="245" t="s">
        <v>103</v>
      </c>
      <c r="C9" s="250" t="s">
        <v>31</v>
      </c>
      <c r="D9" s="243" t="s">
        <v>215</v>
      </c>
      <c r="E9" s="245" t="s">
        <v>105</v>
      </c>
      <c r="F9" s="245" t="s">
        <v>115</v>
      </c>
      <c r="G9" s="245" t="s">
        <v>106</v>
      </c>
      <c r="H9" s="245" t="s">
        <v>107</v>
      </c>
    </row>
    <row r="10" spans="2:10" ht="22.5" customHeight="1" x14ac:dyDescent="0.2">
      <c r="B10" s="264" t="s">
        <v>217</v>
      </c>
      <c r="C10" s="242" t="s">
        <v>226</v>
      </c>
      <c r="D10" s="254">
        <v>5</v>
      </c>
      <c r="E10" s="159">
        <v>24</v>
      </c>
      <c r="F10" s="3">
        <f>'Planilha de custos'!H134</f>
        <v>10247.240000000002</v>
      </c>
      <c r="G10" s="253">
        <f>F10*D10</f>
        <v>51236.200000000012</v>
      </c>
      <c r="H10" s="253">
        <f>G10*E10</f>
        <v>1229668.8000000003</v>
      </c>
      <c r="I10" s="255"/>
      <c r="J10" s="255"/>
    </row>
    <row r="11" spans="2:10" ht="22.5" customHeight="1" x14ac:dyDescent="0.2">
      <c r="B11" s="265"/>
      <c r="C11" s="242" t="s">
        <v>216</v>
      </c>
      <c r="D11" s="254">
        <v>5</v>
      </c>
      <c r="E11" s="159">
        <v>24</v>
      </c>
      <c r="F11" s="3">
        <f>'Planilha de custos'!H173</f>
        <v>6417.53</v>
      </c>
      <c r="G11" s="253">
        <f>F11*D11</f>
        <v>32087.649999999998</v>
      </c>
      <c r="H11" s="253">
        <f>G11*E11</f>
        <v>770103.6</v>
      </c>
      <c r="I11" s="255"/>
      <c r="J11" s="255"/>
    </row>
    <row r="12" spans="2:10" ht="22.5" customHeight="1" x14ac:dyDescent="0.2">
      <c r="B12" s="266"/>
      <c r="C12" s="249" t="s">
        <v>79</v>
      </c>
      <c r="D12" s="247"/>
      <c r="E12" s="251"/>
      <c r="F12" s="154"/>
      <c r="G12" s="5">
        <f>SUM(G10:G11)</f>
        <v>83323.850000000006</v>
      </c>
      <c r="H12" s="4">
        <f>SUM(H10:H11)</f>
        <v>1999772.4000000004</v>
      </c>
      <c r="I12" s="255"/>
      <c r="J12" s="255"/>
    </row>
    <row r="13" spans="2:10" ht="22.5" customHeight="1" x14ac:dyDescent="0.2">
      <c r="B13" s="261" t="s">
        <v>218</v>
      </c>
      <c r="C13" s="262"/>
      <c r="D13" s="262"/>
      <c r="E13" s="262"/>
      <c r="F13" s="262"/>
      <c r="G13" s="263"/>
      <c r="H13" s="105">
        <f>H12</f>
        <v>1999772.4000000004</v>
      </c>
      <c r="I13" s="255"/>
      <c r="J13" s="255"/>
    </row>
    <row r="14" spans="2:10" ht="22.5" customHeight="1" x14ac:dyDescent="0.2">
      <c r="B14" s="227"/>
      <c r="C14" s="227"/>
      <c r="D14" s="227"/>
      <c r="E14" s="227"/>
      <c r="F14" s="227"/>
      <c r="G14" s="227"/>
      <c r="H14" s="246"/>
    </row>
    <row r="15" spans="2:10" ht="22.5" customHeight="1" x14ac:dyDescent="0.2">
      <c r="G15" s="236"/>
      <c r="I15" s="104"/>
    </row>
    <row r="16" spans="2:10" ht="22.5" customHeight="1" x14ac:dyDescent="0.2">
      <c r="B16" s="237" t="s">
        <v>71</v>
      </c>
      <c r="C16" s="252"/>
      <c r="D16" s="238"/>
      <c r="E16" s="240"/>
      <c r="F16" s="235" t="s">
        <v>72</v>
      </c>
      <c r="G16" s="236"/>
      <c r="H16" s="234"/>
    </row>
    <row r="17" spans="2:8" ht="22.5" customHeight="1" x14ac:dyDescent="0.2">
      <c r="B17" s="239" t="s">
        <v>214</v>
      </c>
      <c r="D17" s="234"/>
      <c r="E17" s="234"/>
      <c r="F17" s="234"/>
      <c r="G17" s="235"/>
      <c r="H17" s="234"/>
    </row>
    <row r="18" spans="2:8" ht="22.5" customHeight="1" x14ac:dyDescent="0.2">
      <c r="G18" s="236"/>
    </row>
    <row r="19" spans="2:8" ht="22.5" customHeight="1" x14ac:dyDescent="0.2">
      <c r="F19" s="212" t="s">
        <v>193</v>
      </c>
      <c r="G19" s="236"/>
    </row>
    <row r="20" spans="2:8" ht="22.5" customHeight="1" x14ac:dyDescent="0.2">
      <c r="F20" s="213"/>
      <c r="G20" s="106"/>
    </row>
    <row r="21" spans="2:8" ht="22.5" customHeight="1" x14ac:dyDescent="0.2">
      <c r="F21" s="213" t="s">
        <v>194</v>
      </c>
      <c r="G21" s="106"/>
    </row>
    <row r="22" spans="2:8" ht="22.5" customHeight="1" x14ac:dyDescent="0.2">
      <c r="F22" s="213" t="s">
        <v>195</v>
      </c>
      <c r="G22" s="106"/>
    </row>
    <row r="23" spans="2:8" ht="22.5" customHeight="1" x14ac:dyDescent="0.2">
      <c r="F23" s="213" t="s">
        <v>196</v>
      </c>
      <c r="G23" s="106"/>
    </row>
    <row r="24" spans="2:8" ht="22.5" customHeight="1" x14ac:dyDescent="0.2">
      <c r="F24" s="213" t="s">
        <v>197</v>
      </c>
      <c r="G24" s="106"/>
    </row>
    <row r="25" spans="2:8" ht="22.5" customHeight="1" x14ac:dyDescent="0.2">
      <c r="F25" s="213" t="s">
        <v>198</v>
      </c>
    </row>
    <row r="26" spans="2:8" ht="22.5" customHeight="1" x14ac:dyDescent="0.2">
      <c r="F26" s="213" t="s">
        <v>199</v>
      </c>
    </row>
  </sheetData>
  <mergeCells count="5">
    <mergeCell ref="B1:H1"/>
    <mergeCell ref="B4:H4"/>
    <mergeCell ref="B13:G13"/>
    <mergeCell ref="B10:B12"/>
    <mergeCell ref="B7:H7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B1:T173"/>
  <sheetViews>
    <sheetView showGridLines="0" topLeftCell="A158" zoomScale="110" zoomScaleNormal="110" workbookViewId="0">
      <selection activeCell="J23" sqref="J23"/>
    </sheetView>
  </sheetViews>
  <sheetFormatPr defaultRowHeight="12.75" x14ac:dyDescent="0.2"/>
  <cols>
    <col min="1" max="1" width="3.5703125" style="110" customWidth="1"/>
    <col min="2" max="2" width="8.28515625" style="110" customWidth="1"/>
    <col min="3" max="3" width="39.140625" style="110" customWidth="1"/>
    <col min="4" max="4" width="29.140625" style="110" customWidth="1"/>
    <col min="5" max="6" width="8.140625" style="110" customWidth="1"/>
    <col min="7" max="7" width="9.140625" style="110" customWidth="1"/>
    <col min="8" max="9" width="15.28515625" style="110" customWidth="1"/>
    <col min="10" max="10" width="14.140625" style="111" bestFit="1" customWidth="1"/>
    <col min="11" max="11" width="10.42578125" style="111" customWidth="1"/>
    <col min="12" max="12" width="9.140625" style="111"/>
    <col min="13" max="13" width="10.140625" style="110" bestFit="1" customWidth="1"/>
    <col min="14" max="14" width="12.28515625" style="110" bestFit="1" customWidth="1"/>
    <col min="15" max="17" width="9.140625" style="110"/>
    <col min="18" max="18" width="4" style="110" customWidth="1"/>
    <col min="19" max="19" width="5.85546875" style="110" customWidth="1"/>
    <col min="20" max="16384" width="9.140625" style="110"/>
  </cols>
  <sheetData>
    <row r="1" spans="2:20" x14ac:dyDescent="0.2">
      <c r="B1" s="109"/>
      <c r="C1" s="197"/>
      <c r="D1" s="13"/>
      <c r="E1" s="13"/>
      <c r="F1" s="13"/>
      <c r="G1" s="13"/>
      <c r="H1" s="13"/>
      <c r="I1" s="13"/>
    </row>
    <row r="2" spans="2:20" x14ac:dyDescent="0.2">
      <c r="B2" s="280" t="s">
        <v>68</v>
      </c>
      <c r="C2" s="280"/>
      <c r="D2" s="280"/>
      <c r="E2" s="280"/>
      <c r="F2" s="280"/>
      <c r="G2" s="280"/>
      <c r="H2" s="280"/>
      <c r="I2" s="177"/>
      <c r="J2" s="112"/>
      <c r="K2" s="112"/>
      <c r="L2" s="112"/>
      <c r="M2" s="113"/>
      <c r="N2" s="114"/>
      <c r="O2" s="114"/>
      <c r="P2" s="114"/>
      <c r="Q2" s="114"/>
      <c r="R2" s="114"/>
    </row>
    <row r="3" spans="2:20" x14ac:dyDescent="0.2">
      <c r="B3" s="281" t="s">
        <v>234</v>
      </c>
      <c r="C3" s="281"/>
      <c r="D3" s="281"/>
      <c r="E3" s="281"/>
      <c r="F3" s="281"/>
      <c r="G3" s="281"/>
      <c r="H3" s="281"/>
      <c r="I3" s="179"/>
      <c r="J3" s="10"/>
      <c r="K3" s="10"/>
      <c r="L3" s="10"/>
      <c r="M3" s="11"/>
      <c r="N3" s="12"/>
      <c r="O3" s="12"/>
      <c r="P3" s="12"/>
      <c r="Q3" s="12"/>
      <c r="R3" s="12"/>
      <c r="S3" s="13"/>
      <c r="T3" s="13"/>
    </row>
    <row r="4" spans="2:20" x14ac:dyDescent="0.2">
      <c r="B4" s="115"/>
      <c r="C4" s="115"/>
      <c r="D4" s="115"/>
      <c r="E4" s="115"/>
      <c r="F4" s="115"/>
      <c r="G4" s="115"/>
      <c r="H4" s="115"/>
      <c r="I4" s="115"/>
      <c r="J4" s="112"/>
      <c r="K4" s="112"/>
      <c r="L4" s="112"/>
      <c r="M4" s="113"/>
      <c r="N4" s="114"/>
      <c r="O4" s="114"/>
      <c r="P4" s="114"/>
      <c r="Q4" s="114"/>
      <c r="R4" s="114"/>
    </row>
    <row r="5" spans="2:20" x14ac:dyDescent="0.2">
      <c r="B5" s="115"/>
      <c r="C5" s="115"/>
      <c r="D5" s="115"/>
      <c r="E5" s="115"/>
      <c r="F5" s="115"/>
      <c r="G5" s="115"/>
      <c r="H5" s="115"/>
      <c r="I5" s="115"/>
      <c r="J5" s="112"/>
      <c r="K5" s="112"/>
      <c r="L5" s="112"/>
      <c r="M5" s="113"/>
      <c r="N5" s="114"/>
      <c r="O5" s="114"/>
      <c r="P5" s="114"/>
      <c r="Q5" s="114"/>
      <c r="R5" s="114"/>
    </row>
    <row r="6" spans="2:20" x14ac:dyDescent="0.2">
      <c r="B6" s="282" t="s">
        <v>152</v>
      </c>
      <c r="C6" s="282"/>
      <c r="D6" s="282"/>
      <c r="E6" s="282"/>
      <c r="F6" s="282"/>
      <c r="G6" s="283" t="s">
        <v>202</v>
      </c>
      <c r="H6" s="283"/>
      <c r="I6" s="14"/>
      <c r="J6" s="112"/>
      <c r="K6" s="112"/>
      <c r="L6" s="112"/>
      <c r="M6" s="113"/>
      <c r="N6" s="114"/>
      <c r="O6" s="114"/>
      <c r="P6" s="114"/>
      <c r="Q6" s="114"/>
      <c r="R6" s="114"/>
    </row>
    <row r="7" spans="2:20" x14ac:dyDescent="0.2">
      <c r="B7" s="115"/>
      <c r="C7" s="115"/>
      <c r="D7" s="115"/>
      <c r="E7" s="115"/>
      <c r="F7" s="115"/>
      <c r="G7" s="115"/>
      <c r="H7" s="115"/>
      <c r="I7" s="13"/>
      <c r="J7" s="112"/>
      <c r="K7" s="112"/>
      <c r="L7" s="112"/>
      <c r="M7" s="113"/>
      <c r="N7" s="114"/>
      <c r="O7" s="114"/>
      <c r="P7" s="114"/>
      <c r="Q7" s="114"/>
      <c r="R7" s="114"/>
    </row>
    <row r="8" spans="2:20" x14ac:dyDescent="0.2">
      <c r="B8" s="284" t="s">
        <v>69</v>
      </c>
      <c r="C8" s="284"/>
      <c r="D8" s="284"/>
      <c r="E8" s="284"/>
      <c r="F8" s="284"/>
      <c r="G8" s="284"/>
      <c r="H8" s="284"/>
      <c r="I8" s="112"/>
      <c r="J8" s="113"/>
      <c r="K8" s="112"/>
      <c r="L8" s="112"/>
      <c r="M8" s="113"/>
      <c r="N8" s="114"/>
      <c r="O8" s="114"/>
      <c r="P8" s="114"/>
      <c r="Q8" s="114"/>
      <c r="R8" s="114"/>
    </row>
    <row r="9" spans="2:20" x14ac:dyDescent="0.2">
      <c r="B9" s="285">
        <v>1</v>
      </c>
      <c r="C9" s="286" t="s">
        <v>70</v>
      </c>
      <c r="D9" s="286"/>
      <c r="E9" s="286"/>
      <c r="F9" s="286"/>
      <c r="G9" s="286"/>
      <c r="H9" s="286"/>
      <c r="I9" s="112"/>
      <c r="J9" s="113"/>
      <c r="K9" s="112"/>
      <c r="L9" s="112"/>
      <c r="M9" s="113"/>
      <c r="N9" s="114"/>
      <c r="O9" s="114"/>
      <c r="P9" s="114"/>
      <c r="Q9" s="114"/>
      <c r="R9" s="114"/>
    </row>
    <row r="10" spans="2:20" x14ac:dyDescent="0.2">
      <c r="B10" s="285"/>
      <c r="C10" s="287"/>
      <c r="D10" s="287"/>
      <c r="E10" s="287"/>
      <c r="F10" s="287"/>
      <c r="G10" s="287"/>
      <c r="H10" s="287"/>
      <c r="I10" s="112"/>
      <c r="J10" s="113"/>
      <c r="K10" s="112"/>
      <c r="L10" s="112"/>
      <c r="M10" s="113"/>
      <c r="N10" s="114"/>
      <c r="O10" s="114"/>
      <c r="P10" s="114"/>
      <c r="Q10" s="114"/>
      <c r="R10" s="114"/>
    </row>
    <row r="11" spans="2:20" x14ac:dyDescent="0.2">
      <c r="B11" s="285">
        <v>2</v>
      </c>
      <c r="C11" s="286" t="s">
        <v>73</v>
      </c>
      <c r="D11" s="286"/>
      <c r="E11" s="286"/>
      <c r="F11" s="286"/>
      <c r="G11" s="286"/>
      <c r="H11" s="286"/>
      <c r="I11" s="112"/>
      <c r="J11" s="113"/>
      <c r="K11" s="112"/>
      <c r="L11" s="112"/>
      <c r="M11" s="113"/>
      <c r="N11" s="114"/>
      <c r="O11" s="114"/>
      <c r="P11" s="114"/>
      <c r="Q11" s="114"/>
      <c r="R11" s="114"/>
    </row>
    <row r="12" spans="2:20" x14ac:dyDescent="0.2">
      <c r="B12" s="285"/>
      <c r="C12" s="287"/>
      <c r="D12" s="287"/>
      <c r="E12" s="287"/>
      <c r="F12" s="287"/>
      <c r="G12" s="287"/>
      <c r="H12" s="287"/>
      <c r="I12" s="112"/>
      <c r="J12" s="113"/>
      <c r="K12" s="112"/>
      <c r="L12" s="112"/>
      <c r="M12" s="113"/>
      <c r="N12" s="114"/>
      <c r="O12" s="114"/>
      <c r="P12" s="114"/>
      <c r="Q12" s="114"/>
      <c r="R12" s="114"/>
    </row>
    <row r="13" spans="2:20" x14ac:dyDescent="0.2">
      <c r="B13" s="285">
        <v>3</v>
      </c>
      <c r="C13" s="286" t="s">
        <v>74</v>
      </c>
      <c r="D13" s="286"/>
      <c r="E13" s="286"/>
      <c r="F13" s="286"/>
      <c r="G13" s="286"/>
      <c r="H13" s="286"/>
      <c r="I13" s="112"/>
      <c r="J13" s="113"/>
      <c r="K13" s="112"/>
      <c r="L13" s="112"/>
      <c r="M13" s="113"/>
      <c r="N13" s="114"/>
      <c r="O13" s="114"/>
      <c r="P13" s="114"/>
      <c r="Q13" s="114"/>
      <c r="R13" s="114"/>
    </row>
    <row r="14" spans="2:20" x14ac:dyDescent="0.2">
      <c r="B14" s="285"/>
      <c r="C14" s="287"/>
      <c r="D14" s="287"/>
      <c r="E14" s="287"/>
      <c r="F14" s="287"/>
      <c r="G14" s="287"/>
      <c r="H14" s="287"/>
      <c r="I14" s="112"/>
      <c r="J14" s="113"/>
      <c r="K14" s="112"/>
      <c r="L14" s="112"/>
      <c r="M14" s="113"/>
      <c r="N14" s="114"/>
      <c r="O14" s="114"/>
      <c r="P14" s="114"/>
      <c r="Q14" s="114"/>
      <c r="R14" s="114"/>
    </row>
    <row r="15" spans="2:20" x14ac:dyDescent="0.2">
      <c r="B15" s="285">
        <v>4</v>
      </c>
      <c r="C15" s="286" t="s">
        <v>75</v>
      </c>
      <c r="D15" s="286"/>
      <c r="E15" s="286"/>
      <c r="F15" s="286"/>
      <c r="G15" s="286"/>
      <c r="H15" s="286"/>
      <c r="I15" s="112"/>
      <c r="J15" s="113"/>
      <c r="K15" s="112"/>
      <c r="L15" s="112"/>
      <c r="M15" s="113"/>
      <c r="N15" s="114"/>
      <c r="O15" s="114"/>
      <c r="P15" s="114"/>
      <c r="Q15" s="114"/>
      <c r="R15" s="114"/>
    </row>
    <row r="16" spans="2:20" x14ac:dyDescent="0.2">
      <c r="B16" s="285"/>
      <c r="C16" s="287"/>
      <c r="D16" s="287"/>
      <c r="E16" s="287"/>
      <c r="F16" s="287"/>
      <c r="G16" s="287"/>
      <c r="H16" s="287"/>
      <c r="I16" s="112"/>
      <c r="J16" s="113"/>
      <c r="K16" s="112"/>
      <c r="L16" s="112"/>
      <c r="M16" s="113"/>
      <c r="N16" s="114"/>
      <c r="O16" s="114"/>
      <c r="P16" s="114"/>
      <c r="Q16" s="114"/>
      <c r="R16" s="114"/>
    </row>
    <row r="17" spans="2:18" x14ac:dyDescent="0.2">
      <c r="B17" s="285">
        <v>5</v>
      </c>
      <c r="C17" s="286" t="s">
        <v>76</v>
      </c>
      <c r="D17" s="286"/>
      <c r="E17" s="286"/>
      <c r="F17" s="286"/>
      <c r="G17" s="286"/>
      <c r="H17" s="286"/>
      <c r="I17" s="112"/>
      <c r="J17" s="113"/>
      <c r="K17" s="112"/>
      <c r="L17" s="112"/>
      <c r="M17" s="113"/>
      <c r="N17" s="114"/>
      <c r="O17" s="114"/>
      <c r="P17" s="114"/>
      <c r="Q17" s="114"/>
      <c r="R17" s="114"/>
    </row>
    <row r="18" spans="2:18" x14ac:dyDescent="0.2">
      <c r="B18" s="285"/>
      <c r="C18" s="287"/>
      <c r="D18" s="287"/>
      <c r="E18" s="287"/>
      <c r="F18" s="287"/>
      <c r="G18" s="287"/>
      <c r="H18" s="287"/>
      <c r="I18" s="112"/>
      <c r="J18" s="113"/>
      <c r="K18" s="112"/>
      <c r="L18" s="112"/>
      <c r="M18" s="113"/>
      <c r="N18" s="114"/>
      <c r="O18" s="114"/>
      <c r="P18" s="114"/>
      <c r="Q18" s="114"/>
      <c r="R18" s="114"/>
    </row>
    <row r="19" spans="2:18" x14ac:dyDescent="0.2">
      <c r="B19" s="285">
        <v>6</v>
      </c>
      <c r="C19" s="286" t="s">
        <v>77</v>
      </c>
      <c r="D19" s="286"/>
      <c r="E19" s="286"/>
      <c r="F19" s="286"/>
      <c r="G19" s="286"/>
      <c r="H19" s="286"/>
      <c r="I19" s="112"/>
      <c r="J19" s="113"/>
      <c r="K19" s="112"/>
      <c r="L19" s="112"/>
      <c r="M19" s="113"/>
      <c r="N19" s="114"/>
      <c r="O19" s="114"/>
      <c r="P19" s="114"/>
      <c r="Q19" s="114"/>
      <c r="R19" s="114"/>
    </row>
    <row r="20" spans="2:18" x14ac:dyDescent="0.2">
      <c r="B20" s="285"/>
      <c r="C20" s="287"/>
      <c r="D20" s="287"/>
      <c r="E20" s="287"/>
      <c r="F20" s="287"/>
      <c r="G20" s="287"/>
      <c r="H20" s="287"/>
      <c r="I20" s="112"/>
      <c r="J20" s="113"/>
      <c r="K20" s="112"/>
      <c r="L20" s="112"/>
      <c r="M20" s="113"/>
      <c r="N20" s="114"/>
      <c r="O20" s="114"/>
      <c r="P20" s="114"/>
      <c r="Q20" s="114"/>
      <c r="R20" s="114"/>
    </row>
    <row r="21" spans="2:18" x14ac:dyDescent="0.2">
      <c r="B21" s="116"/>
      <c r="C21" s="116"/>
      <c r="D21" s="116"/>
      <c r="E21" s="116"/>
      <c r="F21" s="116"/>
      <c r="G21" s="117"/>
      <c r="H21" s="117"/>
      <c r="I21" s="112"/>
      <c r="J21" s="112"/>
      <c r="K21" s="112"/>
      <c r="L21" s="112"/>
      <c r="M21" s="113"/>
      <c r="N21" s="114"/>
      <c r="O21" s="114"/>
      <c r="P21" s="114"/>
      <c r="Q21" s="114"/>
      <c r="R21" s="114"/>
    </row>
    <row r="22" spans="2:18" x14ac:dyDescent="0.2">
      <c r="B22" s="118"/>
      <c r="C22" s="118"/>
      <c r="D22" s="118"/>
      <c r="E22" s="118"/>
      <c r="F22" s="118"/>
      <c r="G22" s="118"/>
      <c r="H22" s="118"/>
      <c r="J22" s="112"/>
      <c r="K22" s="112"/>
      <c r="L22" s="112"/>
      <c r="M22" s="113"/>
      <c r="N22" s="114"/>
      <c r="O22" s="114"/>
      <c r="P22" s="114"/>
      <c r="Q22" s="114"/>
      <c r="R22" s="114"/>
    </row>
    <row r="23" spans="2:18" x14ac:dyDescent="0.2">
      <c r="B23" s="288" t="s">
        <v>84</v>
      </c>
      <c r="C23" s="288"/>
      <c r="D23" s="288"/>
      <c r="E23" s="288"/>
      <c r="F23" s="288"/>
      <c r="G23" s="288"/>
      <c r="H23" s="288"/>
      <c r="I23" s="201"/>
      <c r="J23" s="112"/>
      <c r="K23" s="112"/>
      <c r="L23" s="112"/>
      <c r="M23" s="113"/>
      <c r="N23" s="114"/>
      <c r="O23" s="114"/>
      <c r="P23" s="114"/>
      <c r="Q23" s="114"/>
      <c r="R23" s="114"/>
    </row>
    <row r="24" spans="2:18" x14ac:dyDescent="0.2">
      <c r="B24" s="170">
        <v>1</v>
      </c>
      <c r="C24" s="277" t="s">
        <v>78</v>
      </c>
      <c r="D24" s="278"/>
      <c r="E24" s="278"/>
      <c r="F24" s="279"/>
      <c r="G24" s="170" t="s">
        <v>2</v>
      </c>
      <c r="H24" s="170" t="s">
        <v>67</v>
      </c>
      <c r="I24" s="201"/>
      <c r="J24" s="112"/>
      <c r="K24" s="112"/>
      <c r="L24" s="112"/>
      <c r="M24" s="113"/>
      <c r="N24" s="114"/>
      <c r="O24" s="114"/>
      <c r="P24" s="114"/>
      <c r="Q24" s="114"/>
      <c r="R24" s="114"/>
    </row>
    <row r="25" spans="2:18" ht="12.75" customHeight="1" x14ac:dyDescent="0.2">
      <c r="B25" s="15" t="s">
        <v>5</v>
      </c>
      <c r="C25" s="168" t="s">
        <v>36</v>
      </c>
      <c r="D25" s="270"/>
      <c r="E25" s="271"/>
      <c r="F25" s="272"/>
      <c r="G25" s="16"/>
      <c r="H25" s="21">
        <v>2679.43</v>
      </c>
      <c r="I25" s="188"/>
      <c r="J25" s="123"/>
      <c r="K25" s="123"/>
      <c r="L25" s="123"/>
      <c r="M25" s="124"/>
      <c r="N25" s="125"/>
      <c r="O25" s="114"/>
      <c r="P25" s="114"/>
      <c r="Q25" s="114"/>
      <c r="R25" s="114"/>
    </row>
    <row r="26" spans="2:18" x14ac:dyDescent="0.2">
      <c r="B26" s="15" t="s">
        <v>6</v>
      </c>
      <c r="C26" s="168" t="s">
        <v>43</v>
      </c>
      <c r="D26" s="270"/>
      <c r="E26" s="271"/>
      <c r="F26" s="272"/>
      <c r="G26" s="230"/>
      <c r="H26" s="17">
        <f>TRUNC(H$25*$G26,2)</f>
        <v>0</v>
      </c>
      <c r="I26" s="184"/>
      <c r="J26" s="112"/>
      <c r="K26" s="112"/>
      <c r="L26" s="112"/>
      <c r="M26" s="113"/>
      <c r="N26" s="114"/>
      <c r="O26" s="114"/>
      <c r="P26" s="114"/>
      <c r="Q26" s="114"/>
      <c r="R26" s="114"/>
    </row>
    <row r="27" spans="2:18" x14ac:dyDescent="0.2">
      <c r="B27" s="15" t="s">
        <v>7</v>
      </c>
      <c r="C27" s="169" t="s">
        <v>44</v>
      </c>
      <c r="D27" s="270"/>
      <c r="E27" s="271"/>
      <c r="F27" s="272"/>
      <c r="G27" s="230"/>
      <c r="H27" s="17">
        <f>TRUNC(H$25*$G27,2)</f>
        <v>0</v>
      </c>
      <c r="I27" s="184"/>
      <c r="J27" s="112"/>
      <c r="K27" s="112"/>
      <c r="L27" s="112"/>
      <c r="M27" s="113"/>
      <c r="N27" s="114"/>
      <c r="O27" s="114"/>
      <c r="P27" s="114"/>
      <c r="Q27" s="114"/>
      <c r="R27" s="114"/>
    </row>
    <row r="28" spans="2:18" x14ac:dyDescent="0.2">
      <c r="B28" s="15" t="s">
        <v>8</v>
      </c>
      <c r="C28" s="169" t="s">
        <v>1</v>
      </c>
      <c r="D28" s="270"/>
      <c r="E28" s="271"/>
      <c r="F28" s="272"/>
      <c r="G28" s="231"/>
      <c r="H28" s="122">
        <f>TRUNC(((H$25+H26)*$G28)/220*8*15,2)</f>
        <v>0</v>
      </c>
      <c r="I28" s="185"/>
      <c r="J28" s="112"/>
      <c r="K28" s="112"/>
      <c r="L28" s="112"/>
      <c r="M28" s="113"/>
      <c r="N28" s="114"/>
      <c r="O28" s="114"/>
      <c r="P28" s="114"/>
      <c r="Q28" s="114"/>
      <c r="R28" s="114"/>
    </row>
    <row r="29" spans="2:18" x14ac:dyDescent="0.2">
      <c r="B29" s="226" t="s">
        <v>9</v>
      </c>
      <c r="C29" s="169" t="s">
        <v>128</v>
      </c>
      <c r="D29" s="270" t="s">
        <v>230</v>
      </c>
      <c r="E29" s="271"/>
      <c r="F29" s="272"/>
      <c r="G29" s="232">
        <v>0.5</v>
      </c>
      <c r="H29" s="21">
        <f>TRUNC($G$33*$H33*(1+G$29),2)</f>
        <v>803.22</v>
      </c>
      <c r="I29" s="211"/>
      <c r="J29" s="126"/>
      <c r="K29" s="112"/>
      <c r="L29" s="227"/>
      <c r="M29" s="127"/>
      <c r="N29" s="114"/>
      <c r="O29" s="114"/>
      <c r="P29" s="114"/>
      <c r="Q29" s="114"/>
      <c r="R29" s="114"/>
    </row>
    <row r="30" spans="2:18" x14ac:dyDescent="0.2">
      <c r="B30" s="166" t="s">
        <v>10</v>
      </c>
      <c r="C30" s="169" t="s">
        <v>3</v>
      </c>
      <c r="D30" s="270"/>
      <c r="E30" s="271"/>
      <c r="F30" s="272"/>
      <c r="G30" s="77"/>
      <c r="H30" s="100"/>
      <c r="I30" s="186"/>
      <c r="J30" s="112"/>
      <c r="K30" s="112"/>
      <c r="L30" s="128"/>
      <c r="M30" s="113"/>
      <c r="N30" s="114"/>
      <c r="O30" s="114"/>
      <c r="P30" s="114"/>
      <c r="Q30" s="114"/>
      <c r="R30" s="114"/>
    </row>
    <row r="31" spans="2:18" x14ac:dyDescent="0.2">
      <c r="B31" s="166" t="s">
        <v>153</v>
      </c>
      <c r="C31" s="277" t="s">
        <v>79</v>
      </c>
      <c r="D31" s="278"/>
      <c r="E31" s="278"/>
      <c r="F31" s="279"/>
      <c r="G31" s="30"/>
      <c r="H31" s="18">
        <f>SUM(H25:H30)</f>
        <v>3482.6499999999996</v>
      </c>
      <c r="I31" s="19"/>
      <c r="J31" s="112"/>
      <c r="K31" s="112"/>
      <c r="L31" s="112"/>
      <c r="M31" s="113"/>
      <c r="N31" s="114"/>
      <c r="O31" s="114"/>
      <c r="P31" s="114"/>
      <c r="Q31" s="114"/>
      <c r="R31" s="114"/>
    </row>
    <row r="32" spans="2:18" ht="22.5" x14ac:dyDescent="0.2">
      <c r="B32" s="175"/>
      <c r="C32" s="288" t="s">
        <v>143</v>
      </c>
      <c r="D32" s="288"/>
      <c r="E32" s="288"/>
      <c r="F32" s="288"/>
      <c r="G32" s="103" t="s">
        <v>129</v>
      </c>
      <c r="H32" s="102" t="s">
        <v>147</v>
      </c>
      <c r="I32" s="1"/>
      <c r="J32" s="112"/>
      <c r="K32" s="112"/>
      <c r="L32" s="112"/>
      <c r="M32" s="113"/>
      <c r="N32" s="114"/>
      <c r="O32" s="114"/>
      <c r="P32" s="114"/>
      <c r="Q32" s="114"/>
      <c r="R32" s="114"/>
    </row>
    <row r="33" spans="2:18" x14ac:dyDescent="0.2">
      <c r="B33" s="175"/>
      <c r="C33" s="288"/>
      <c r="D33" s="288"/>
      <c r="E33" s="288"/>
      <c r="F33" s="288"/>
      <c r="G33" s="101">
        <v>44</v>
      </c>
      <c r="H33" s="78">
        <f>IF(G33="",0,TRUNC((H25+H26+H27)/220,2))</f>
        <v>12.17</v>
      </c>
      <c r="I33" s="187"/>
      <c r="J33" s="112"/>
      <c r="K33" s="112"/>
      <c r="L33" s="112"/>
      <c r="M33" s="113"/>
      <c r="N33" s="114"/>
      <c r="O33" s="114"/>
      <c r="P33" s="114"/>
      <c r="Q33" s="114"/>
      <c r="R33" s="114"/>
    </row>
    <row r="34" spans="2:18" x14ac:dyDescent="0.2">
      <c r="B34" s="175"/>
      <c r="C34" s="175"/>
      <c r="D34" s="175"/>
      <c r="E34" s="175"/>
      <c r="F34" s="175"/>
      <c r="G34" s="175"/>
      <c r="H34" s="129"/>
      <c r="I34" s="19"/>
      <c r="J34" s="112"/>
      <c r="K34" s="112"/>
      <c r="L34" s="112"/>
      <c r="M34" s="113"/>
      <c r="N34" s="114"/>
      <c r="O34" s="114"/>
      <c r="P34" s="114"/>
      <c r="Q34" s="114"/>
      <c r="R34" s="114"/>
    </row>
    <row r="35" spans="2:18" x14ac:dyDescent="0.2">
      <c r="B35" s="175"/>
      <c r="C35" s="175"/>
      <c r="D35" s="175"/>
      <c r="E35" s="175"/>
      <c r="F35" s="175"/>
      <c r="G35" s="175"/>
      <c r="H35" s="129"/>
      <c r="I35" s="19"/>
      <c r="J35" s="112"/>
      <c r="K35" s="112"/>
      <c r="L35" s="112"/>
      <c r="M35" s="113"/>
      <c r="N35" s="114"/>
      <c r="O35" s="114"/>
      <c r="P35" s="114"/>
      <c r="Q35" s="114"/>
      <c r="R35" s="114"/>
    </row>
    <row r="36" spans="2:18" ht="12.75" customHeight="1" x14ac:dyDescent="0.2">
      <c r="B36" s="288" t="s">
        <v>85</v>
      </c>
      <c r="C36" s="288"/>
      <c r="D36" s="288"/>
      <c r="E36" s="288"/>
      <c r="F36" s="288"/>
      <c r="G36" s="288"/>
      <c r="H36" s="288"/>
      <c r="I36" s="201"/>
      <c r="J36" s="130"/>
      <c r="K36" s="112"/>
      <c r="L36" s="128"/>
      <c r="M36" s="127"/>
      <c r="N36" s="114"/>
      <c r="O36" s="114"/>
      <c r="P36" s="114"/>
      <c r="Q36" s="114"/>
      <c r="R36" s="114"/>
    </row>
    <row r="37" spans="2:18" x14ac:dyDescent="0.2">
      <c r="B37" s="301"/>
      <c r="C37" s="302"/>
      <c r="D37" s="302"/>
      <c r="E37" s="302"/>
      <c r="F37" s="302"/>
      <c r="G37" s="302"/>
      <c r="H37" s="303"/>
      <c r="I37" s="201"/>
      <c r="J37" s="130"/>
      <c r="K37" s="112"/>
      <c r="L37" s="128"/>
      <c r="M37" s="127"/>
      <c r="N37" s="114"/>
      <c r="O37" s="114"/>
      <c r="P37" s="114"/>
      <c r="Q37" s="114"/>
      <c r="R37" s="114"/>
    </row>
    <row r="38" spans="2:18" x14ac:dyDescent="0.2">
      <c r="B38" s="304" t="s">
        <v>54</v>
      </c>
      <c r="C38" s="304"/>
      <c r="D38" s="304"/>
      <c r="E38" s="304"/>
      <c r="F38" s="304"/>
      <c r="G38" s="304"/>
      <c r="H38" s="304"/>
      <c r="I38" s="176"/>
      <c r="J38" s="130"/>
      <c r="K38" s="112"/>
      <c r="L38" s="128"/>
      <c r="M38" s="127"/>
      <c r="N38" s="114"/>
      <c r="O38" s="114"/>
      <c r="P38" s="114"/>
      <c r="Q38" s="114"/>
      <c r="R38" s="114"/>
    </row>
    <row r="39" spans="2:18" x14ac:dyDescent="0.2">
      <c r="B39" s="170" t="s">
        <v>56</v>
      </c>
      <c r="C39" s="277" t="s">
        <v>45</v>
      </c>
      <c r="D39" s="278"/>
      <c r="E39" s="278"/>
      <c r="F39" s="279"/>
      <c r="G39" s="170" t="s">
        <v>2</v>
      </c>
      <c r="H39" s="170" t="s">
        <v>67</v>
      </c>
      <c r="I39" s="201"/>
      <c r="J39" s="133"/>
      <c r="K39" s="112"/>
      <c r="L39" s="112"/>
      <c r="M39" s="113"/>
      <c r="N39" s="114"/>
      <c r="O39" s="114"/>
      <c r="P39" s="114"/>
      <c r="Q39" s="114"/>
      <c r="R39" s="114"/>
    </row>
    <row r="40" spans="2:18" x14ac:dyDescent="0.2">
      <c r="B40" s="166" t="s">
        <v>5</v>
      </c>
      <c r="C40" s="168" t="s">
        <v>131</v>
      </c>
      <c r="D40" s="270" t="s">
        <v>154</v>
      </c>
      <c r="E40" s="271"/>
      <c r="F40" s="272"/>
      <c r="G40" s="20">
        <f>1/12</f>
        <v>8.3333333333333329E-2</v>
      </c>
      <c r="H40" s="21">
        <f>TRUNC((H$31*$G40),2)</f>
        <v>290.22000000000003</v>
      </c>
      <c r="I40" s="188"/>
      <c r="J40" s="130"/>
      <c r="K40" s="112"/>
      <c r="L40" s="112"/>
      <c r="M40" s="127"/>
      <c r="N40" s="114"/>
      <c r="O40" s="114"/>
      <c r="P40" s="114"/>
      <c r="Q40" s="114"/>
      <c r="R40" s="114"/>
    </row>
    <row r="41" spans="2:18" x14ac:dyDescent="0.2">
      <c r="B41" s="166" t="s">
        <v>6</v>
      </c>
      <c r="C41" s="168" t="s">
        <v>83</v>
      </c>
      <c r="D41" s="270" t="s">
        <v>156</v>
      </c>
      <c r="E41" s="271"/>
      <c r="F41" s="272"/>
      <c r="G41" s="20">
        <f>(1/12)+(1/3/12)</f>
        <v>0.1111111111111111</v>
      </c>
      <c r="H41" s="21">
        <f>TRUNC((H$31*$G41),2)</f>
        <v>386.96</v>
      </c>
      <c r="I41" s="188"/>
      <c r="J41" s="130"/>
      <c r="K41" s="112"/>
      <c r="L41" s="112"/>
      <c r="M41" s="127"/>
      <c r="N41" s="114"/>
      <c r="O41" s="114"/>
      <c r="P41" s="114"/>
      <c r="Q41" s="114"/>
      <c r="R41" s="114"/>
    </row>
    <row r="42" spans="2:18" x14ac:dyDescent="0.2">
      <c r="B42" s="166" t="s">
        <v>155</v>
      </c>
      <c r="C42" s="277" t="s">
        <v>79</v>
      </c>
      <c r="D42" s="278"/>
      <c r="E42" s="278"/>
      <c r="F42" s="279"/>
      <c r="G42" s="22">
        <f>TRUNC(SUM(G40:G41),4)</f>
        <v>0.19439999999999999</v>
      </c>
      <c r="H42" s="18">
        <f>SUM(H40:H41)</f>
        <v>677.18000000000006</v>
      </c>
      <c r="I42" s="19"/>
      <c r="J42" s="130"/>
      <c r="K42" s="112"/>
      <c r="L42" s="112"/>
      <c r="M42" s="127"/>
      <c r="N42" s="114"/>
      <c r="O42" s="114"/>
      <c r="P42" s="114"/>
      <c r="Q42" s="114"/>
      <c r="R42" s="114"/>
    </row>
    <row r="43" spans="2:18" x14ac:dyDescent="0.2">
      <c r="B43" s="273"/>
      <c r="C43" s="274"/>
      <c r="D43" s="274"/>
      <c r="E43" s="274"/>
      <c r="F43" s="274"/>
      <c r="G43" s="274"/>
      <c r="H43" s="275"/>
      <c r="I43" s="177"/>
      <c r="J43" s="130"/>
      <c r="K43" s="112"/>
      <c r="L43" s="112"/>
      <c r="M43" s="127"/>
      <c r="N43" s="114"/>
      <c r="O43" s="114"/>
      <c r="P43" s="114"/>
      <c r="Q43" s="114"/>
      <c r="R43" s="114"/>
    </row>
    <row r="44" spans="2:18" ht="30" customHeight="1" x14ac:dyDescent="0.2">
      <c r="B44" s="294" t="s">
        <v>86</v>
      </c>
      <c r="C44" s="295"/>
      <c r="D44" s="295"/>
      <c r="E44" s="295"/>
      <c r="F44" s="295"/>
      <c r="G44" s="295"/>
      <c r="H44" s="296"/>
      <c r="I44" s="189"/>
      <c r="J44" s="131"/>
      <c r="K44" s="132"/>
      <c r="L44" s="112"/>
      <c r="M44" s="113"/>
      <c r="N44" s="114"/>
      <c r="O44" s="114"/>
      <c r="P44" s="114"/>
      <c r="Q44" s="114"/>
      <c r="R44" s="114"/>
    </row>
    <row r="45" spans="2:18" x14ac:dyDescent="0.2">
      <c r="B45" s="170" t="s">
        <v>57</v>
      </c>
      <c r="C45" s="277" t="s">
        <v>87</v>
      </c>
      <c r="D45" s="278"/>
      <c r="E45" s="278"/>
      <c r="F45" s="279"/>
      <c r="G45" s="170" t="s">
        <v>2</v>
      </c>
      <c r="H45" s="170" t="s">
        <v>67</v>
      </c>
      <c r="I45" s="201"/>
      <c r="J45" s="130"/>
      <c r="K45" s="112"/>
      <c r="L45" s="112"/>
      <c r="M45" s="127"/>
      <c r="N45" s="114"/>
      <c r="O45" s="114"/>
      <c r="P45" s="114"/>
      <c r="Q45" s="114"/>
      <c r="R45" s="114"/>
    </row>
    <row r="46" spans="2:18" x14ac:dyDescent="0.2">
      <c r="B46" s="166" t="s">
        <v>5</v>
      </c>
      <c r="C46" s="168" t="s">
        <v>48</v>
      </c>
      <c r="D46" s="270" t="s">
        <v>157</v>
      </c>
      <c r="E46" s="271"/>
      <c r="F46" s="272"/>
      <c r="G46" s="20">
        <v>0.2</v>
      </c>
      <c r="H46" s="21">
        <f>TRUNC((H$31+H$42)*$G46,2)</f>
        <v>831.96</v>
      </c>
      <c r="I46" s="188"/>
      <c r="J46" s="130"/>
      <c r="K46" s="112"/>
      <c r="L46" s="112"/>
      <c r="M46" s="113"/>
      <c r="N46" s="114"/>
      <c r="O46" s="114"/>
      <c r="P46" s="114"/>
      <c r="Q46" s="114"/>
      <c r="R46" s="114"/>
    </row>
    <row r="47" spans="2:18" x14ac:dyDescent="0.2">
      <c r="B47" s="166" t="s">
        <v>6</v>
      </c>
      <c r="C47" s="152" t="s">
        <v>49</v>
      </c>
      <c r="D47" s="270" t="s">
        <v>158</v>
      </c>
      <c r="E47" s="271"/>
      <c r="F47" s="272"/>
      <c r="G47" s="20">
        <v>2.5000000000000001E-2</v>
      </c>
      <c r="H47" s="21">
        <f>TRUNC((H$31+H$42)*$G47,2)</f>
        <v>103.99</v>
      </c>
      <c r="I47" s="188"/>
      <c r="J47" s="130"/>
      <c r="K47" s="112"/>
      <c r="L47" s="112"/>
      <c r="M47" s="113"/>
      <c r="N47" s="114"/>
      <c r="O47" s="114"/>
      <c r="P47" s="114"/>
      <c r="Q47" s="114"/>
      <c r="R47" s="114"/>
    </row>
    <row r="48" spans="2:18" x14ac:dyDescent="0.2">
      <c r="B48" s="289" t="s">
        <v>7</v>
      </c>
      <c r="C48" s="291" t="s">
        <v>122</v>
      </c>
      <c r="D48" s="293" t="s">
        <v>164</v>
      </c>
      <c r="E48" s="6" t="s">
        <v>123</v>
      </c>
      <c r="F48" s="6" t="s">
        <v>121</v>
      </c>
      <c r="G48" s="297">
        <f>E49*F49</f>
        <v>0.03</v>
      </c>
      <c r="H48" s="299">
        <f>TRUNC((H$31+H$42)*$G48,2)</f>
        <v>124.79</v>
      </c>
      <c r="I48" s="191"/>
      <c r="J48" s="305"/>
      <c r="K48" s="112"/>
      <c r="L48" s="112"/>
      <c r="M48" s="113"/>
      <c r="N48" s="114"/>
      <c r="O48" s="114"/>
      <c r="P48" s="114"/>
      <c r="Q48" s="114"/>
      <c r="R48" s="114"/>
    </row>
    <row r="49" spans="2:18" x14ac:dyDescent="0.2">
      <c r="B49" s="290"/>
      <c r="C49" s="292"/>
      <c r="D49" s="293"/>
      <c r="E49" s="79">
        <v>0.03</v>
      </c>
      <c r="F49" s="80">
        <v>1</v>
      </c>
      <c r="G49" s="298"/>
      <c r="H49" s="300"/>
      <c r="I49" s="191"/>
      <c r="J49" s="305"/>
      <c r="K49" s="112"/>
      <c r="L49" s="112"/>
      <c r="M49" s="113"/>
      <c r="N49" s="114"/>
      <c r="O49" s="114"/>
      <c r="P49" s="114"/>
      <c r="Q49" s="114"/>
      <c r="R49" s="114"/>
    </row>
    <row r="50" spans="2:18" x14ac:dyDescent="0.2">
      <c r="B50" s="166" t="s">
        <v>8</v>
      </c>
      <c r="C50" s="168" t="s">
        <v>47</v>
      </c>
      <c r="D50" s="270" t="s">
        <v>159</v>
      </c>
      <c r="E50" s="271"/>
      <c r="F50" s="272"/>
      <c r="G50" s="20">
        <v>1.4999999999999999E-2</v>
      </c>
      <c r="H50" s="21">
        <f>TRUNC((H$31+H$42)*$G50,2)</f>
        <v>62.39</v>
      </c>
      <c r="I50" s="188"/>
      <c r="J50" s="130"/>
      <c r="K50" s="112"/>
      <c r="L50" s="112"/>
      <c r="M50" s="113"/>
      <c r="N50" s="114"/>
      <c r="O50" s="114"/>
      <c r="P50" s="114"/>
      <c r="Q50" s="114"/>
      <c r="R50" s="114"/>
    </row>
    <row r="51" spans="2:18" x14ac:dyDescent="0.2">
      <c r="B51" s="166" t="s">
        <v>9</v>
      </c>
      <c r="C51" s="168" t="s">
        <v>50</v>
      </c>
      <c r="D51" s="270" t="s">
        <v>160</v>
      </c>
      <c r="E51" s="271"/>
      <c r="F51" s="272"/>
      <c r="G51" s="20">
        <v>0.01</v>
      </c>
      <c r="H51" s="21">
        <f>TRUNC((H$31+H$42)*$G51,2)</f>
        <v>41.59</v>
      </c>
      <c r="I51" s="188"/>
      <c r="J51" s="130"/>
      <c r="K51" s="112"/>
      <c r="L51" s="112"/>
      <c r="M51" s="113"/>
      <c r="N51" s="114"/>
      <c r="O51" s="114"/>
      <c r="P51" s="114"/>
      <c r="Q51" s="114"/>
      <c r="R51" s="114"/>
    </row>
    <row r="52" spans="2:18" x14ac:dyDescent="0.2">
      <c r="B52" s="166" t="s">
        <v>10</v>
      </c>
      <c r="C52" s="168" t="s">
        <v>51</v>
      </c>
      <c r="D52" s="270" t="s">
        <v>161</v>
      </c>
      <c r="E52" s="271"/>
      <c r="F52" s="272"/>
      <c r="G52" s="20">
        <v>6.0000000000000001E-3</v>
      </c>
      <c r="H52" s="21">
        <f>TRUNC((H$31+H$42)*$G52,2)</f>
        <v>24.95</v>
      </c>
      <c r="I52" s="188"/>
      <c r="J52" s="130"/>
      <c r="K52" s="112"/>
      <c r="L52" s="112"/>
      <c r="M52" s="113"/>
      <c r="N52" s="114"/>
      <c r="O52" s="114"/>
      <c r="P52" s="114"/>
      <c r="Q52" s="114"/>
      <c r="R52" s="114"/>
    </row>
    <row r="53" spans="2:18" x14ac:dyDescent="0.2">
      <c r="B53" s="166" t="s">
        <v>11</v>
      </c>
      <c r="C53" s="168" t="s">
        <v>52</v>
      </c>
      <c r="D53" s="270" t="s">
        <v>162</v>
      </c>
      <c r="E53" s="271"/>
      <c r="F53" s="272"/>
      <c r="G53" s="20">
        <v>2E-3</v>
      </c>
      <c r="H53" s="21">
        <f>TRUNC((H$31+H$42)*$G53,2)</f>
        <v>8.31</v>
      </c>
      <c r="I53" s="188"/>
      <c r="J53" s="130"/>
      <c r="K53" s="112"/>
      <c r="L53" s="112"/>
      <c r="M53" s="113"/>
      <c r="N53" s="114"/>
      <c r="O53" s="114"/>
      <c r="P53" s="114"/>
      <c r="Q53" s="114"/>
      <c r="R53" s="114"/>
    </row>
    <row r="54" spans="2:18" x14ac:dyDescent="0.2">
      <c r="B54" s="166" t="s">
        <v>12</v>
      </c>
      <c r="C54" s="168" t="s">
        <v>53</v>
      </c>
      <c r="D54" s="270" t="s">
        <v>163</v>
      </c>
      <c r="E54" s="271"/>
      <c r="F54" s="272"/>
      <c r="G54" s="20">
        <v>0.08</v>
      </c>
      <c r="H54" s="21">
        <f>TRUNC((H$31+H$42)*$G54,2)</f>
        <v>332.78</v>
      </c>
      <c r="I54" s="188"/>
      <c r="J54" s="130"/>
      <c r="K54" s="112"/>
      <c r="L54" s="112"/>
      <c r="M54" s="113"/>
      <c r="N54" s="114"/>
      <c r="O54" s="114"/>
      <c r="P54" s="114"/>
      <c r="Q54" s="114"/>
      <c r="R54" s="114"/>
    </row>
    <row r="55" spans="2:18" x14ac:dyDescent="0.2">
      <c r="B55" s="166" t="s">
        <v>165</v>
      </c>
      <c r="C55" s="277" t="s">
        <v>79</v>
      </c>
      <c r="D55" s="278"/>
      <c r="E55" s="278"/>
      <c r="F55" s="279"/>
      <c r="G55" s="23">
        <f>SUM(G46:G54)</f>
        <v>0.36800000000000005</v>
      </c>
      <c r="H55" s="24">
        <f>SUM(H46:H54)</f>
        <v>1530.76</v>
      </c>
      <c r="I55" s="19"/>
      <c r="J55" s="133"/>
      <c r="K55" s="112"/>
      <c r="L55" s="112"/>
      <c r="M55" s="113"/>
      <c r="N55" s="114"/>
      <c r="O55" s="114"/>
      <c r="P55" s="114"/>
      <c r="Q55" s="114"/>
      <c r="R55" s="114"/>
    </row>
    <row r="56" spans="2:18" x14ac:dyDescent="0.2">
      <c r="B56" s="307"/>
      <c r="C56" s="308"/>
      <c r="D56" s="308"/>
      <c r="E56" s="308"/>
      <c r="F56" s="308"/>
      <c r="G56" s="308"/>
      <c r="H56" s="309"/>
      <c r="I56" s="204"/>
      <c r="J56" s="133"/>
      <c r="K56" s="112"/>
      <c r="L56" s="112"/>
      <c r="M56" s="113"/>
      <c r="N56" s="134"/>
      <c r="O56" s="114"/>
      <c r="P56" s="114"/>
      <c r="Q56" s="114"/>
      <c r="R56" s="114"/>
    </row>
    <row r="57" spans="2:18" ht="12.75" customHeight="1" x14ac:dyDescent="0.2">
      <c r="B57" s="294" t="s">
        <v>55</v>
      </c>
      <c r="C57" s="295"/>
      <c r="D57" s="295"/>
      <c r="E57" s="295"/>
      <c r="F57" s="295"/>
      <c r="G57" s="295"/>
      <c r="H57" s="296"/>
      <c r="I57" s="204"/>
      <c r="J57" s="130"/>
      <c r="K57" s="112"/>
      <c r="L57" s="112"/>
      <c r="M57" s="113"/>
      <c r="N57" s="114"/>
      <c r="O57" s="114"/>
      <c r="P57" s="114"/>
      <c r="Q57" s="114"/>
      <c r="R57" s="114"/>
    </row>
    <row r="58" spans="2:18" x14ac:dyDescent="0.2">
      <c r="B58" s="170" t="s">
        <v>58</v>
      </c>
      <c r="C58" s="277" t="s">
        <v>59</v>
      </c>
      <c r="D58" s="278"/>
      <c r="E58" s="278"/>
      <c r="F58" s="278"/>
      <c r="G58" s="279"/>
      <c r="H58" s="170" t="s">
        <v>67</v>
      </c>
      <c r="I58" s="201"/>
      <c r="J58" s="131"/>
      <c r="K58" s="112"/>
      <c r="L58" s="112"/>
      <c r="M58" s="113"/>
      <c r="N58" s="114"/>
      <c r="O58" s="114"/>
      <c r="P58" s="114"/>
      <c r="Q58" s="114"/>
      <c r="R58" s="114"/>
    </row>
    <row r="59" spans="2:18" ht="12.75" customHeight="1" x14ac:dyDescent="0.2">
      <c r="B59" s="166" t="s">
        <v>5</v>
      </c>
      <c r="C59" s="168" t="s">
        <v>65</v>
      </c>
      <c r="D59" s="270" t="s">
        <v>168</v>
      </c>
      <c r="E59" s="271"/>
      <c r="F59" s="271"/>
      <c r="G59" s="272"/>
      <c r="H59" s="81">
        <f>TRUNC((8.55*2*22)-(H$25*6%),2)</f>
        <v>215.43</v>
      </c>
      <c r="I59" s="205"/>
      <c r="J59" s="306"/>
      <c r="K59" s="306"/>
      <c r="L59" s="306"/>
      <c r="M59" s="306"/>
      <c r="N59" s="306"/>
      <c r="O59" s="114"/>
      <c r="P59" s="114"/>
      <c r="Q59" s="114"/>
      <c r="R59" s="114"/>
    </row>
    <row r="60" spans="2:18" ht="12.75" customHeight="1" x14ac:dyDescent="0.2">
      <c r="B60" s="166" t="s">
        <v>6</v>
      </c>
      <c r="C60" s="168" t="s">
        <v>66</v>
      </c>
      <c r="D60" s="270" t="s">
        <v>169</v>
      </c>
      <c r="E60" s="271"/>
      <c r="F60" s="271"/>
      <c r="G60" s="272"/>
      <c r="H60" s="81">
        <f>21.83*22</f>
        <v>480.26</v>
      </c>
      <c r="I60" s="205"/>
      <c r="J60" s="130"/>
      <c r="K60" s="130"/>
      <c r="L60" s="130"/>
      <c r="M60" s="130"/>
      <c r="N60" s="130"/>
      <c r="O60" s="114"/>
      <c r="P60" s="114"/>
      <c r="Q60" s="114"/>
      <c r="R60" s="114"/>
    </row>
    <row r="61" spans="2:18" x14ac:dyDescent="0.2">
      <c r="B61" s="166" t="s">
        <v>7</v>
      </c>
      <c r="C61" s="241" t="s">
        <v>203</v>
      </c>
      <c r="D61" s="270"/>
      <c r="E61" s="271"/>
      <c r="F61" s="271"/>
      <c r="G61" s="272"/>
      <c r="H61" s="81">
        <v>7.5</v>
      </c>
      <c r="I61" s="205"/>
      <c r="J61" s="130"/>
      <c r="K61" s="112"/>
      <c r="L61" s="112"/>
      <c r="M61" s="113"/>
      <c r="N61" s="114"/>
      <c r="O61" s="114"/>
      <c r="P61" s="114"/>
      <c r="Q61" s="114"/>
      <c r="R61" s="114"/>
    </row>
    <row r="62" spans="2:18" s="135" customFormat="1" x14ac:dyDescent="0.2">
      <c r="B62" s="166" t="s">
        <v>8</v>
      </c>
      <c r="C62" s="168" t="s">
        <v>3</v>
      </c>
      <c r="D62" s="270"/>
      <c r="E62" s="271"/>
      <c r="F62" s="271"/>
      <c r="G62" s="272"/>
      <c r="H62" s="81">
        <v>0</v>
      </c>
      <c r="I62" s="205"/>
      <c r="J62" s="130"/>
      <c r="K62" s="112"/>
      <c r="L62" s="112"/>
      <c r="M62" s="113"/>
      <c r="N62" s="114"/>
      <c r="O62" s="114"/>
      <c r="P62" s="114"/>
      <c r="Q62" s="114"/>
      <c r="R62" s="114"/>
    </row>
    <row r="63" spans="2:18" x14ac:dyDescent="0.2">
      <c r="B63" s="166" t="s">
        <v>166</v>
      </c>
      <c r="C63" s="277" t="s">
        <v>79</v>
      </c>
      <c r="D63" s="278"/>
      <c r="E63" s="278"/>
      <c r="F63" s="278"/>
      <c r="G63" s="279"/>
      <c r="H63" s="24">
        <f>SUM(H59:H62)</f>
        <v>703.19</v>
      </c>
      <c r="I63" s="19"/>
      <c r="K63" s="112"/>
      <c r="L63" s="112"/>
      <c r="M63" s="113"/>
      <c r="N63" s="114"/>
      <c r="O63" s="114"/>
      <c r="P63" s="114"/>
      <c r="Q63" s="114"/>
      <c r="R63" s="114"/>
    </row>
    <row r="64" spans="2:18" x14ac:dyDescent="0.2">
      <c r="B64" s="273"/>
      <c r="C64" s="274"/>
      <c r="D64" s="274"/>
      <c r="E64" s="274"/>
      <c r="F64" s="274"/>
      <c r="G64" s="274"/>
      <c r="H64" s="275"/>
      <c r="I64" s="177"/>
      <c r="J64" s="130"/>
      <c r="K64" s="112"/>
      <c r="L64" s="112"/>
      <c r="M64" s="113"/>
      <c r="N64" s="114"/>
      <c r="O64" s="114"/>
      <c r="P64" s="114"/>
      <c r="Q64" s="114"/>
      <c r="R64" s="114"/>
    </row>
    <row r="65" spans="2:18" x14ac:dyDescent="0.2">
      <c r="B65" s="276" t="s">
        <v>89</v>
      </c>
      <c r="C65" s="276"/>
      <c r="D65" s="276"/>
      <c r="E65" s="276"/>
      <c r="F65" s="276"/>
      <c r="G65" s="276"/>
      <c r="H65" s="276"/>
      <c r="I65" s="177"/>
      <c r="J65" s="130"/>
      <c r="K65" s="112"/>
      <c r="L65" s="112"/>
      <c r="M65" s="113"/>
      <c r="N65" s="114"/>
      <c r="O65" s="114"/>
      <c r="P65" s="114"/>
      <c r="Q65" s="114"/>
      <c r="R65" s="114"/>
    </row>
    <row r="66" spans="2:18" x14ac:dyDescent="0.2">
      <c r="B66" s="170">
        <v>2</v>
      </c>
      <c r="C66" s="277" t="s">
        <v>88</v>
      </c>
      <c r="D66" s="278"/>
      <c r="E66" s="278"/>
      <c r="F66" s="278"/>
      <c r="G66" s="279"/>
      <c r="H66" s="170" t="s">
        <v>67</v>
      </c>
      <c r="I66" s="201"/>
      <c r="J66" s="130"/>
      <c r="K66" s="112"/>
      <c r="L66" s="112"/>
      <c r="M66" s="113"/>
      <c r="N66" s="114"/>
      <c r="O66" s="114"/>
      <c r="P66" s="114"/>
      <c r="Q66" s="114"/>
      <c r="R66" s="114"/>
    </row>
    <row r="67" spans="2:18" x14ac:dyDescent="0.2">
      <c r="B67" s="166" t="s">
        <v>56</v>
      </c>
      <c r="C67" s="155" t="s">
        <v>45</v>
      </c>
      <c r="D67" s="270" t="s">
        <v>155</v>
      </c>
      <c r="E67" s="271"/>
      <c r="F67" s="271"/>
      <c r="G67" s="272"/>
      <c r="H67" s="21">
        <f>H42</f>
        <v>677.18000000000006</v>
      </c>
      <c r="I67" s="188"/>
      <c r="J67" s="130"/>
      <c r="K67" s="112"/>
      <c r="L67" s="112"/>
      <c r="M67" s="113"/>
      <c r="N67" s="114"/>
      <c r="O67" s="114"/>
      <c r="P67" s="114"/>
      <c r="Q67" s="114"/>
      <c r="R67" s="114"/>
    </row>
    <row r="68" spans="2:18" x14ac:dyDescent="0.2">
      <c r="B68" s="166" t="s">
        <v>57</v>
      </c>
      <c r="C68" s="155" t="s">
        <v>46</v>
      </c>
      <c r="D68" s="270" t="s">
        <v>165</v>
      </c>
      <c r="E68" s="271"/>
      <c r="F68" s="271"/>
      <c r="G68" s="272"/>
      <c r="H68" s="21">
        <f>H55</f>
        <v>1530.76</v>
      </c>
      <c r="I68" s="188"/>
      <c r="J68" s="130"/>
      <c r="K68" s="112"/>
      <c r="L68" s="112"/>
      <c r="M68" s="113"/>
      <c r="N68" s="114"/>
      <c r="O68" s="114"/>
      <c r="P68" s="114"/>
      <c r="Q68" s="114"/>
      <c r="R68" s="114"/>
    </row>
    <row r="69" spans="2:18" x14ac:dyDescent="0.2">
      <c r="B69" s="166" t="s">
        <v>58</v>
      </c>
      <c r="C69" s="155" t="s">
        <v>59</v>
      </c>
      <c r="D69" s="270" t="s">
        <v>166</v>
      </c>
      <c r="E69" s="271"/>
      <c r="F69" s="271"/>
      <c r="G69" s="272"/>
      <c r="H69" s="21">
        <f>H63</f>
        <v>703.19</v>
      </c>
      <c r="I69" s="188"/>
      <c r="J69" s="130"/>
      <c r="K69" s="112"/>
      <c r="L69" s="112"/>
      <c r="M69" s="113"/>
      <c r="N69" s="114"/>
      <c r="O69" s="114"/>
      <c r="P69" s="114"/>
      <c r="Q69" s="114"/>
      <c r="R69" s="114"/>
    </row>
    <row r="70" spans="2:18" x14ac:dyDescent="0.2">
      <c r="B70" s="166" t="s">
        <v>167</v>
      </c>
      <c r="C70" s="277" t="s">
        <v>79</v>
      </c>
      <c r="D70" s="278"/>
      <c r="E70" s="278"/>
      <c r="F70" s="278"/>
      <c r="G70" s="279"/>
      <c r="H70" s="18">
        <f>SUM(H67:H69)</f>
        <v>2911.13</v>
      </c>
      <c r="I70" s="19"/>
      <c r="J70" s="130"/>
      <c r="K70" s="112"/>
      <c r="L70" s="112"/>
      <c r="M70" s="113"/>
      <c r="N70" s="114"/>
      <c r="O70" s="114"/>
      <c r="P70" s="114"/>
      <c r="Q70" s="114"/>
      <c r="R70" s="114"/>
    </row>
    <row r="71" spans="2:18" x14ac:dyDescent="0.2">
      <c r="B71" s="274"/>
      <c r="C71" s="274"/>
      <c r="D71" s="274"/>
      <c r="E71" s="274"/>
      <c r="F71" s="274"/>
      <c r="G71" s="274"/>
      <c r="H71" s="274"/>
      <c r="I71" s="201"/>
      <c r="J71" s="130"/>
      <c r="K71" s="112"/>
      <c r="L71" s="112"/>
      <c r="M71" s="113"/>
      <c r="N71" s="114"/>
      <c r="O71" s="114"/>
      <c r="P71" s="114"/>
      <c r="Q71" s="114"/>
      <c r="R71" s="114"/>
    </row>
    <row r="72" spans="2:18" x14ac:dyDescent="0.2">
      <c r="B72" s="175"/>
      <c r="C72" s="175"/>
      <c r="D72" s="175"/>
      <c r="E72" s="175"/>
      <c r="F72" s="175"/>
      <c r="G72" s="175"/>
      <c r="H72" s="175"/>
      <c r="I72" s="201"/>
      <c r="J72" s="130"/>
      <c r="K72" s="112"/>
      <c r="L72" s="112"/>
      <c r="M72" s="113"/>
      <c r="N72" s="114"/>
      <c r="O72" s="114"/>
      <c r="P72" s="114"/>
      <c r="Q72" s="114"/>
      <c r="R72" s="114"/>
    </row>
    <row r="73" spans="2:18" x14ac:dyDescent="0.2">
      <c r="B73" s="288" t="s">
        <v>90</v>
      </c>
      <c r="C73" s="288"/>
      <c r="D73" s="288"/>
      <c r="E73" s="288"/>
      <c r="F73" s="288"/>
      <c r="G73" s="288"/>
      <c r="H73" s="288"/>
      <c r="I73" s="201"/>
      <c r="J73" s="130"/>
      <c r="K73" s="112"/>
      <c r="L73" s="112"/>
      <c r="M73" s="113"/>
      <c r="N73" s="114"/>
      <c r="O73" s="114"/>
      <c r="P73" s="114"/>
      <c r="Q73" s="114"/>
      <c r="R73" s="114"/>
    </row>
    <row r="74" spans="2:18" x14ac:dyDescent="0.2">
      <c r="B74" s="170">
        <v>3</v>
      </c>
      <c r="C74" s="277" t="s">
        <v>80</v>
      </c>
      <c r="D74" s="278"/>
      <c r="E74" s="278"/>
      <c r="F74" s="279"/>
      <c r="G74" s="170" t="s">
        <v>2</v>
      </c>
      <c r="H74" s="170" t="s">
        <v>67</v>
      </c>
      <c r="I74" s="201"/>
      <c r="J74" s="136"/>
      <c r="K74" s="112"/>
      <c r="L74" s="112"/>
      <c r="M74" s="113"/>
      <c r="N74" s="114"/>
      <c r="O74" s="114"/>
      <c r="P74" s="114"/>
      <c r="Q74" s="114"/>
      <c r="R74" s="114"/>
    </row>
    <row r="75" spans="2:18" x14ac:dyDescent="0.2">
      <c r="B75" s="166" t="s">
        <v>5</v>
      </c>
      <c r="C75" s="156" t="s">
        <v>116</v>
      </c>
      <c r="D75" s="270" t="s">
        <v>231</v>
      </c>
      <c r="E75" s="271"/>
      <c r="F75" s="272"/>
      <c r="G75" s="82">
        <v>0.3</v>
      </c>
      <c r="H75" s="25">
        <f>TRUNC((H$76+H$77)*$G75,2)</f>
        <v>164.44</v>
      </c>
      <c r="I75" s="19"/>
      <c r="J75" s="133"/>
      <c r="K75" s="112"/>
      <c r="L75" s="112"/>
      <c r="M75" s="113"/>
      <c r="N75" s="114"/>
      <c r="O75" s="137"/>
      <c r="P75" s="114"/>
      <c r="Q75" s="114"/>
      <c r="R75" s="114"/>
    </row>
    <row r="76" spans="2:18" x14ac:dyDescent="0.2">
      <c r="B76" s="166" t="s">
        <v>6</v>
      </c>
      <c r="C76" s="168" t="s">
        <v>117</v>
      </c>
      <c r="D76" s="270" t="s">
        <v>191</v>
      </c>
      <c r="E76" s="271"/>
      <c r="F76" s="272"/>
      <c r="G76" s="26"/>
      <c r="H76" s="21">
        <f>TRUNC((H$31+H$42+H$54+H$63-H59)/12,2)</f>
        <v>415.03</v>
      </c>
      <c r="I76" s="188"/>
      <c r="J76" s="130"/>
      <c r="K76" s="112"/>
      <c r="L76" s="112"/>
      <c r="M76" s="113"/>
      <c r="N76" s="114"/>
      <c r="O76" s="138"/>
      <c r="P76" s="114"/>
      <c r="Q76" s="114"/>
      <c r="R76" s="114"/>
    </row>
    <row r="77" spans="2:18" x14ac:dyDescent="0.2">
      <c r="B77" s="166" t="s">
        <v>7</v>
      </c>
      <c r="C77" s="168" t="s">
        <v>118</v>
      </c>
      <c r="D77" s="270" t="s">
        <v>186</v>
      </c>
      <c r="E77" s="272"/>
      <c r="F77" s="84">
        <v>0.4</v>
      </c>
      <c r="G77" s="26"/>
      <c r="H77" s="21">
        <f>TRUNC(H$54*$F77,2)</f>
        <v>133.11000000000001</v>
      </c>
      <c r="I77" s="188"/>
      <c r="J77" s="130"/>
      <c r="K77" s="112"/>
      <c r="L77" s="112"/>
      <c r="M77" s="113"/>
      <c r="N77" s="114"/>
      <c r="O77" s="138"/>
      <c r="P77" s="114"/>
      <c r="Q77" s="114"/>
      <c r="R77" s="114"/>
    </row>
    <row r="78" spans="2:18" x14ac:dyDescent="0.2">
      <c r="B78" s="166" t="s">
        <v>8</v>
      </c>
      <c r="C78" s="156" t="s">
        <v>119</v>
      </c>
      <c r="D78" s="270" t="s">
        <v>232</v>
      </c>
      <c r="E78" s="271"/>
      <c r="F78" s="272"/>
      <c r="G78" s="82">
        <v>1</v>
      </c>
      <c r="H78" s="160">
        <f>IF($G78&gt;=1,(TRUNC(H$79*$G78,2)),"ERRO")</f>
        <v>133.11000000000001</v>
      </c>
      <c r="I78" s="190"/>
      <c r="J78" s="130"/>
      <c r="K78" s="112"/>
      <c r="L78" s="112"/>
      <c r="M78" s="113"/>
      <c r="N78" s="114"/>
      <c r="O78" s="134"/>
      <c r="P78" s="114"/>
      <c r="Q78" s="114"/>
      <c r="R78" s="114"/>
    </row>
    <row r="79" spans="2:18" x14ac:dyDescent="0.2">
      <c r="B79" s="166" t="s">
        <v>9</v>
      </c>
      <c r="C79" s="168" t="s">
        <v>120</v>
      </c>
      <c r="D79" s="270" t="s">
        <v>186</v>
      </c>
      <c r="E79" s="272"/>
      <c r="F79" s="84">
        <v>0.4</v>
      </c>
      <c r="G79" s="26"/>
      <c r="H79" s="21">
        <f>TRUNC(H$54*$F79,2)</f>
        <v>133.11000000000001</v>
      </c>
      <c r="I79" s="188"/>
      <c r="J79" s="130"/>
      <c r="K79" s="112"/>
      <c r="L79" s="112"/>
      <c r="M79" s="113"/>
      <c r="N79" s="114"/>
      <c r="O79" s="134"/>
      <c r="P79" s="114"/>
      <c r="Q79" s="114"/>
      <c r="R79" s="114"/>
    </row>
    <row r="80" spans="2:18" x14ac:dyDescent="0.2">
      <c r="B80" s="166" t="s">
        <v>10</v>
      </c>
      <c r="C80" s="156" t="s">
        <v>190</v>
      </c>
      <c r="D80" s="319" t="s">
        <v>233</v>
      </c>
      <c r="E80" s="320"/>
      <c r="F80" s="83">
        <v>12</v>
      </c>
      <c r="G80" s="83">
        <v>3</v>
      </c>
      <c r="H80" s="21">
        <f>TRUNC(((H$31+H$42+H$55)/30)*$G80/$F80,2)</f>
        <v>47.42</v>
      </c>
      <c r="I80" s="188"/>
      <c r="J80" s="183"/>
      <c r="K80" s="113"/>
      <c r="L80" s="113"/>
      <c r="M80" s="113"/>
      <c r="N80" s="114"/>
      <c r="O80" s="134"/>
      <c r="P80" s="114"/>
      <c r="Q80" s="114"/>
      <c r="R80" s="114"/>
    </row>
    <row r="81" spans="2:18" x14ac:dyDescent="0.2">
      <c r="B81" s="166" t="s">
        <v>171</v>
      </c>
      <c r="C81" s="277" t="s">
        <v>79</v>
      </c>
      <c r="D81" s="278"/>
      <c r="E81" s="278"/>
      <c r="F81" s="278"/>
      <c r="G81" s="279"/>
      <c r="H81" s="18">
        <f>H$75+H$78+H$80</f>
        <v>344.97</v>
      </c>
      <c r="I81" s="19"/>
      <c r="J81" s="114"/>
      <c r="K81" s="114"/>
      <c r="L81" s="114"/>
      <c r="M81" s="113"/>
      <c r="N81" s="114"/>
      <c r="O81" s="114"/>
      <c r="P81" s="114"/>
      <c r="Q81" s="114"/>
      <c r="R81" s="114"/>
    </row>
    <row r="82" spans="2:18" x14ac:dyDescent="0.2">
      <c r="B82" s="171"/>
      <c r="C82" s="171"/>
      <c r="D82" s="171"/>
      <c r="E82" s="171"/>
      <c r="F82" s="171"/>
      <c r="G82" s="171"/>
      <c r="H82" s="171"/>
      <c r="I82" s="178"/>
      <c r="J82" s="130"/>
      <c r="K82" s="112"/>
      <c r="L82" s="112"/>
      <c r="M82" s="113"/>
      <c r="N82" s="114"/>
      <c r="O82" s="114"/>
      <c r="P82" s="114"/>
      <c r="Q82" s="114"/>
      <c r="R82" s="114"/>
    </row>
    <row r="83" spans="2:18" x14ac:dyDescent="0.2">
      <c r="B83" s="175"/>
      <c r="C83" s="175"/>
      <c r="D83" s="175"/>
      <c r="E83" s="175"/>
      <c r="F83" s="175"/>
      <c r="G83" s="175"/>
      <c r="H83" s="175"/>
      <c r="I83" s="201"/>
      <c r="J83" s="130"/>
      <c r="K83" s="112"/>
      <c r="L83" s="112"/>
      <c r="M83" s="113"/>
      <c r="N83" s="114"/>
      <c r="O83" s="114"/>
      <c r="P83" s="114"/>
      <c r="Q83" s="114"/>
      <c r="R83" s="114"/>
    </row>
    <row r="84" spans="2:18" x14ac:dyDescent="0.2">
      <c r="B84" s="288" t="s">
        <v>91</v>
      </c>
      <c r="C84" s="288"/>
      <c r="D84" s="288"/>
      <c r="E84" s="288"/>
      <c r="F84" s="288"/>
      <c r="G84" s="288"/>
      <c r="H84" s="288"/>
      <c r="I84" s="201"/>
      <c r="J84" s="130"/>
      <c r="K84" s="112"/>
      <c r="L84" s="112"/>
      <c r="M84" s="113"/>
      <c r="N84" s="114"/>
      <c r="O84" s="114"/>
      <c r="P84" s="114"/>
      <c r="Q84" s="114"/>
      <c r="R84" s="114"/>
    </row>
    <row r="85" spans="2:18" x14ac:dyDescent="0.2">
      <c r="B85" s="313" t="s">
        <v>109</v>
      </c>
      <c r="C85" s="314"/>
      <c r="D85" s="314"/>
      <c r="E85" s="314"/>
      <c r="F85" s="314"/>
      <c r="G85" s="314"/>
      <c r="H85" s="315"/>
      <c r="I85" s="201"/>
      <c r="J85" s="130"/>
      <c r="K85" s="112"/>
      <c r="L85" s="112"/>
      <c r="M85" s="113"/>
      <c r="N85" s="114"/>
      <c r="O85" s="114"/>
      <c r="P85" s="114"/>
      <c r="Q85" s="114"/>
      <c r="R85" s="114"/>
    </row>
    <row r="86" spans="2:18" x14ac:dyDescent="0.2">
      <c r="B86" s="170" t="s">
        <v>17</v>
      </c>
      <c r="C86" s="277" t="s">
        <v>110</v>
      </c>
      <c r="D86" s="278"/>
      <c r="E86" s="278"/>
      <c r="F86" s="279"/>
      <c r="G86" s="170" t="s">
        <v>124</v>
      </c>
      <c r="H86" s="170" t="s">
        <v>67</v>
      </c>
      <c r="I86" s="201"/>
      <c r="J86" s="112"/>
      <c r="K86" s="112"/>
      <c r="L86" s="112"/>
      <c r="M86" s="113"/>
      <c r="N86" s="139"/>
      <c r="O86" s="114"/>
      <c r="P86" s="114"/>
      <c r="Q86" s="114"/>
      <c r="R86" s="114"/>
    </row>
    <row r="87" spans="2:18" x14ac:dyDescent="0.2">
      <c r="B87" s="166" t="s">
        <v>5</v>
      </c>
      <c r="C87" s="168" t="s">
        <v>130</v>
      </c>
      <c r="D87" s="270" t="s">
        <v>177</v>
      </c>
      <c r="E87" s="271"/>
      <c r="F87" s="272"/>
      <c r="G87" s="83">
        <v>30</v>
      </c>
      <c r="H87" s="21">
        <f>TRUNC((H$89*$G87)/12,2)</f>
        <v>561.54999999999995</v>
      </c>
      <c r="I87" s="188"/>
      <c r="J87" s="133"/>
      <c r="K87" s="112"/>
      <c r="L87" s="112"/>
      <c r="M87" s="113"/>
      <c r="N87" s="139"/>
      <c r="O87" s="114"/>
      <c r="P87" s="114"/>
      <c r="Q87" s="114"/>
      <c r="R87" s="114"/>
    </row>
    <row r="88" spans="2:18" ht="22.5" x14ac:dyDescent="0.2">
      <c r="B88" s="166" t="s">
        <v>6</v>
      </c>
      <c r="C88" s="157" t="s">
        <v>183</v>
      </c>
      <c r="D88" s="316" t="s">
        <v>235</v>
      </c>
      <c r="E88" s="317"/>
      <c r="F88" s="318"/>
      <c r="G88" s="107">
        <v>8</v>
      </c>
      <c r="H88" s="21">
        <f>TRUNC((H$89*$G88)/12,2)</f>
        <v>149.74</v>
      </c>
      <c r="I88" s="188"/>
      <c r="J88" s="133"/>
      <c r="K88" s="112"/>
      <c r="L88" s="112"/>
      <c r="M88" s="113"/>
      <c r="N88" s="139"/>
      <c r="O88" s="114"/>
      <c r="P88" s="114"/>
      <c r="Q88" s="114"/>
      <c r="R88" s="114"/>
    </row>
    <row r="89" spans="2:18" x14ac:dyDescent="0.2">
      <c r="B89" s="166" t="s">
        <v>7</v>
      </c>
      <c r="C89" s="168" t="s">
        <v>132</v>
      </c>
      <c r="D89" s="270" t="s">
        <v>170</v>
      </c>
      <c r="E89" s="271"/>
      <c r="F89" s="271"/>
      <c r="G89" s="272"/>
      <c r="H89" s="21">
        <f>TRUNC((H$31+H$70+H$81)/30,2)</f>
        <v>224.62</v>
      </c>
      <c r="I89" s="188"/>
      <c r="J89" s="133"/>
      <c r="K89" s="112"/>
      <c r="L89" s="112"/>
      <c r="M89" s="113"/>
      <c r="N89" s="139"/>
      <c r="O89" s="114"/>
      <c r="P89" s="114"/>
      <c r="Q89" s="114"/>
      <c r="R89" s="114"/>
    </row>
    <row r="90" spans="2:18" x14ac:dyDescent="0.2">
      <c r="B90" s="166" t="s">
        <v>172</v>
      </c>
      <c r="C90" s="277" t="s">
        <v>79</v>
      </c>
      <c r="D90" s="278"/>
      <c r="E90" s="278"/>
      <c r="F90" s="278"/>
      <c r="G90" s="279"/>
      <c r="H90" s="18">
        <f>TRUNC(H$87+H$88,2)</f>
        <v>711.29</v>
      </c>
      <c r="I90" s="19"/>
      <c r="J90" s="133"/>
      <c r="K90" s="112"/>
      <c r="L90" s="112"/>
      <c r="M90" s="113"/>
      <c r="N90" s="114"/>
      <c r="O90" s="114"/>
      <c r="P90" s="114"/>
      <c r="Q90" s="114"/>
      <c r="R90" s="114"/>
    </row>
    <row r="91" spans="2:18" x14ac:dyDescent="0.2">
      <c r="B91" s="140"/>
      <c r="C91" s="141"/>
      <c r="D91" s="141"/>
      <c r="E91" s="141"/>
      <c r="F91" s="141"/>
      <c r="G91" s="141"/>
      <c r="H91" s="142"/>
      <c r="I91" s="27"/>
      <c r="J91" s="130"/>
      <c r="K91" s="112"/>
      <c r="L91" s="112"/>
      <c r="M91" s="113"/>
      <c r="N91" s="114"/>
      <c r="O91" s="114"/>
      <c r="P91" s="114"/>
      <c r="Q91" s="114"/>
      <c r="R91" s="114"/>
    </row>
    <row r="92" spans="2:18" x14ac:dyDescent="0.2">
      <c r="B92" s="310" t="s">
        <v>111</v>
      </c>
      <c r="C92" s="311"/>
      <c r="D92" s="311"/>
      <c r="E92" s="311"/>
      <c r="F92" s="311"/>
      <c r="G92" s="311"/>
      <c r="H92" s="312"/>
      <c r="I92" s="201"/>
      <c r="J92" s="130"/>
      <c r="K92" s="112"/>
      <c r="L92" s="112"/>
      <c r="M92" s="113"/>
      <c r="N92" s="114"/>
      <c r="O92" s="114"/>
      <c r="P92" s="114"/>
      <c r="Q92" s="114"/>
      <c r="R92" s="114"/>
    </row>
    <row r="93" spans="2:18" x14ac:dyDescent="0.2">
      <c r="B93" s="170" t="s">
        <v>18</v>
      </c>
      <c r="C93" s="277" t="s">
        <v>112</v>
      </c>
      <c r="D93" s="278"/>
      <c r="E93" s="278"/>
      <c r="F93" s="279"/>
      <c r="G93" s="170" t="s">
        <v>124</v>
      </c>
      <c r="H93" s="170" t="s">
        <v>67</v>
      </c>
      <c r="I93" s="201"/>
      <c r="J93" s="130"/>
      <c r="K93" s="112"/>
      <c r="L93" s="112"/>
      <c r="M93" s="113"/>
      <c r="N93" s="114"/>
      <c r="O93" s="114"/>
      <c r="P93" s="114"/>
      <c r="Q93" s="114"/>
      <c r="R93" s="114"/>
    </row>
    <row r="94" spans="2:18" ht="22.5" x14ac:dyDescent="0.2">
      <c r="B94" s="166" t="s">
        <v>5</v>
      </c>
      <c r="C94" s="157" t="s">
        <v>113</v>
      </c>
      <c r="D94" s="270"/>
      <c r="E94" s="271"/>
      <c r="F94" s="272"/>
      <c r="G94" s="83"/>
      <c r="H94" s="21">
        <f>TRUNC(((H$31+H70+H81)/220)*(1+50%)*G94,2)</f>
        <v>0</v>
      </c>
      <c r="I94" s="188"/>
      <c r="J94" s="130"/>
      <c r="K94" s="112"/>
      <c r="L94" s="112"/>
      <c r="M94" s="113"/>
      <c r="N94" s="114"/>
      <c r="O94" s="114"/>
      <c r="P94" s="114"/>
      <c r="Q94" s="114"/>
      <c r="R94" s="114"/>
    </row>
    <row r="95" spans="2:18" x14ac:dyDescent="0.2">
      <c r="B95" s="166" t="s">
        <v>173</v>
      </c>
      <c r="C95" s="277" t="s">
        <v>79</v>
      </c>
      <c r="D95" s="278"/>
      <c r="E95" s="278"/>
      <c r="F95" s="278"/>
      <c r="G95" s="279"/>
      <c r="H95" s="18">
        <f>H94</f>
        <v>0</v>
      </c>
      <c r="I95" s="188"/>
      <c r="J95" s="130"/>
      <c r="K95" s="112"/>
      <c r="L95" s="112"/>
      <c r="M95" s="113"/>
      <c r="N95" s="114"/>
      <c r="O95" s="114"/>
      <c r="P95" s="114"/>
      <c r="Q95" s="114"/>
      <c r="R95" s="114"/>
    </row>
    <row r="96" spans="2:18" x14ac:dyDescent="0.2">
      <c r="B96" s="173"/>
      <c r="C96" s="172"/>
      <c r="D96" s="172"/>
      <c r="E96" s="172"/>
      <c r="F96" s="172"/>
      <c r="G96" s="172"/>
      <c r="H96" s="174"/>
      <c r="I96" s="210"/>
      <c r="J96" s="130"/>
      <c r="K96" s="112"/>
      <c r="L96" s="112"/>
      <c r="M96" s="113"/>
      <c r="N96" s="114"/>
      <c r="O96" s="114"/>
      <c r="P96" s="114"/>
      <c r="Q96" s="114"/>
      <c r="R96" s="114"/>
    </row>
    <row r="97" spans="2:18" x14ac:dyDescent="0.2">
      <c r="B97" s="310" t="s">
        <v>92</v>
      </c>
      <c r="C97" s="311"/>
      <c r="D97" s="311"/>
      <c r="E97" s="311"/>
      <c r="F97" s="311"/>
      <c r="G97" s="311"/>
      <c r="H97" s="312"/>
      <c r="I97" s="201"/>
      <c r="J97" s="130"/>
      <c r="K97" s="112"/>
      <c r="L97" s="112"/>
      <c r="M97" s="113"/>
      <c r="N97" s="114"/>
      <c r="O97" s="114"/>
      <c r="P97" s="114"/>
      <c r="Q97" s="114"/>
      <c r="R97" s="114"/>
    </row>
    <row r="98" spans="2:18" x14ac:dyDescent="0.2">
      <c r="B98" s="170">
        <v>4</v>
      </c>
      <c r="C98" s="277" t="s">
        <v>93</v>
      </c>
      <c r="D98" s="278"/>
      <c r="E98" s="278"/>
      <c r="F98" s="278"/>
      <c r="G98" s="279"/>
      <c r="H98" s="170" t="s">
        <v>67</v>
      </c>
      <c r="I98" s="201"/>
      <c r="J98" s="130"/>
      <c r="K98" s="112"/>
      <c r="L98" s="112"/>
      <c r="M98" s="113"/>
      <c r="N98" s="143"/>
      <c r="O98" s="114"/>
      <c r="P98" s="114"/>
      <c r="Q98" s="114"/>
      <c r="R98" s="114"/>
    </row>
    <row r="99" spans="2:18" x14ac:dyDescent="0.2">
      <c r="B99" s="166" t="s">
        <v>17</v>
      </c>
      <c r="C99" s="168" t="s">
        <v>60</v>
      </c>
      <c r="D99" s="270" t="s">
        <v>172</v>
      </c>
      <c r="E99" s="271"/>
      <c r="F99" s="271"/>
      <c r="G99" s="272"/>
      <c r="H99" s="21">
        <f>H90</f>
        <v>711.29</v>
      </c>
      <c r="I99" s="188"/>
      <c r="J99" s="130"/>
      <c r="K99" s="130"/>
      <c r="L99" s="130"/>
      <c r="M99" s="130"/>
      <c r="N99" s="114"/>
      <c r="O99" s="114"/>
      <c r="P99" s="114"/>
      <c r="Q99" s="114"/>
      <c r="R99" s="114"/>
    </row>
    <row r="100" spans="2:18" x14ac:dyDescent="0.2">
      <c r="B100" s="166" t="s">
        <v>18</v>
      </c>
      <c r="C100" s="168" t="s">
        <v>62</v>
      </c>
      <c r="D100" s="270" t="s">
        <v>173</v>
      </c>
      <c r="E100" s="271"/>
      <c r="F100" s="271"/>
      <c r="G100" s="272"/>
      <c r="H100" s="21">
        <f>H95</f>
        <v>0</v>
      </c>
      <c r="I100" s="188"/>
      <c r="J100" s="130"/>
      <c r="K100" s="112"/>
      <c r="L100" s="112"/>
      <c r="M100" s="113"/>
      <c r="N100" s="114"/>
      <c r="O100" s="114"/>
      <c r="P100" s="114"/>
      <c r="Q100" s="114"/>
      <c r="R100" s="114"/>
    </row>
    <row r="101" spans="2:18" x14ac:dyDescent="0.2">
      <c r="B101" s="166" t="s">
        <v>174</v>
      </c>
      <c r="C101" s="277" t="s">
        <v>79</v>
      </c>
      <c r="D101" s="278"/>
      <c r="E101" s="278"/>
      <c r="F101" s="278"/>
      <c r="G101" s="279"/>
      <c r="H101" s="18">
        <f>SUM(H99:H100)</f>
        <v>711.29</v>
      </c>
      <c r="I101" s="19"/>
      <c r="J101" s="130"/>
      <c r="K101" s="112"/>
      <c r="L101" s="112"/>
      <c r="M101" s="113"/>
      <c r="N101" s="114"/>
      <c r="O101" s="114"/>
      <c r="P101" s="114"/>
      <c r="Q101" s="114"/>
      <c r="R101" s="114"/>
    </row>
    <row r="102" spans="2:18" x14ac:dyDescent="0.2">
      <c r="B102" s="175"/>
      <c r="C102" s="175"/>
      <c r="D102" s="175"/>
      <c r="E102" s="175"/>
      <c r="F102" s="175"/>
      <c r="G102" s="175"/>
      <c r="H102" s="175"/>
      <c r="I102" s="201"/>
      <c r="J102" s="130"/>
      <c r="K102" s="112"/>
      <c r="L102" s="112"/>
      <c r="M102" s="113"/>
      <c r="N102" s="114"/>
      <c r="O102" s="114"/>
      <c r="P102" s="114"/>
      <c r="Q102" s="114"/>
      <c r="R102" s="114"/>
    </row>
    <row r="103" spans="2:18" x14ac:dyDescent="0.2">
      <c r="B103" s="175"/>
      <c r="C103" s="175"/>
      <c r="D103" s="175"/>
      <c r="E103" s="175"/>
      <c r="F103" s="175"/>
      <c r="G103" s="175"/>
      <c r="H103" s="175"/>
      <c r="I103" s="201"/>
      <c r="J103" s="130"/>
      <c r="K103" s="112"/>
      <c r="L103" s="112"/>
      <c r="M103" s="113"/>
      <c r="N103" s="114"/>
      <c r="O103" s="114"/>
      <c r="P103" s="114"/>
      <c r="Q103" s="114"/>
      <c r="R103" s="114"/>
    </row>
    <row r="104" spans="2:18" x14ac:dyDescent="0.2">
      <c r="B104" s="288" t="s">
        <v>94</v>
      </c>
      <c r="C104" s="288"/>
      <c r="D104" s="288"/>
      <c r="E104" s="288"/>
      <c r="F104" s="288"/>
      <c r="G104" s="288"/>
      <c r="H104" s="288"/>
      <c r="I104" s="201"/>
      <c r="J104" s="130"/>
      <c r="K104" s="112"/>
      <c r="L104" s="112"/>
      <c r="M104" s="113"/>
      <c r="N104" s="114"/>
      <c r="O104" s="114"/>
      <c r="P104" s="114"/>
      <c r="Q104" s="114"/>
      <c r="R104" s="114"/>
    </row>
    <row r="105" spans="2:18" x14ac:dyDescent="0.2">
      <c r="B105" s="170">
        <v>5</v>
      </c>
      <c r="C105" s="321" t="s">
        <v>81</v>
      </c>
      <c r="D105" s="322"/>
      <c r="E105" s="322"/>
      <c r="F105" s="322"/>
      <c r="G105" s="323"/>
      <c r="H105" s="170" t="s">
        <v>67</v>
      </c>
      <c r="I105" s="201"/>
      <c r="J105" s="130"/>
      <c r="K105" s="112"/>
      <c r="L105" s="112"/>
      <c r="M105" s="113"/>
      <c r="N105" s="114"/>
      <c r="O105" s="114"/>
      <c r="P105" s="114"/>
      <c r="Q105" s="114"/>
      <c r="R105" s="114"/>
    </row>
    <row r="106" spans="2:18" x14ac:dyDescent="0.2">
      <c r="B106" s="166" t="s">
        <v>5</v>
      </c>
      <c r="C106" s="119" t="s">
        <v>63</v>
      </c>
      <c r="D106" s="120"/>
      <c r="E106" s="120"/>
      <c r="F106" s="120"/>
      <c r="G106" s="121"/>
      <c r="H106" s="21">
        <f>Insumos!G11</f>
        <v>65.650000000000006</v>
      </c>
      <c r="I106" s="188"/>
      <c r="J106" s="130"/>
      <c r="K106" s="112"/>
      <c r="L106" s="112"/>
      <c r="M106" s="113"/>
      <c r="N106" s="114"/>
      <c r="O106" s="114"/>
      <c r="P106" s="114"/>
      <c r="Q106" s="114"/>
      <c r="R106" s="114"/>
    </row>
    <row r="107" spans="2:18" x14ac:dyDescent="0.2">
      <c r="B107" s="166" t="s">
        <v>6</v>
      </c>
      <c r="C107" s="119" t="s">
        <v>13</v>
      </c>
      <c r="D107" s="120"/>
      <c r="E107" s="120"/>
      <c r="F107" s="120"/>
      <c r="G107" s="121"/>
      <c r="H107" s="233" t="s">
        <v>212</v>
      </c>
      <c r="I107" s="188"/>
      <c r="J107" s="130"/>
      <c r="K107" s="112"/>
      <c r="L107" s="112"/>
      <c r="M107" s="113"/>
      <c r="N107" s="114"/>
      <c r="O107" s="114"/>
      <c r="P107" s="114"/>
      <c r="Q107" s="114"/>
      <c r="R107" s="114"/>
    </row>
    <row r="108" spans="2:18" x14ac:dyDescent="0.2">
      <c r="B108" s="166" t="s">
        <v>7</v>
      </c>
      <c r="C108" s="119" t="s">
        <v>14</v>
      </c>
      <c r="D108" s="120"/>
      <c r="E108" s="120"/>
      <c r="F108" s="120"/>
      <c r="G108" s="121"/>
      <c r="H108" s="21">
        <f>Insumos!H21</f>
        <v>37.130000000000003</v>
      </c>
      <c r="I108" s="188"/>
      <c r="J108" s="130"/>
      <c r="K108" s="112"/>
      <c r="L108" s="112"/>
      <c r="M108" s="113"/>
      <c r="N108" s="114"/>
      <c r="O108" s="114"/>
      <c r="P108" s="114"/>
      <c r="Q108" s="114"/>
      <c r="R108" s="114"/>
    </row>
    <row r="109" spans="2:18" x14ac:dyDescent="0.2">
      <c r="B109" s="166" t="s">
        <v>8</v>
      </c>
      <c r="C109" s="119" t="s">
        <v>211</v>
      </c>
      <c r="D109" s="120"/>
      <c r="E109" s="120"/>
      <c r="F109" s="120"/>
      <c r="G109" s="121"/>
      <c r="H109" s="122">
        <f>Insumos!G29</f>
        <v>54.99</v>
      </c>
      <c r="I109" s="188"/>
      <c r="J109" s="130"/>
      <c r="K109" s="112"/>
      <c r="L109" s="112"/>
      <c r="M109" s="113"/>
      <c r="N109" s="114"/>
      <c r="O109" s="114"/>
      <c r="P109" s="114"/>
      <c r="Q109" s="114"/>
      <c r="R109" s="114"/>
    </row>
    <row r="110" spans="2:18" x14ac:dyDescent="0.2">
      <c r="B110" s="166" t="s">
        <v>175</v>
      </c>
      <c r="C110" s="153" t="s">
        <v>79</v>
      </c>
      <c r="D110" s="153"/>
      <c r="E110" s="153"/>
      <c r="F110" s="153"/>
      <c r="G110" s="154"/>
      <c r="H110" s="18">
        <f>SUM(H106:H109)</f>
        <v>157.77000000000001</v>
      </c>
      <c r="I110" s="19"/>
      <c r="J110" s="130"/>
      <c r="K110" s="112"/>
      <c r="L110" s="112"/>
      <c r="M110" s="113"/>
      <c r="N110" s="114"/>
      <c r="O110" s="114"/>
      <c r="P110" s="114"/>
      <c r="Q110" s="114"/>
      <c r="R110" s="114"/>
    </row>
    <row r="111" spans="2:18" x14ac:dyDescent="0.2">
      <c r="B111" s="175"/>
      <c r="C111" s="175"/>
      <c r="D111" s="175"/>
      <c r="E111" s="175"/>
      <c r="F111" s="175"/>
      <c r="G111" s="144"/>
      <c r="H111" s="129"/>
      <c r="I111" s="19"/>
      <c r="J111" s="130"/>
      <c r="K111" s="112"/>
      <c r="L111" s="112"/>
      <c r="M111" s="113"/>
      <c r="N111" s="114"/>
      <c r="O111" s="114"/>
      <c r="P111" s="114"/>
      <c r="Q111" s="114"/>
      <c r="R111" s="114"/>
    </row>
    <row r="112" spans="2:18" x14ac:dyDescent="0.2">
      <c r="B112" s="175"/>
      <c r="C112" s="175"/>
      <c r="D112" s="175"/>
      <c r="E112" s="175"/>
      <c r="F112" s="175"/>
      <c r="G112" s="175"/>
      <c r="H112" s="175"/>
      <c r="I112" s="201"/>
      <c r="J112" s="130"/>
      <c r="K112" s="112"/>
      <c r="L112" s="112"/>
      <c r="M112" s="113"/>
      <c r="N112" s="114"/>
      <c r="O112" s="114"/>
      <c r="P112" s="114"/>
      <c r="Q112" s="114"/>
      <c r="R112" s="114"/>
    </row>
    <row r="113" spans="2:18" x14ac:dyDescent="0.2">
      <c r="B113" s="288" t="s">
        <v>95</v>
      </c>
      <c r="C113" s="288"/>
      <c r="D113" s="288"/>
      <c r="E113" s="288"/>
      <c r="F113" s="288"/>
      <c r="G113" s="288"/>
      <c r="H113" s="288"/>
      <c r="I113" s="201"/>
      <c r="J113" s="130"/>
      <c r="K113" s="112"/>
      <c r="L113" s="112"/>
      <c r="M113" s="113"/>
      <c r="N113" s="114"/>
      <c r="O113" s="114"/>
      <c r="P113" s="114"/>
      <c r="Q113" s="114"/>
      <c r="R113" s="114"/>
    </row>
    <row r="114" spans="2:18" x14ac:dyDescent="0.2">
      <c r="B114" s="170">
        <v>6</v>
      </c>
      <c r="C114" s="277" t="s">
        <v>82</v>
      </c>
      <c r="D114" s="278"/>
      <c r="E114" s="278"/>
      <c r="F114" s="279"/>
      <c r="G114" s="170" t="s">
        <v>2</v>
      </c>
      <c r="H114" s="170" t="s">
        <v>67</v>
      </c>
      <c r="I114" s="201"/>
      <c r="J114" s="130"/>
      <c r="K114" s="112"/>
      <c r="L114" s="112"/>
      <c r="M114" s="113"/>
      <c r="N114" s="114"/>
      <c r="O114" s="114"/>
      <c r="P114" s="114"/>
      <c r="Q114" s="114"/>
      <c r="R114" s="114"/>
    </row>
    <row r="115" spans="2:18" x14ac:dyDescent="0.2">
      <c r="B115" s="166" t="s">
        <v>5</v>
      </c>
      <c r="C115" s="168" t="s">
        <v>19</v>
      </c>
      <c r="D115" s="270" t="s">
        <v>236</v>
      </c>
      <c r="E115" s="271"/>
      <c r="F115" s="272"/>
      <c r="G115" s="97">
        <v>0.05</v>
      </c>
      <c r="H115" s="21">
        <f>TRUNC(H$132*$G115,2)</f>
        <v>380.39</v>
      </c>
      <c r="I115" s="188"/>
      <c r="J115" s="112"/>
      <c r="K115" s="112"/>
      <c r="L115" s="112"/>
      <c r="M115" s="113"/>
      <c r="N115" s="114"/>
      <c r="O115" s="114"/>
      <c r="P115" s="114"/>
      <c r="Q115" s="114"/>
      <c r="R115" s="114"/>
    </row>
    <row r="116" spans="2:18" x14ac:dyDescent="0.2">
      <c r="B116" s="166" t="s">
        <v>6</v>
      </c>
      <c r="C116" s="168" t="s">
        <v>4</v>
      </c>
      <c r="D116" s="270" t="s">
        <v>237</v>
      </c>
      <c r="E116" s="271"/>
      <c r="F116" s="272"/>
      <c r="G116" s="97">
        <v>0.1</v>
      </c>
      <c r="H116" s="21">
        <f>TRUNC((H$132+H$115)*$G116,2)</f>
        <v>798.82</v>
      </c>
      <c r="I116" s="188"/>
      <c r="J116" s="112"/>
      <c r="K116" s="112"/>
      <c r="L116" s="112"/>
      <c r="M116" s="113"/>
      <c r="N116" s="114"/>
      <c r="O116" s="114"/>
      <c r="P116" s="114"/>
      <c r="Q116" s="114"/>
      <c r="R116" s="114"/>
    </row>
    <row r="117" spans="2:18" x14ac:dyDescent="0.2">
      <c r="B117" s="166" t="s">
        <v>7</v>
      </c>
      <c r="C117" s="168" t="s">
        <v>141</v>
      </c>
      <c r="D117" s="270" t="s">
        <v>244</v>
      </c>
      <c r="E117" s="271"/>
      <c r="F117" s="272"/>
      <c r="G117" s="99">
        <f>1-(G118+G119+G120)</f>
        <v>0.85749999999999993</v>
      </c>
      <c r="H117" s="28">
        <f>TRUNC(((H$132+H$115+H$116)/$G117),2)</f>
        <v>10247.25</v>
      </c>
      <c r="I117" s="191"/>
      <c r="J117" s="130"/>
      <c r="K117" s="112"/>
      <c r="L117" s="112"/>
      <c r="M117" s="113"/>
      <c r="N117" s="114"/>
      <c r="O117" s="114"/>
      <c r="P117" s="114"/>
      <c r="Q117" s="114"/>
      <c r="R117" s="114"/>
    </row>
    <row r="118" spans="2:18" x14ac:dyDescent="0.2">
      <c r="B118" s="166" t="s">
        <v>40</v>
      </c>
      <c r="C118" s="168" t="s">
        <v>37</v>
      </c>
      <c r="D118" s="270" t="s">
        <v>238</v>
      </c>
      <c r="E118" s="271"/>
      <c r="F118" s="272"/>
      <c r="G118" s="98">
        <v>1.6500000000000001E-2</v>
      </c>
      <c r="H118" s="21">
        <f>TRUNC(H$117*$G118,2)</f>
        <v>169.07</v>
      </c>
      <c r="I118" s="188"/>
      <c r="J118" s="130"/>
      <c r="K118" s="112"/>
      <c r="L118" s="112"/>
      <c r="M118" s="113"/>
      <c r="N118" s="114"/>
      <c r="O118" s="114"/>
      <c r="P118" s="114"/>
      <c r="Q118" s="114"/>
      <c r="R118" s="114"/>
    </row>
    <row r="119" spans="2:18" x14ac:dyDescent="0.2">
      <c r="B119" s="166" t="s">
        <v>41</v>
      </c>
      <c r="C119" s="168" t="s">
        <v>38</v>
      </c>
      <c r="D119" s="270" t="s">
        <v>239</v>
      </c>
      <c r="E119" s="271"/>
      <c r="F119" s="272"/>
      <c r="G119" s="98">
        <v>7.5999999999999998E-2</v>
      </c>
      <c r="H119" s="21">
        <f>TRUNC(H$117*$G119,2)</f>
        <v>778.79</v>
      </c>
      <c r="I119" s="188"/>
      <c r="J119" s="130"/>
      <c r="K119" s="112"/>
      <c r="L119" s="112"/>
      <c r="M119" s="113"/>
      <c r="N119" s="114"/>
      <c r="O119" s="114"/>
      <c r="P119" s="114"/>
      <c r="Q119" s="114"/>
      <c r="R119" s="114"/>
    </row>
    <row r="120" spans="2:18" x14ac:dyDescent="0.2">
      <c r="B120" s="166" t="s">
        <v>42</v>
      </c>
      <c r="C120" s="168" t="s">
        <v>39</v>
      </c>
      <c r="D120" s="270" t="s">
        <v>240</v>
      </c>
      <c r="E120" s="271"/>
      <c r="F120" s="272"/>
      <c r="G120" s="98">
        <v>0.05</v>
      </c>
      <c r="H120" s="21">
        <f>TRUNC(H$117*$G120,2)</f>
        <v>512.36</v>
      </c>
      <c r="I120" s="188"/>
      <c r="J120" s="130"/>
      <c r="K120" s="112"/>
      <c r="L120" s="112"/>
      <c r="M120" s="113"/>
      <c r="N120" s="114"/>
      <c r="O120" s="114"/>
      <c r="P120" s="114"/>
      <c r="Q120" s="114"/>
      <c r="R120" s="114"/>
    </row>
    <row r="121" spans="2:18" x14ac:dyDescent="0.2">
      <c r="B121" s="166" t="s">
        <v>176</v>
      </c>
      <c r="C121" s="162" t="s">
        <v>79</v>
      </c>
      <c r="D121" s="327" t="s">
        <v>178</v>
      </c>
      <c r="E121" s="327"/>
      <c r="F121" s="327"/>
      <c r="G121" s="327"/>
      <c r="H121" s="18">
        <f>SUM(H115:H120)-H117</f>
        <v>2639.4300000000003</v>
      </c>
      <c r="I121" s="19"/>
      <c r="J121" s="133"/>
      <c r="K121" s="112"/>
      <c r="L121" s="112"/>
      <c r="M121" s="113"/>
      <c r="N121" s="114"/>
      <c r="O121" s="114"/>
      <c r="P121" s="114"/>
      <c r="Q121" s="114"/>
      <c r="R121" s="114"/>
    </row>
    <row r="122" spans="2:18" x14ac:dyDescent="0.2">
      <c r="B122" s="117"/>
      <c r="C122" s="117"/>
      <c r="D122" s="117"/>
      <c r="E122" s="117"/>
      <c r="F122" s="117"/>
      <c r="G122" s="117"/>
      <c r="H122" s="145"/>
      <c r="I122" s="29"/>
      <c r="J122" s="112"/>
      <c r="K122" s="112"/>
      <c r="L122" s="112"/>
      <c r="M122" s="113"/>
      <c r="N122" s="114"/>
      <c r="O122" s="114"/>
      <c r="P122" s="114"/>
      <c r="Q122" s="114"/>
      <c r="R122" s="114"/>
    </row>
    <row r="123" spans="2:18" x14ac:dyDescent="0.2">
      <c r="B123" s="328" t="s">
        <v>220</v>
      </c>
      <c r="C123" s="328"/>
      <c r="D123" s="328"/>
      <c r="E123" s="328"/>
      <c r="F123" s="328"/>
      <c r="G123" s="328"/>
      <c r="H123" s="328"/>
      <c r="I123" s="202"/>
      <c r="J123" s="112"/>
      <c r="K123" s="146"/>
      <c r="L123" s="112"/>
      <c r="M123" s="113"/>
      <c r="N123" s="114"/>
      <c r="O123" s="114"/>
      <c r="P123" s="114"/>
      <c r="Q123" s="114"/>
      <c r="R123" s="114"/>
    </row>
    <row r="124" spans="2:18" x14ac:dyDescent="0.2">
      <c r="B124" s="167"/>
      <c r="C124" s="167"/>
      <c r="D124" s="167"/>
      <c r="E124" s="167"/>
      <c r="F124" s="167"/>
      <c r="G124" s="167"/>
      <c r="H124" s="167"/>
      <c r="I124" s="202"/>
      <c r="J124" s="112"/>
      <c r="K124" s="146"/>
      <c r="L124" s="112"/>
      <c r="M124" s="113"/>
      <c r="N124" s="114"/>
      <c r="O124" s="114"/>
      <c r="P124" s="114"/>
      <c r="Q124" s="114"/>
      <c r="R124" s="114"/>
    </row>
    <row r="125" spans="2:18" x14ac:dyDescent="0.2">
      <c r="B125" s="288" t="s">
        <v>219</v>
      </c>
      <c r="C125" s="288"/>
      <c r="D125" s="288"/>
      <c r="E125" s="288"/>
      <c r="F125" s="288"/>
      <c r="G125" s="288"/>
      <c r="H125" s="288"/>
      <c r="I125" s="201"/>
      <c r="J125" s="112"/>
      <c r="K125" s="146"/>
      <c r="L125" s="112"/>
      <c r="M125" s="113"/>
      <c r="N125" s="114"/>
      <c r="O125" s="114"/>
      <c r="P125" s="114"/>
      <c r="Q125" s="114"/>
      <c r="R125" s="114"/>
    </row>
    <row r="126" spans="2:18" ht="12.75" customHeight="1" x14ac:dyDescent="0.2">
      <c r="B126" s="30"/>
      <c r="C126" s="329" t="s">
        <v>142</v>
      </c>
      <c r="D126" s="330"/>
      <c r="E126" s="330"/>
      <c r="F126" s="330"/>
      <c r="G126" s="331"/>
      <c r="H126" s="170" t="s">
        <v>67</v>
      </c>
      <c r="I126" s="201"/>
      <c r="J126" s="112"/>
      <c r="K126" s="112"/>
      <c r="L126" s="112"/>
      <c r="M126" s="113"/>
      <c r="N126" s="114"/>
      <c r="O126" s="114"/>
      <c r="P126" s="114"/>
      <c r="Q126" s="114"/>
      <c r="R126" s="114"/>
    </row>
    <row r="127" spans="2:18" x14ac:dyDescent="0.2">
      <c r="B127" s="166" t="s">
        <v>5</v>
      </c>
      <c r="C127" s="157" t="s">
        <v>97</v>
      </c>
      <c r="D127" s="270" t="s">
        <v>153</v>
      </c>
      <c r="E127" s="271"/>
      <c r="F127" s="271"/>
      <c r="G127" s="272"/>
      <c r="H127" s="21">
        <f>H31</f>
        <v>3482.6499999999996</v>
      </c>
      <c r="I127" s="188"/>
      <c r="J127" s="112"/>
      <c r="K127" s="112"/>
      <c r="L127" s="112"/>
      <c r="M127" s="113"/>
      <c r="N127" s="114"/>
      <c r="O127" s="114"/>
      <c r="P127" s="114"/>
      <c r="Q127" s="114"/>
      <c r="R127" s="114"/>
    </row>
    <row r="128" spans="2:18" ht="22.5" x14ac:dyDescent="0.2">
      <c r="B128" s="166" t="s">
        <v>6</v>
      </c>
      <c r="C128" s="157" t="s">
        <v>98</v>
      </c>
      <c r="D128" s="270" t="s">
        <v>167</v>
      </c>
      <c r="E128" s="271"/>
      <c r="F128" s="271"/>
      <c r="G128" s="272"/>
      <c r="H128" s="21">
        <f>H70</f>
        <v>2911.13</v>
      </c>
      <c r="I128" s="188"/>
      <c r="J128" s="112"/>
      <c r="K128" s="112"/>
      <c r="L128" s="112"/>
      <c r="M128" s="113"/>
      <c r="N128" s="114"/>
      <c r="O128" s="114"/>
      <c r="P128" s="114"/>
      <c r="Q128" s="114"/>
      <c r="R128" s="114"/>
    </row>
    <row r="129" spans="2:18" x14ac:dyDescent="0.2">
      <c r="B129" s="166" t="s">
        <v>7</v>
      </c>
      <c r="C129" s="157" t="s">
        <v>99</v>
      </c>
      <c r="D129" s="270" t="s">
        <v>171</v>
      </c>
      <c r="E129" s="271"/>
      <c r="F129" s="271"/>
      <c r="G129" s="272"/>
      <c r="H129" s="21">
        <f>H81</f>
        <v>344.97</v>
      </c>
      <c r="I129" s="188"/>
      <c r="J129" s="112"/>
      <c r="K129" s="146"/>
      <c r="L129" s="112"/>
      <c r="M129" s="113"/>
      <c r="N129" s="114"/>
      <c r="O129" s="114"/>
      <c r="P129" s="114"/>
      <c r="Q129" s="114"/>
      <c r="R129" s="114"/>
    </row>
    <row r="130" spans="2:18" ht="22.5" x14ac:dyDescent="0.2">
      <c r="B130" s="166" t="s">
        <v>8</v>
      </c>
      <c r="C130" s="157" t="s">
        <v>61</v>
      </c>
      <c r="D130" s="270" t="s">
        <v>174</v>
      </c>
      <c r="E130" s="271"/>
      <c r="F130" s="271"/>
      <c r="G130" s="272"/>
      <c r="H130" s="21">
        <f>H101</f>
        <v>711.29</v>
      </c>
      <c r="I130" s="188"/>
      <c r="J130" s="112"/>
      <c r="K130" s="146"/>
      <c r="L130" s="112"/>
      <c r="M130" s="113"/>
      <c r="N130" s="114"/>
      <c r="O130" s="114"/>
      <c r="P130" s="114"/>
      <c r="Q130" s="114"/>
      <c r="R130" s="114"/>
    </row>
    <row r="131" spans="2:18" x14ac:dyDescent="0.2">
      <c r="B131" s="166" t="s">
        <v>9</v>
      </c>
      <c r="C131" s="157" t="s">
        <v>100</v>
      </c>
      <c r="D131" s="270" t="s">
        <v>175</v>
      </c>
      <c r="E131" s="271"/>
      <c r="F131" s="271"/>
      <c r="G131" s="272"/>
      <c r="H131" s="21">
        <f>H110</f>
        <v>157.77000000000001</v>
      </c>
      <c r="I131" s="188"/>
      <c r="J131" s="112"/>
      <c r="K131" s="112"/>
      <c r="L131" s="112"/>
      <c r="M131" s="113"/>
      <c r="N131" s="114"/>
      <c r="O131" s="114"/>
      <c r="P131" s="114"/>
      <c r="Q131" s="114"/>
      <c r="R131" s="114"/>
    </row>
    <row r="132" spans="2:18" x14ac:dyDescent="0.2">
      <c r="B132" s="165" t="s">
        <v>10</v>
      </c>
      <c r="C132" s="156" t="s">
        <v>64</v>
      </c>
      <c r="D132" s="324" t="s">
        <v>185</v>
      </c>
      <c r="E132" s="325"/>
      <c r="F132" s="325"/>
      <c r="G132" s="326"/>
      <c r="H132" s="25">
        <f>SUM(H127:H131)</f>
        <v>7607.81</v>
      </c>
      <c r="I132" s="19"/>
      <c r="J132" s="112"/>
      <c r="K132" s="147"/>
      <c r="L132" s="112"/>
      <c r="M132" s="113"/>
      <c r="N132" s="114"/>
      <c r="O132" s="114"/>
      <c r="P132" s="114"/>
      <c r="Q132" s="114"/>
      <c r="R132" s="114"/>
    </row>
    <row r="133" spans="2:18" x14ac:dyDescent="0.2">
      <c r="B133" s="166" t="s">
        <v>11</v>
      </c>
      <c r="C133" s="168" t="s">
        <v>101</v>
      </c>
      <c r="D133" s="270" t="s">
        <v>176</v>
      </c>
      <c r="E133" s="271"/>
      <c r="F133" s="271"/>
      <c r="G133" s="272"/>
      <c r="H133" s="21">
        <f>H121</f>
        <v>2639.4300000000003</v>
      </c>
      <c r="I133" s="188"/>
      <c r="J133" s="112"/>
      <c r="K133" s="112"/>
      <c r="L133" s="112"/>
      <c r="M133" s="113"/>
      <c r="N133" s="114"/>
      <c r="O133" s="114"/>
      <c r="P133" s="114"/>
      <c r="Q133" s="114"/>
      <c r="R133" s="114"/>
    </row>
    <row r="134" spans="2:18" x14ac:dyDescent="0.2">
      <c r="B134" s="166" t="s">
        <v>179</v>
      </c>
      <c r="C134" s="161" t="s">
        <v>96</v>
      </c>
      <c r="D134" s="343" t="s">
        <v>184</v>
      </c>
      <c r="E134" s="344"/>
      <c r="F134" s="344"/>
      <c r="G134" s="345"/>
      <c r="H134" s="31">
        <f>SUM(H132:H133)</f>
        <v>10247.240000000002</v>
      </c>
      <c r="I134" s="206"/>
      <c r="J134" s="112"/>
      <c r="K134" s="148"/>
      <c r="L134" s="112"/>
      <c r="M134" s="113"/>
      <c r="N134" s="114"/>
      <c r="O134" s="114"/>
      <c r="P134" s="114"/>
      <c r="Q134" s="114"/>
      <c r="R134" s="114"/>
    </row>
    <row r="135" spans="2:18" ht="12.75" hidden="1" customHeight="1" x14ac:dyDescent="0.2">
      <c r="B135" s="9"/>
      <c r="C135" s="9"/>
      <c r="D135" s="9"/>
      <c r="E135" s="9"/>
      <c r="F135" s="9"/>
      <c r="G135" s="9"/>
      <c r="H135" s="32"/>
      <c r="I135" s="207"/>
      <c r="J135" s="149"/>
      <c r="K135" s="149"/>
      <c r="L135" s="149"/>
      <c r="M135" s="114"/>
      <c r="N135" s="114"/>
      <c r="O135" s="114"/>
      <c r="P135" s="114"/>
      <c r="Q135" s="114"/>
      <c r="R135" s="114"/>
    </row>
    <row r="136" spans="2:18" ht="40.5" hidden="1" customHeight="1" x14ac:dyDescent="0.2">
      <c r="B136" s="33"/>
      <c r="C136" s="33" t="s">
        <v>20</v>
      </c>
      <c r="D136" s="33"/>
      <c r="E136" s="33"/>
      <c r="F136" s="33"/>
      <c r="G136" s="34"/>
      <c r="H136" s="34"/>
      <c r="I136" s="208"/>
      <c r="J136" s="149"/>
      <c r="K136" s="149"/>
      <c r="L136" s="149"/>
      <c r="M136" s="114"/>
      <c r="N136" s="114"/>
      <c r="O136" s="114"/>
      <c r="P136" s="114"/>
      <c r="Q136" s="114"/>
      <c r="R136" s="114"/>
    </row>
    <row r="137" spans="2:18" ht="39" hidden="1" customHeight="1" x14ac:dyDescent="0.2">
      <c r="B137" s="346" t="s">
        <v>22</v>
      </c>
      <c r="C137" s="347"/>
      <c r="D137" s="164"/>
      <c r="E137" s="164"/>
      <c r="F137" s="164"/>
      <c r="G137" s="35" t="s">
        <v>21</v>
      </c>
      <c r="H137" s="36" t="s">
        <v>0</v>
      </c>
      <c r="I137" s="208"/>
      <c r="J137" s="149"/>
      <c r="K137" s="149"/>
      <c r="L137" s="149"/>
      <c r="M137" s="114"/>
      <c r="N137" s="114"/>
      <c r="O137" s="114"/>
      <c r="P137" s="114"/>
      <c r="Q137" s="114"/>
      <c r="R137" s="114"/>
    </row>
    <row r="138" spans="2:18" ht="12.75" hidden="1" customHeight="1" x14ac:dyDescent="0.2">
      <c r="B138" s="348" t="s">
        <v>23</v>
      </c>
      <c r="C138" s="349"/>
      <c r="D138" s="37"/>
      <c r="E138" s="37"/>
      <c r="F138" s="37"/>
      <c r="G138" s="38"/>
      <c r="H138" s="39">
        <v>0</v>
      </c>
      <c r="I138" s="192"/>
      <c r="J138" s="149"/>
      <c r="K138" s="149"/>
      <c r="L138" s="149"/>
      <c r="M138" s="114"/>
      <c r="N138" s="114"/>
      <c r="O138" s="114"/>
      <c r="P138" s="114"/>
      <c r="Q138" s="114"/>
      <c r="R138" s="114"/>
    </row>
    <row r="139" spans="2:18" ht="12.75" hidden="1" customHeight="1" x14ac:dyDescent="0.2">
      <c r="B139" s="350" t="s">
        <v>24</v>
      </c>
      <c r="C139" s="351"/>
      <c r="D139" s="40"/>
      <c r="E139" s="40"/>
      <c r="F139" s="40"/>
      <c r="G139" s="41"/>
      <c r="H139" s="42">
        <v>0</v>
      </c>
      <c r="I139" s="192"/>
      <c r="J139" s="149"/>
      <c r="K139" s="149"/>
      <c r="L139" s="149"/>
      <c r="M139" s="114"/>
      <c r="N139" s="114"/>
      <c r="O139" s="114"/>
      <c r="P139" s="114"/>
      <c r="Q139" s="114"/>
      <c r="R139" s="114"/>
    </row>
    <row r="140" spans="2:18" ht="12.75" hidden="1" customHeight="1" x14ac:dyDescent="0.2">
      <c r="B140" s="350" t="s">
        <v>25</v>
      </c>
      <c r="C140" s="351"/>
      <c r="D140" s="40"/>
      <c r="E140" s="40"/>
      <c r="F140" s="40"/>
      <c r="G140" s="41"/>
      <c r="H140" s="42">
        <v>0</v>
      </c>
      <c r="I140" s="192"/>
      <c r="J140" s="149"/>
      <c r="K140" s="149"/>
      <c r="L140" s="149"/>
      <c r="M140" s="114"/>
      <c r="N140" s="114"/>
      <c r="O140" s="114"/>
      <c r="P140" s="114"/>
      <c r="Q140" s="114"/>
      <c r="R140" s="114"/>
    </row>
    <row r="141" spans="2:18" ht="12.75" hidden="1" customHeight="1" x14ac:dyDescent="0.2">
      <c r="B141" s="350" t="s">
        <v>26</v>
      </c>
      <c r="C141" s="351"/>
      <c r="D141" s="40"/>
      <c r="E141" s="40"/>
      <c r="F141" s="40"/>
      <c r="G141" s="41"/>
      <c r="H141" s="42">
        <v>0</v>
      </c>
      <c r="I141" s="192"/>
      <c r="J141" s="149"/>
      <c r="K141" s="149"/>
      <c r="L141" s="149"/>
      <c r="M141" s="114"/>
      <c r="N141" s="114"/>
      <c r="O141" s="114"/>
      <c r="P141" s="114"/>
      <c r="Q141" s="114"/>
      <c r="R141" s="114"/>
    </row>
    <row r="142" spans="2:18" ht="12.75" hidden="1" customHeight="1" x14ac:dyDescent="0.2">
      <c r="B142" s="332"/>
      <c r="C142" s="333"/>
      <c r="D142" s="43"/>
      <c r="E142" s="43"/>
      <c r="F142" s="43"/>
      <c r="G142" s="44"/>
      <c r="H142" s="42"/>
      <c r="I142" s="192"/>
      <c r="J142" s="149"/>
      <c r="K142" s="149"/>
      <c r="L142" s="149"/>
      <c r="M142" s="114"/>
      <c r="N142" s="114"/>
      <c r="O142" s="114"/>
      <c r="P142" s="114"/>
      <c r="Q142" s="114"/>
      <c r="R142" s="114"/>
    </row>
    <row r="143" spans="2:18" ht="13.5" hidden="1" customHeight="1" x14ac:dyDescent="0.2">
      <c r="B143" s="334"/>
      <c r="C143" s="335"/>
      <c r="D143" s="45"/>
      <c r="E143" s="45"/>
      <c r="F143" s="45"/>
      <c r="G143" s="46"/>
      <c r="H143" s="47"/>
      <c r="I143" s="192"/>
      <c r="J143" s="149"/>
      <c r="K143" s="149"/>
      <c r="L143" s="149"/>
      <c r="M143" s="114"/>
      <c r="N143" s="114"/>
      <c r="O143" s="114"/>
      <c r="P143" s="114"/>
      <c r="Q143" s="114"/>
      <c r="R143" s="114"/>
    </row>
    <row r="144" spans="2:18" ht="13.5" hidden="1" customHeight="1" x14ac:dyDescent="0.2">
      <c r="B144" s="48" t="s">
        <v>27</v>
      </c>
      <c r="C144" s="49"/>
      <c r="D144" s="49"/>
      <c r="E144" s="49"/>
      <c r="F144" s="49"/>
      <c r="G144" s="50"/>
      <c r="H144" s="51">
        <f>SUM(H142:H143)</f>
        <v>0</v>
      </c>
      <c r="I144" s="193"/>
      <c r="J144" s="149"/>
      <c r="K144" s="149"/>
      <c r="L144" s="149"/>
      <c r="M144" s="114"/>
      <c r="N144" s="114"/>
      <c r="O144" s="114"/>
      <c r="P144" s="114"/>
      <c r="Q144" s="114"/>
      <c r="R144" s="114"/>
    </row>
    <row r="145" spans="2:18" ht="12.75" hidden="1" customHeight="1" x14ac:dyDescent="0.2">
      <c r="B145" s="9"/>
      <c r="C145" s="9"/>
      <c r="D145" s="9"/>
      <c r="E145" s="9"/>
      <c r="F145" s="9"/>
      <c r="G145" s="9"/>
      <c r="H145" s="9"/>
      <c r="I145" s="13"/>
      <c r="J145" s="149"/>
      <c r="K145" s="149"/>
      <c r="L145" s="149"/>
      <c r="M145" s="114"/>
      <c r="N145" s="114"/>
      <c r="O145" s="114"/>
      <c r="P145" s="114"/>
      <c r="Q145" s="114"/>
      <c r="R145" s="114"/>
    </row>
    <row r="146" spans="2:18" ht="13.5" hidden="1" customHeight="1" x14ac:dyDescent="0.2">
      <c r="B146" s="33" t="s">
        <v>28</v>
      </c>
      <c r="C146" s="33" t="s">
        <v>29</v>
      </c>
      <c r="D146" s="33"/>
      <c r="E146" s="33"/>
      <c r="F146" s="33"/>
      <c r="G146" s="34"/>
      <c r="H146" s="34"/>
      <c r="I146" s="208"/>
      <c r="J146" s="149"/>
      <c r="K146" s="149"/>
      <c r="L146" s="149"/>
      <c r="M146" s="114"/>
      <c r="N146" s="114"/>
      <c r="O146" s="114"/>
      <c r="P146" s="114"/>
      <c r="Q146" s="114"/>
      <c r="R146" s="114"/>
    </row>
    <row r="147" spans="2:18" ht="13.5" hidden="1" customHeight="1" x14ac:dyDescent="0.2">
      <c r="B147" s="52" t="s">
        <v>30</v>
      </c>
      <c r="C147" s="53"/>
      <c r="D147" s="53"/>
      <c r="E147" s="53"/>
      <c r="F147" s="53"/>
      <c r="G147" s="53"/>
      <c r="H147" s="54"/>
      <c r="I147" s="208"/>
      <c r="J147" s="149"/>
      <c r="K147" s="149"/>
      <c r="L147" s="149"/>
      <c r="M147" s="114"/>
      <c r="N147" s="114"/>
      <c r="O147" s="114"/>
      <c r="P147" s="114"/>
      <c r="Q147" s="114"/>
      <c r="R147" s="114"/>
    </row>
    <row r="148" spans="2:18" ht="12.75" hidden="1" customHeight="1" x14ac:dyDescent="0.2">
      <c r="B148" s="55"/>
      <c r="C148" s="56" t="s">
        <v>31</v>
      </c>
      <c r="D148" s="57"/>
      <c r="E148" s="57"/>
      <c r="F148" s="57"/>
      <c r="G148" s="58"/>
      <c r="H148" s="36" t="s">
        <v>0</v>
      </c>
      <c r="I148" s="208"/>
      <c r="J148" s="149"/>
      <c r="K148" s="149"/>
      <c r="L148" s="149"/>
      <c r="M148" s="114"/>
      <c r="N148" s="114"/>
      <c r="O148" s="114"/>
      <c r="P148" s="114"/>
      <c r="Q148" s="114"/>
      <c r="R148" s="114"/>
    </row>
    <row r="149" spans="2:18" ht="12.75" hidden="1" customHeight="1" x14ac:dyDescent="0.2">
      <c r="B149" s="59" t="s">
        <v>5</v>
      </c>
      <c r="C149" s="60" t="s">
        <v>32</v>
      </c>
      <c r="D149" s="61"/>
      <c r="E149" s="61"/>
      <c r="F149" s="61"/>
      <c r="G149" s="62"/>
      <c r="H149" s="63">
        <f>H118</f>
        <v>169.07</v>
      </c>
      <c r="I149" s="192"/>
      <c r="J149" s="149"/>
      <c r="K149" s="149"/>
      <c r="L149" s="149"/>
      <c r="M149" s="114"/>
      <c r="N149" s="114"/>
      <c r="O149" s="114"/>
      <c r="P149" s="114"/>
      <c r="Q149" s="114"/>
      <c r="R149" s="114"/>
    </row>
    <row r="150" spans="2:18" ht="13.5" hidden="1" customHeight="1" x14ac:dyDescent="0.2">
      <c r="B150" s="64" t="s">
        <v>6</v>
      </c>
      <c r="C150" s="65" t="s">
        <v>33</v>
      </c>
      <c r="D150" s="66"/>
      <c r="E150" s="66"/>
      <c r="F150" s="66"/>
      <c r="G150" s="67"/>
      <c r="H150" s="68" t="e">
        <f>#REF!</f>
        <v>#REF!</v>
      </c>
      <c r="I150" s="192"/>
      <c r="J150" s="149"/>
      <c r="K150" s="149"/>
      <c r="L150" s="149"/>
      <c r="M150" s="114"/>
      <c r="N150" s="114"/>
      <c r="O150" s="114"/>
      <c r="P150" s="114"/>
      <c r="Q150" s="114"/>
      <c r="R150" s="114"/>
    </row>
    <row r="151" spans="2:18" ht="13.5" hidden="1" customHeight="1" x14ac:dyDescent="0.2">
      <c r="B151" s="64" t="s">
        <v>7</v>
      </c>
      <c r="C151" s="69" t="s">
        <v>34</v>
      </c>
      <c r="D151" s="70"/>
      <c r="E151" s="70"/>
      <c r="F151" s="70"/>
      <c r="G151" s="71"/>
      <c r="H151" s="68">
        <f>H121</f>
        <v>2639.4300000000003</v>
      </c>
      <c r="I151" s="192"/>
      <c r="J151" s="149"/>
      <c r="K151" s="149"/>
      <c r="L151" s="149"/>
      <c r="M151" s="114"/>
      <c r="N151" s="114"/>
      <c r="O151" s="114"/>
      <c r="P151" s="114"/>
      <c r="Q151" s="114"/>
      <c r="R151" s="114"/>
    </row>
    <row r="152" spans="2:18" ht="13.5" hidden="1" customHeight="1" x14ac:dyDescent="0.2">
      <c r="B152" s="72" t="s">
        <v>16</v>
      </c>
      <c r="C152" s="73"/>
      <c r="D152" s="73"/>
      <c r="E152" s="73"/>
      <c r="F152" s="73"/>
      <c r="G152" s="74"/>
      <c r="H152" s="51" t="e">
        <f>SUM(H149:H151)</f>
        <v>#REF!</v>
      </c>
      <c r="I152" s="193"/>
      <c r="J152" s="149"/>
      <c r="K152" s="149"/>
      <c r="L152" s="149"/>
      <c r="M152" s="114"/>
      <c r="N152" s="114"/>
      <c r="O152" s="114"/>
      <c r="P152" s="114"/>
      <c r="Q152" s="114"/>
      <c r="R152" s="114"/>
    </row>
    <row r="153" spans="2:18" ht="12.75" hidden="1" customHeight="1" x14ac:dyDescent="0.2">
      <c r="B153" s="75" t="s">
        <v>15</v>
      </c>
      <c r="C153" s="9" t="s">
        <v>35</v>
      </c>
      <c r="D153" s="9"/>
      <c r="E153" s="9"/>
      <c r="F153" s="9"/>
      <c r="G153" s="9"/>
      <c r="H153" s="9"/>
      <c r="I153" s="13"/>
      <c r="J153" s="149"/>
      <c r="K153" s="149"/>
      <c r="L153" s="149"/>
      <c r="M153" s="114"/>
      <c r="N153" s="114"/>
      <c r="O153" s="114"/>
      <c r="P153" s="114"/>
      <c r="Q153" s="114"/>
      <c r="R153" s="114"/>
    </row>
    <row r="154" spans="2:18" ht="12.75" hidden="1" customHeight="1" x14ac:dyDescent="0.2">
      <c r="B154" s="9"/>
      <c r="C154" s="9"/>
      <c r="D154" s="9"/>
      <c r="E154" s="9"/>
      <c r="F154" s="9"/>
      <c r="G154" s="9"/>
      <c r="H154" s="9"/>
      <c r="I154" s="13"/>
      <c r="J154" s="149"/>
      <c r="K154" s="149"/>
      <c r="L154" s="149"/>
      <c r="M154" s="114"/>
      <c r="N154" s="114"/>
      <c r="O154" s="114"/>
      <c r="P154" s="114"/>
      <c r="Q154" s="114"/>
      <c r="R154" s="114"/>
    </row>
    <row r="155" spans="2:18" x14ac:dyDescent="0.2">
      <c r="I155" s="13"/>
      <c r="J155" s="149"/>
      <c r="K155" s="149"/>
      <c r="L155" s="149"/>
      <c r="M155" s="114"/>
      <c r="N155" s="114"/>
      <c r="O155" s="114"/>
      <c r="P155" s="114"/>
      <c r="Q155" s="114"/>
      <c r="R155" s="114"/>
    </row>
    <row r="156" spans="2:18" x14ac:dyDescent="0.2">
      <c r="B156" s="336" t="s">
        <v>221</v>
      </c>
      <c r="C156" s="336"/>
      <c r="D156" s="336"/>
      <c r="E156" s="336"/>
      <c r="F156" s="336"/>
      <c r="I156" s="13"/>
      <c r="J156" s="181"/>
      <c r="K156" s="150"/>
      <c r="L156" s="149"/>
      <c r="M156" s="114"/>
      <c r="N156" s="114"/>
      <c r="O156" s="114"/>
      <c r="P156" s="114"/>
      <c r="Q156" s="114"/>
      <c r="R156" s="114"/>
    </row>
    <row r="157" spans="2:18" x14ac:dyDescent="0.2">
      <c r="B157" s="151"/>
      <c r="C157" s="151"/>
      <c r="D157" s="151"/>
      <c r="E157" s="135"/>
      <c r="F157" s="135"/>
      <c r="I157" s="13"/>
    </row>
    <row r="158" spans="2:18" x14ac:dyDescent="0.2">
      <c r="B158" s="284" t="s">
        <v>222</v>
      </c>
      <c r="C158" s="284"/>
      <c r="D158" s="284"/>
      <c r="E158" s="284"/>
      <c r="F158" s="284"/>
      <c r="G158" s="284"/>
      <c r="H158" s="284"/>
      <c r="I158" s="203"/>
      <c r="J158" s="181"/>
    </row>
    <row r="159" spans="2:18" x14ac:dyDescent="0.2">
      <c r="B159" s="166" t="s">
        <v>5</v>
      </c>
      <c r="C159" s="159" t="s">
        <v>125</v>
      </c>
      <c r="D159" s="337" t="s">
        <v>179</v>
      </c>
      <c r="E159" s="338"/>
      <c r="F159" s="338"/>
      <c r="G159" s="339"/>
      <c r="H159" s="7">
        <f>H134</f>
        <v>10247.240000000002</v>
      </c>
      <c r="I159" s="200"/>
    </row>
    <row r="160" spans="2:18" ht="22.5" x14ac:dyDescent="0.2">
      <c r="B160" s="166" t="s">
        <v>6</v>
      </c>
      <c r="C160" s="158" t="s">
        <v>181</v>
      </c>
      <c r="D160" s="337" t="s">
        <v>182</v>
      </c>
      <c r="E160" s="338"/>
      <c r="F160" s="338"/>
      <c r="G160" s="339"/>
      <c r="H160" s="7">
        <f>H42+H81+H99</f>
        <v>1733.44</v>
      </c>
      <c r="I160" s="194"/>
    </row>
    <row r="161" spans="2:14" ht="22.5" x14ac:dyDescent="0.2">
      <c r="B161" s="182" t="s">
        <v>7</v>
      </c>
      <c r="C161" s="198" t="s">
        <v>187</v>
      </c>
      <c r="D161" s="340" t="s">
        <v>192</v>
      </c>
      <c r="E161" s="341"/>
      <c r="F161" s="341"/>
      <c r="G161" s="342"/>
      <c r="H161" s="199">
        <f>TRUNC((H$42*$G55),2)</f>
        <v>249.2</v>
      </c>
      <c r="I161" s="200"/>
      <c r="J161" s="180"/>
    </row>
    <row r="162" spans="2:14" ht="12.75" customHeight="1" x14ac:dyDescent="0.2">
      <c r="B162" s="166" t="s">
        <v>8</v>
      </c>
      <c r="C162" s="158" t="s">
        <v>19</v>
      </c>
      <c r="D162" s="359" t="s">
        <v>241</v>
      </c>
      <c r="E162" s="360"/>
      <c r="F162" s="361"/>
      <c r="G162" s="8">
        <f>G115</f>
        <v>0.05</v>
      </c>
      <c r="H162" s="7">
        <f>TRUNC((H$160+H$161)*$G162,2)</f>
        <v>99.13</v>
      </c>
      <c r="I162" s="194"/>
      <c r="J162" s="358"/>
      <c r="K162" s="358"/>
      <c r="L162" s="358"/>
      <c r="M162" s="358"/>
      <c r="N162" s="358"/>
    </row>
    <row r="163" spans="2:14" ht="12.75" customHeight="1" x14ac:dyDescent="0.2">
      <c r="B163" s="166" t="s">
        <v>9</v>
      </c>
      <c r="C163" s="158" t="s">
        <v>4</v>
      </c>
      <c r="D163" s="359" t="s">
        <v>242</v>
      </c>
      <c r="E163" s="360"/>
      <c r="F163" s="361"/>
      <c r="G163" s="8">
        <f>G116</f>
        <v>0.1</v>
      </c>
      <c r="H163" s="7">
        <f>TRUNC((H$160+H$161+H$162)*$G163,2)</f>
        <v>208.17</v>
      </c>
      <c r="I163" s="194"/>
      <c r="J163" s="358"/>
      <c r="K163" s="358"/>
      <c r="L163" s="358"/>
      <c r="M163" s="358"/>
      <c r="N163" s="358"/>
    </row>
    <row r="164" spans="2:14" ht="12.75" customHeight="1" x14ac:dyDescent="0.2">
      <c r="B164" s="166" t="s">
        <v>10</v>
      </c>
      <c r="C164" s="158" t="s">
        <v>126</v>
      </c>
      <c r="D164" s="359" t="s">
        <v>243</v>
      </c>
      <c r="E164" s="360"/>
      <c r="F164" s="361"/>
      <c r="G164" s="8">
        <f>G118+G119+G120</f>
        <v>0.14250000000000002</v>
      </c>
      <c r="H164" s="7">
        <f>TRUNC((H$160+H$161+H$162+H$163)/(1-$G164)-(H$160+H$161+H$162+H$163),2)</f>
        <v>380.54</v>
      </c>
      <c r="I164" s="194"/>
      <c r="J164" s="358"/>
      <c r="K164" s="358"/>
      <c r="L164" s="358"/>
      <c r="M164" s="358"/>
      <c r="N164" s="358"/>
    </row>
    <row r="165" spans="2:14" ht="22.5" x14ac:dyDescent="0.2">
      <c r="B165" s="166" t="s">
        <v>11</v>
      </c>
      <c r="C165" s="257" t="s">
        <v>127</v>
      </c>
      <c r="D165" s="337" t="s">
        <v>189</v>
      </c>
      <c r="E165" s="338"/>
      <c r="F165" s="338"/>
      <c r="G165" s="339"/>
      <c r="H165" s="258">
        <f>SUM(H160:H164)</f>
        <v>2670.48</v>
      </c>
      <c r="I165" s="195"/>
    </row>
    <row r="166" spans="2:14" x14ac:dyDescent="0.2">
      <c r="B166" s="166" t="s">
        <v>180</v>
      </c>
      <c r="C166" s="163" t="s">
        <v>151</v>
      </c>
      <c r="D166" s="362" t="s">
        <v>188</v>
      </c>
      <c r="E166" s="363"/>
      <c r="F166" s="363"/>
      <c r="G166" s="364"/>
      <c r="H166" s="76">
        <f>H159-H165</f>
        <v>7576.760000000002</v>
      </c>
      <c r="I166" s="209"/>
    </row>
    <row r="167" spans="2:14" ht="45" customHeight="1" x14ac:dyDescent="0.2">
      <c r="B167" s="365" t="s">
        <v>150</v>
      </c>
      <c r="C167" s="366"/>
      <c r="D167" s="366"/>
      <c r="E167" s="366"/>
      <c r="F167" s="366"/>
      <c r="G167" s="366"/>
      <c r="H167" s="367"/>
      <c r="I167" s="196"/>
    </row>
    <row r="169" spans="2:14" x14ac:dyDescent="0.2">
      <c r="B169" s="336" t="s">
        <v>223</v>
      </c>
      <c r="C169" s="336"/>
      <c r="D169" s="336"/>
      <c r="E169" s="336"/>
      <c r="F169" s="336"/>
    </row>
    <row r="170" spans="2:14" x14ac:dyDescent="0.2">
      <c r="B170" s="151"/>
      <c r="C170" s="151"/>
      <c r="D170" s="151"/>
      <c r="E170" s="135"/>
      <c r="F170" s="135"/>
    </row>
    <row r="171" spans="2:14" x14ac:dyDescent="0.2">
      <c r="B171" s="284" t="s">
        <v>224</v>
      </c>
      <c r="C171" s="284"/>
      <c r="D171" s="284"/>
      <c r="E171" s="284"/>
      <c r="F171" s="284"/>
      <c r="G171" s="284"/>
      <c r="H171" s="284"/>
    </row>
    <row r="172" spans="2:14" ht="22.5" customHeight="1" x14ac:dyDescent="0.2">
      <c r="B172" s="244" t="s">
        <v>5</v>
      </c>
      <c r="C172" s="352" t="s">
        <v>229</v>
      </c>
      <c r="D172" s="353"/>
      <c r="E172" s="353"/>
      <c r="F172" s="353"/>
      <c r="G172" s="354"/>
      <c r="H172" s="256">
        <v>6417.53</v>
      </c>
    </row>
    <row r="173" spans="2:14" x14ac:dyDescent="0.2">
      <c r="B173" s="244" t="s">
        <v>225</v>
      </c>
      <c r="C173" s="355" t="s">
        <v>227</v>
      </c>
      <c r="D173" s="356"/>
      <c r="E173" s="356"/>
      <c r="F173" s="356"/>
      <c r="G173" s="357"/>
      <c r="H173" s="76">
        <f>H172</f>
        <v>6417.53</v>
      </c>
    </row>
  </sheetData>
  <mergeCells count="144">
    <mergeCell ref="C172:G172"/>
    <mergeCell ref="C173:G173"/>
    <mergeCell ref="J162:N164"/>
    <mergeCell ref="D162:F162"/>
    <mergeCell ref="D163:F163"/>
    <mergeCell ref="D164:F164"/>
    <mergeCell ref="D165:G165"/>
    <mergeCell ref="D166:G166"/>
    <mergeCell ref="B167:H167"/>
    <mergeCell ref="B169:F169"/>
    <mergeCell ref="B171:H171"/>
    <mergeCell ref="B142:C142"/>
    <mergeCell ref="B143:C143"/>
    <mergeCell ref="B156:F156"/>
    <mergeCell ref="B158:H158"/>
    <mergeCell ref="D159:G159"/>
    <mergeCell ref="D161:G161"/>
    <mergeCell ref="D160:G160"/>
    <mergeCell ref="D134:G134"/>
    <mergeCell ref="B137:C137"/>
    <mergeCell ref="B138:C138"/>
    <mergeCell ref="B139:C139"/>
    <mergeCell ref="B140:C140"/>
    <mergeCell ref="B141:C141"/>
    <mergeCell ref="D128:G128"/>
    <mergeCell ref="D129:G129"/>
    <mergeCell ref="D130:G130"/>
    <mergeCell ref="D131:G131"/>
    <mergeCell ref="D132:G132"/>
    <mergeCell ref="D133:G133"/>
    <mergeCell ref="D120:F120"/>
    <mergeCell ref="D121:G121"/>
    <mergeCell ref="B123:H123"/>
    <mergeCell ref="B125:H125"/>
    <mergeCell ref="C126:G126"/>
    <mergeCell ref="D127:G127"/>
    <mergeCell ref="C114:F114"/>
    <mergeCell ref="D115:F115"/>
    <mergeCell ref="D116:F116"/>
    <mergeCell ref="D117:F117"/>
    <mergeCell ref="D118:F118"/>
    <mergeCell ref="D119:F119"/>
    <mergeCell ref="D99:G99"/>
    <mergeCell ref="D100:G100"/>
    <mergeCell ref="C101:G101"/>
    <mergeCell ref="B104:H104"/>
    <mergeCell ref="C105:G105"/>
    <mergeCell ref="B113:H113"/>
    <mergeCell ref="B92:H92"/>
    <mergeCell ref="C93:F93"/>
    <mergeCell ref="D94:F94"/>
    <mergeCell ref="B97:H97"/>
    <mergeCell ref="C98:G98"/>
    <mergeCell ref="C95:G95"/>
    <mergeCell ref="D67:G67"/>
    <mergeCell ref="D68:G68"/>
    <mergeCell ref="D69:G69"/>
    <mergeCell ref="B85:H85"/>
    <mergeCell ref="C86:F86"/>
    <mergeCell ref="D87:F87"/>
    <mergeCell ref="D88:F88"/>
    <mergeCell ref="D89:G89"/>
    <mergeCell ref="C90:G90"/>
    <mergeCell ref="D77:E77"/>
    <mergeCell ref="D78:F78"/>
    <mergeCell ref="D79:E79"/>
    <mergeCell ref="D80:E80"/>
    <mergeCell ref="C81:G81"/>
    <mergeCell ref="B84:H84"/>
    <mergeCell ref="B73:H73"/>
    <mergeCell ref="C74:F74"/>
    <mergeCell ref="D75:F75"/>
    <mergeCell ref="J48:J49"/>
    <mergeCell ref="D50:F50"/>
    <mergeCell ref="D51:F51"/>
    <mergeCell ref="D52:F52"/>
    <mergeCell ref="C45:F45"/>
    <mergeCell ref="D46:F46"/>
    <mergeCell ref="D47:F47"/>
    <mergeCell ref="D59:G59"/>
    <mergeCell ref="J59:N59"/>
    <mergeCell ref="D53:F53"/>
    <mergeCell ref="D54:F54"/>
    <mergeCell ref="C55:F55"/>
    <mergeCell ref="B56:H56"/>
    <mergeCell ref="B57:H57"/>
    <mergeCell ref="C58:G58"/>
    <mergeCell ref="B19:B20"/>
    <mergeCell ref="C19:H19"/>
    <mergeCell ref="C20:H20"/>
    <mergeCell ref="B23:H23"/>
    <mergeCell ref="C24:F24"/>
    <mergeCell ref="B48:B49"/>
    <mergeCell ref="C48:C49"/>
    <mergeCell ref="D48:D49"/>
    <mergeCell ref="C39:F39"/>
    <mergeCell ref="D40:F40"/>
    <mergeCell ref="D41:F41"/>
    <mergeCell ref="C42:F42"/>
    <mergeCell ref="B43:H43"/>
    <mergeCell ref="B44:H44"/>
    <mergeCell ref="G48:G49"/>
    <mergeCell ref="H48:H49"/>
    <mergeCell ref="D30:F30"/>
    <mergeCell ref="C31:F31"/>
    <mergeCell ref="C32:F33"/>
    <mergeCell ref="B36:H36"/>
    <mergeCell ref="B37:H37"/>
    <mergeCell ref="B38:H38"/>
    <mergeCell ref="D25:F25"/>
    <mergeCell ref="D26:F26"/>
    <mergeCell ref="B2:H2"/>
    <mergeCell ref="B3:H3"/>
    <mergeCell ref="B6:F6"/>
    <mergeCell ref="G6:H6"/>
    <mergeCell ref="B8:H8"/>
    <mergeCell ref="B9:B10"/>
    <mergeCell ref="C9:H9"/>
    <mergeCell ref="C10:H10"/>
    <mergeCell ref="B17:B18"/>
    <mergeCell ref="C17:H17"/>
    <mergeCell ref="C18:H18"/>
    <mergeCell ref="B15:B16"/>
    <mergeCell ref="C15:H15"/>
    <mergeCell ref="C16:H16"/>
    <mergeCell ref="B11:B12"/>
    <mergeCell ref="C11:H11"/>
    <mergeCell ref="C12:H12"/>
    <mergeCell ref="B13:B14"/>
    <mergeCell ref="C13:H13"/>
    <mergeCell ref="C14:H14"/>
    <mergeCell ref="D76:F76"/>
    <mergeCell ref="B64:H64"/>
    <mergeCell ref="B65:H65"/>
    <mergeCell ref="C66:G66"/>
    <mergeCell ref="D27:F27"/>
    <mergeCell ref="D28:F28"/>
    <mergeCell ref="D29:F29"/>
    <mergeCell ref="D60:G60"/>
    <mergeCell ref="D61:G61"/>
    <mergeCell ref="D62:G62"/>
    <mergeCell ref="C63:G63"/>
    <mergeCell ref="C70:G70"/>
    <mergeCell ref="B71:H71"/>
  </mergeCells>
  <dataValidations count="11">
    <dataValidation type="list" allowBlank="1" showInputMessage="1" showErrorMessage="1" sqref="G80">
      <formula1>"3,6,9,12,15"</formula1>
    </dataValidation>
    <dataValidation type="custom" allowBlank="1" showInputMessage="1" showErrorMessage="1" sqref="G117">
      <formula1>1-(G118+G119+G120)</formula1>
    </dataValidation>
    <dataValidation type="list" operator="equal" allowBlank="1" showInputMessage="1" showErrorMessage="1" errorTitle="Valor errado" error="Percentual fixo. Preencher com 40%." sqref="F77 F79">
      <formula1>"40%"</formula1>
    </dataValidation>
    <dataValidation type="whole" allowBlank="1" showInputMessage="1" showErrorMessage="1" errorTitle="Valor errado" error="Quantidade fixa de dias. Prencher com 30" sqref="G87">
      <formula1>30</formula1>
      <formula2>30</formula2>
    </dataValidation>
    <dataValidation type="list" allowBlank="1" showInputMessage="1" showErrorMessage="1" sqref="G29">
      <formula1>"0, 50%, 100%"</formula1>
    </dataValidation>
    <dataValidation type="list" allowBlank="1" showInputMessage="1" showErrorMessage="1" sqref="G118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19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">
      <formula1>"0, 20%"</formula1>
    </dataValidation>
    <dataValidation type="list" allowBlank="1" showInputMessage="1" showErrorMessage="1" sqref="E49">
      <formula1>"1%, 2%, 3%"</formula1>
    </dataValidation>
    <dataValidation type="list" allowBlank="1" showInputMessage="1" showErrorMessage="1" sqref="G27">
      <formula1>"0%, 10%, 20%, 40%"</formula1>
    </dataValidation>
    <dataValidation type="list" allowBlank="1" showInputMessage="1" showErrorMessage="1" sqref="G26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9"/>
  <sheetViews>
    <sheetView showGridLines="0" topLeftCell="A10" zoomScaleNormal="100" workbookViewId="0">
      <selection activeCell="E33" sqref="E33"/>
    </sheetView>
  </sheetViews>
  <sheetFormatPr defaultRowHeight="11.25" x14ac:dyDescent="0.2"/>
  <cols>
    <col min="1" max="1" width="3.7109375" style="87" customWidth="1"/>
    <col min="2" max="2" width="25.7109375" style="87" customWidth="1"/>
    <col min="3" max="3" width="14.140625" style="87" customWidth="1"/>
    <col min="4" max="4" width="15.42578125" style="87" customWidth="1"/>
    <col min="5" max="5" width="14" style="87" customWidth="1"/>
    <col min="6" max="6" width="11.42578125" style="87" customWidth="1"/>
    <col min="7" max="7" width="12.7109375" style="87" bestFit="1" customWidth="1"/>
    <col min="8" max="10" width="15.7109375" style="87" customWidth="1"/>
    <col min="11" max="16384" width="9.140625" style="87"/>
  </cols>
  <sheetData>
    <row r="1" spans="1:12" ht="12" thickBot="1" x14ac:dyDescent="0.25"/>
    <row r="2" spans="1:12" ht="18.75" customHeight="1" thickBot="1" x14ac:dyDescent="0.25">
      <c r="A2" s="368" t="s">
        <v>102</v>
      </c>
      <c r="B2" s="369"/>
      <c r="C2" s="369"/>
      <c r="D2" s="369"/>
      <c r="E2" s="369"/>
      <c r="F2" s="369"/>
      <c r="G2" s="370"/>
      <c r="H2" s="215"/>
      <c r="I2" s="215"/>
    </row>
    <row r="4" spans="1:12" s="88" customFormat="1" ht="30" customHeight="1" x14ac:dyDescent="0.2">
      <c r="A4" s="376" t="s">
        <v>103</v>
      </c>
      <c r="B4" s="376"/>
      <c r="C4" s="85" t="s">
        <v>104</v>
      </c>
      <c r="D4" s="85" t="s">
        <v>137</v>
      </c>
      <c r="E4" s="85" t="s">
        <v>133</v>
      </c>
      <c r="F4" s="85" t="s">
        <v>138</v>
      </c>
      <c r="G4" s="214" t="s">
        <v>139</v>
      </c>
      <c r="K4" s="87"/>
      <c r="L4" s="87"/>
    </row>
    <row r="5" spans="1:12" ht="22.5" customHeight="1" x14ac:dyDescent="0.2">
      <c r="A5" s="2">
        <v>1</v>
      </c>
      <c r="B5" s="219" t="s">
        <v>204</v>
      </c>
      <c r="C5" s="94">
        <v>148.27000000000001</v>
      </c>
      <c r="D5" s="217">
        <v>2</v>
      </c>
      <c r="E5" s="217">
        <v>12</v>
      </c>
      <c r="F5" s="218">
        <f>IF(B5="","",TRUNC(C5*D5*(12/E5),2))</f>
        <v>296.54000000000002</v>
      </c>
      <c r="G5" s="218">
        <f>IF(B5="","",TRUNC(F5/12,2))</f>
        <v>24.71</v>
      </c>
    </row>
    <row r="6" spans="1:12" ht="22.5" customHeight="1" x14ac:dyDescent="0.2">
      <c r="A6" s="2">
        <f>A5+1</f>
        <v>2</v>
      </c>
      <c r="B6" s="219" t="s">
        <v>206</v>
      </c>
      <c r="C6" s="94">
        <v>53.23</v>
      </c>
      <c r="D6" s="217">
        <v>4</v>
      </c>
      <c r="E6" s="217">
        <v>12</v>
      </c>
      <c r="F6" s="218">
        <f>IF(B6="","",TRUNC(C6*D6*(12/E6),2))</f>
        <v>212.92</v>
      </c>
      <c r="G6" s="218">
        <f>IF(B6="","",TRUNC(F6/12,2))</f>
        <v>17.739999999999998</v>
      </c>
    </row>
    <row r="7" spans="1:12" ht="22.5" customHeight="1" x14ac:dyDescent="0.2">
      <c r="A7" s="2">
        <f t="shared" ref="A7:A8" si="0">A6+1</f>
        <v>3</v>
      </c>
      <c r="B7" s="219" t="s">
        <v>205</v>
      </c>
      <c r="C7" s="94">
        <v>24.92</v>
      </c>
      <c r="D7" s="217">
        <v>2</v>
      </c>
      <c r="E7" s="217">
        <v>12</v>
      </c>
      <c r="F7" s="218">
        <f t="shared" ref="F7:F10" si="1">IF(B7="","",TRUNC(C7*D7*(12/E7),2))</f>
        <v>49.84</v>
      </c>
      <c r="G7" s="218">
        <f t="shared" ref="G7:G10" si="2">IF(B7="","",TRUNC(F7/12,2))</f>
        <v>4.1500000000000004</v>
      </c>
      <c r="I7" s="216"/>
    </row>
    <row r="8" spans="1:12" ht="22.5" customHeight="1" x14ac:dyDescent="0.2">
      <c r="A8" s="2">
        <f t="shared" si="0"/>
        <v>4</v>
      </c>
      <c r="B8" s="219" t="s">
        <v>207</v>
      </c>
      <c r="C8" s="94">
        <v>14.59</v>
      </c>
      <c r="D8" s="217">
        <v>4</v>
      </c>
      <c r="E8" s="217">
        <v>12</v>
      </c>
      <c r="F8" s="218">
        <f t="shared" si="1"/>
        <v>58.36</v>
      </c>
      <c r="G8" s="218">
        <f t="shared" si="2"/>
        <v>4.8600000000000003</v>
      </c>
      <c r="I8" s="216"/>
    </row>
    <row r="9" spans="1:12" ht="22.5" customHeight="1" x14ac:dyDescent="0.2">
      <c r="A9" s="2">
        <v>5</v>
      </c>
      <c r="B9" s="219" t="s">
        <v>213</v>
      </c>
      <c r="C9" s="94">
        <v>21.93</v>
      </c>
      <c r="D9" s="217">
        <v>2</v>
      </c>
      <c r="E9" s="217">
        <v>12</v>
      </c>
      <c r="F9" s="218">
        <f t="shared" si="1"/>
        <v>43.86</v>
      </c>
      <c r="G9" s="218">
        <f t="shared" si="2"/>
        <v>3.65</v>
      </c>
      <c r="I9" s="216"/>
    </row>
    <row r="10" spans="1:12" ht="22.5" customHeight="1" x14ac:dyDescent="0.2">
      <c r="A10" s="2">
        <v>6</v>
      </c>
      <c r="B10" s="219" t="s">
        <v>208</v>
      </c>
      <c r="C10" s="94">
        <v>63.29</v>
      </c>
      <c r="D10" s="217">
        <v>2</v>
      </c>
      <c r="E10" s="217">
        <v>12</v>
      </c>
      <c r="F10" s="218">
        <f t="shared" si="1"/>
        <v>126.58</v>
      </c>
      <c r="G10" s="218">
        <f t="shared" si="2"/>
        <v>10.54</v>
      </c>
      <c r="I10" s="216"/>
    </row>
    <row r="11" spans="1:12" ht="22.5" customHeight="1" x14ac:dyDescent="0.2">
      <c r="A11" s="91"/>
      <c r="B11" s="92"/>
      <c r="C11" s="93"/>
      <c r="D11" s="93"/>
      <c r="E11" s="374" t="s">
        <v>134</v>
      </c>
      <c r="F11" s="375"/>
      <c r="G11" s="96">
        <f>SUM(G5:G10)</f>
        <v>65.650000000000006</v>
      </c>
    </row>
    <row r="14" spans="1:12" ht="12" thickBot="1" x14ac:dyDescent="0.25"/>
    <row r="15" spans="1:12" ht="18.75" customHeight="1" thickBot="1" x14ac:dyDescent="0.25">
      <c r="A15" s="371" t="s">
        <v>135</v>
      </c>
      <c r="B15" s="372"/>
      <c r="C15" s="372"/>
      <c r="D15" s="372"/>
      <c r="E15" s="372"/>
      <c r="F15" s="372"/>
      <c r="G15" s="372"/>
      <c r="H15" s="373"/>
      <c r="I15" s="215"/>
      <c r="J15" s="215"/>
    </row>
    <row r="18" spans="1:10" s="88" customFormat="1" ht="48" customHeight="1" x14ac:dyDescent="0.2">
      <c r="A18" s="374" t="s">
        <v>103</v>
      </c>
      <c r="B18" s="375"/>
      <c r="C18" s="85" t="s">
        <v>136</v>
      </c>
      <c r="D18" s="85" t="s">
        <v>200</v>
      </c>
      <c r="E18" s="85" t="s">
        <v>146</v>
      </c>
      <c r="F18" s="85" t="s">
        <v>145</v>
      </c>
      <c r="G18" s="85" t="s">
        <v>140</v>
      </c>
      <c r="H18" s="214" t="s">
        <v>139</v>
      </c>
      <c r="I18" s="225"/>
      <c r="J18" s="225"/>
    </row>
    <row r="19" spans="1:10" ht="22.5" customHeight="1" x14ac:dyDescent="0.2">
      <c r="A19" s="2">
        <v>1</v>
      </c>
      <c r="B19" s="219" t="s">
        <v>114</v>
      </c>
      <c r="C19" s="94">
        <v>1588.04</v>
      </c>
      <c r="D19" s="95">
        <v>60</v>
      </c>
      <c r="E19" s="90">
        <v>1</v>
      </c>
      <c r="F19" s="90">
        <v>1</v>
      </c>
      <c r="G19" s="89">
        <f>IF(B19="","",TRUNC(E19/F19,2))</f>
        <v>1</v>
      </c>
      <c r="H19" s="89">
        <f>IF(B19="","",TRUNC(C19/D19*G19,2))</f>
        <v>26.46</v>
      </c>
      <c r="I19" s="221"/>
      <c r="J19" s="221"/>
    </row>
    <row r="20" spans="1:10" ht="22.5" customHeight="1" x14ac:dyDescent="0.2">
      <c r="A20" s="2">
        <f>A19+1</f>
        <v>2</v>
      </c>
      <c r="B20" s="219" t="s">
        <v>209</v>
      </c>
      <c r="C20" s="94">
        <v>640.75</v>
      </c>
      <c r="D20" s="95">
        <v>60</v>
      </c>
      <c r="E20" s="90">
        <v>1</v>
      </c>
      <c r="F20" s="90">
        <v>1</v>
      </c>
      <c r="G20" s="89">
        <f t="shared" ref="G20" si="3">IF(B20="","",TRUNC(E20/F20,2))</f>
        <v>1</v>
      </c>
      <c r="H20" s="89">
        <f t="shared" ref="H20" si="4">IF(B20="","",TRUNC(C20/D20*G20,2))</f>
        <v>10.67</v>
      </c>
      <c r="I20" s="221"/>
      <c r="J20" s="221"/>
    </row>
    <row r="21" spans="1:10" ht="22.5" customHeight="1" x14ac:dyDescent="0.2">
      <c r="A21" s="91"/>
      <c r="B21" s="92"/>
      <c r="C21" s="93"/>
      <c r="D21" s="93"/>
      <c r="E21" s="93"/>
      <c r="F21" s="374" t="s">
        <v>134</v>
      </c>
      <c r="G21" s="375"/>
      <c r="H21" s="86">
        <f>SUM(H19:H20)</f>
        <v>37.130000000000003</v>
      </c>
    </row>
    <row r="24" spans="1:10" ht="12" thickBot="1" x14ac:dyDescent="0.25"/>
    <row r="25" spans="1:10" ht="18.75" customHeight="1" thickBot="1" x14ac:dyDescent="0.25">
      <c r="A25" s="371" t="s">
        <v>228</v>
      </c>
      <c r="B25" s="372"/>
      <c r="C25" s="372"/>
      <c r="D25" s="372"/>
      <c r="E25" s="372"/>
      <c r="F25" s="372"/>
      <c r="G25" s="373"/>
    </row>
    <row r="27" spans="1:10" ht="48" customHeight="1" x14ac:dyDescent="0.2">
      <c r="A27" s="374" t="s">
        <v>103</v>
      </c>
      <c r="B27" s="375"/>
      <c r="C27" s="229" t="s">
        <v>104</v>
      </c>
      <c r="D27" s="229" t="s">
        <v>144</v>
      </c>
      <c r="E27" s="229" t="s">
        <v>145</v>
      </c>
      <c r="F27" s="228" t="s">
        <v>138</v>
      </c>
      <c r="G27" s="223" t="s">
        <v>139</v>
      </c>
    </row>
    <row r="28" spans="1:10" ht="22.5" customHeight="1" x14ac:dyDescent="0.2">
      <c r="A28" s="2">
        <v>1</v>
      </c>
      <c r="B28" s="219" t="s">
        <v>210</v>
      </c>
      <c r="C28" s="94">
        <v>54.99</v>
      </c>
      <c r="D28" s="217">
        <v>1</v>
      </c>
      <c r="E28" s="217">
        <v>1</v>
      </c>
      <c r="F28" s="222">
        <f>IF(B28="","",TRUNC((C28*D28*12)/E28,2))</f>
        <v>659.88</v>
      </c>
      <c r="G28" s="220">
        <f>IF(B28="","",TRUNC(F28/12,2))</f>
        <v>54.99</v>
      </c>
    </row>
    <row r="29" spans="1:10" ht="22.5" customHeight="1" x14ac:dyDescent="0.2">
      <c r="A29" s="91"/>
      <c r="B29" s="92"/>
      <c r="C29" s="93"/>
      <c r="E29" s="374" t="s">
        <v>134</v>
      </c>
      <c r="F29" s="375"/>
      <c r="G29" s="224">
        <f>SUM(G28:G28)</f>
        <v>54.99</v>
      </c>
    </row>
  </sheetData>
  <mergeCells count="9">
    <mergeCell ref="A2:G2"/>
    <mergeCell ref="A15:H15"/>
    <mergeCell ref="A18:B18"/>
    <mergeCell ref="A27:B27"/>
    <mergeCell ref="E29:F29"/>
    <mergeCell ref="F21:G21"/>
    <mergeCell ref="A4:B4"/>
    <mergeCell ref="E11:F11"/>
    <mergeCell ref="A25:G25"/>
  </mergeCells>
  <pageMargins left="0.511811024" right="0.511811024" top="0.78740157499999996" bottom="0.78740157499999996" header="0.31496062000000002" footer="0.31496062000000002"/>
  <pageSetup paperSize="9" scale="83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Quadro resumo</vt:lpstr>
      <vt:lpstr>Planilha de custos</vt:lpstr>
      <vt:lpstr>Insumos</vt:lpstr>
      <vt:lpstr>Insumos!Area_de_impressao</vt:lpstr>
      <vt:lpstr>'Planilha de custos'!Area_de_impressao</vt:lpstr>
      <vt:lpstr>'Quadro resumo'!Area_de_impressao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2022-05-12T18:13:26Z</cp:lastPrinted>
  <dcterms:created xsi:type="dcterms:W3CDTF">2010-12-08T17:56:29Z</dcterms:created>
  <dcterms:modified xsi:type="dcterms:W3CDTF">2022-06-01T17:24:56Z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