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2\Pregão\2 - Numerado\11 Manutenção Predial - RC 5037\Edital, Anexo II, Relação de itens e Aviso DOU\"/>
    </mc:Choice>
  </mc:AlternateContent>
  <bookViews>
    <workbookView xWindow="0" yWindow="0" windowWidth="7065" windowHeight="4680" tabRatio="877" activeTab="6"/>
  </bookViews>
  <sheets>
    <sheet name="Quadro resumo" sheetId="7" r:id="rId1"/>
    <sheet name="Arquiteto" sheetId="27" r:id="rId2"/>
    <sheet name="Encarregado de Manutenção" sheetId="29" r:id="rId3"/>
    <sheet name="Manut. Elétrica_h extra" sheetId="32" r:id="rId4"/>
    <sheet name="Manutenção Elétrica" sheetId="30" r:id="rId5"/>
    <sheet name="Manut. Predial_h extra" sheetId="31" r:id="rId6"/>
    <sheet name="Manut. Predial" sheetId="33" r:id="rId7"/>
    <sheet name="Insumos" sheetId="23" r:id="rId8"/>
  </sheets>
  <definedNames>
    <definedName name="_xlnm.Print_Area" localSheetId="1">Arquiteto!$B$2:$H$169</definedName>
    <definedName name="_xlnm.Print_Area" localSheetId="2">'Encarregado de Manutenção'!$B$2:$H$170</definedName>
    <definedName name="_xlnm.Print_Area" localSheetId="7">Insumos!$A$2:$H$94</definedName>
    <definedName name="_xlnm.Print_Area" localSheetId="3">'Manut. Elétrica_h extra'!$B$2:$H$170</definedName>
    <definedName name="_xlnm.Print_Area" localSheetId="6">'Manut. Predial'!$B$2:$H$167</definedName>
    <definedName name="_xlnm.Print_Area" localSheetId="5">'Manut. Predial_h extra'!$B$2:$H$170</definedName>
    <definedName name="_xlnm.Print_Area" localSheetId="4">'Manutenção Elétrica'!$B$2:$H$167</definedName>
    <definedName name="_xlnm.Print_Area" localSheetId="0">'Quadro resumo'!$B$1:$G$37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6" i="31" l="1"/>
  <c r="H66" i="32"/>
  <c r="H66" i="29"/>
  <c r="H58" i="33" l="1"/>
  <c r="H61" i="31"/>
  <c r="H58" i="30"/>
  <c r="H61" i="32"/>
  <c r="H61" i="29"/>
  <c r="G164" i="33" l="1"/>
  <c r="G163" i="33"/>
  <c r="G162" i="33"/>
  <c r="H150" i="33"/>
  <c r="H144" i="33"/>
  <c r="G117" i="33"/>
  <c r="H109" i="33"/>
  <c r="H108" i="33"/>
  <c r="H107" i="33"/>
  <c r="H106" i="33"/>
  <c r="H110" i="33" s="1"/>
  <c r="H131" i="33" s="1"/>
  <c r="H57" i="33"/>
  <c r="H63" i="33" s="1"/>
  <c r="H69" i="33" s="1"/>
  <c r="G46" i="33"/>
  <c r="G53" i="33" s="1"/>
  <c r="G39" i="33"/>
  <c r="G40" i="33" s="1"/>
  <c r="G38" i="33"/>
  <c r="H28" i="33"/>
  <c r="H27" i="33"/>
  <c r="G167" i="32"/>
  <c r="G166" i="32"/>
  <c r="G165" i="32"/>
  <c r="H153" i="32"/>
  <c r="H147" i="32"/>
  <c r="G120" i="32"/>
  <c r="H112" i="32"/>
  <c r="H111" i="32"/>
  <c r="H110" i="32"/>
  <c r="H109" i="32"/>
  <c r="H60" i="32"/>
  <c r="G49" i="32"/>
  <c r="G56" i="32" s="1"/>
  <c r="G42" i="32"/>
  <c r="G41" i="32"/>
  <c r="G43" i="32" s="1"/>
  <c r="H28" i="32"/>
  <c r="H27" i="32"/>
  <c r="H29" i="32" s="1"/>
  <c r="C22" i="7"/>
  <c r="G167" i="31"/>
  <c r="G166" i="31"/>
  <c r="G165" i="31"/>
  <c r="H153" i="31"/>
  <c r="H147" i="31"/>
  <c r="G120" i="31"/>
  <c r="H112" i="31"/>
  <c r="H111" i="31"/>
  <c r="H110" i="31"/>
  <c r="H113" i="31" s="1"/>
  <c r="H134" i="31" s="1"/>
  <c r="H109" i="31"/>
  <c r="H60" i="31"/>
  <c r="H72" i="31" s="1"/>
  <c r="G56" i="31"/>
  <c r="G49" i="31"/>
  <c r="G43" i="31"/>
  <c r="G42" i="31"/>
  <c r="G41" i="31"/>
  <c r="H28" i="31"/>
  <c r="H27" i="31"/>
  <c r="H29" i="31" s="1"/>
  <c r="G164" i="30"/>
  <c r="G163" i="30"/>
  <c r="G162" i="30"/>
  <c r="H150" i="30"/>
  <c r="H144" i="30"/>
  <c r="G117" i="30"/>
  <c r="H109" i="30"/>
  <c r="H108" i="30"/>
  <c r="H107" i="30"/>
  <c r="H106" i="30"/>
  <c r="H57" i="30"/>
  <c r="G46" i="30"/>
  <c r="G53" i="30" s="1"/>
  <c r="G39" i="30"/>
  <c r="G38" i="30"/>
  <c r="H28" i="30"/>
  <c r="H27" i="30"/>
  <c r="H29" i="30" s="1"/>
  <c r="H113" i="32" l="1"/>
  <c r="H134" i="32" s="1"/>
  <c r="H34" i="31"/>
  <c r="H30" i="31" s="1"/>
  <c r="H72" i="32"/>
  <c r="H29" i="33"/>
  <c r="H31" i="33" s="1"/>
  <c r="G40" i="30"/>
  <c r="H110" i="30"/>
  <c r="H131" i="30" s="1"/>
  <c r="H34" i="32"/>
  <c r="H30" i="32" s="1"/>
  <c r="H32" i="32" s="1"/>
  <c r="H32" i="31"/>
  <c r="H63" i="30"/>
  <c r="H69" i="30" s="1"/>
  <c r="H31" i="30"/>
  <c r="H38" i="33" l="1"/>
  <c r="H39" i="33"/>
  <c r="H127" i="33"/>
  <c r="H41" i="32"/>
  <c r="H42" i="32"/>
  <c r="H130" i="32"/>
  <c r="H42" i="31"/>
  <c r="H41" i="31"/>
  <c r="H43" i="31" s="1"/>
  <c r="H130" i="31"/>
  <c r="H38" i="30"/>
  <c r="H40" i="30" s="1"/>
  <c r="H49" i="30" s="1"/>
  <c r="H127" i="30"/>
  <c r="H39" i="30"/>
  <c r="H43" i="32" l="1"/>
  <c r="H40" i="33"/>
  <c r="H161" i="33" s="1"/>
  <c r="H54" i="32"/>
  <c r="H48" i="32"/>
  <c r="H164" i="31"/>
  <c r="H70" i="31"/>
  <c r="H53" i="31"/>
  <c r="H48" i="31"/>
  <c r="H55" i="31"/>
  <c r="H79" i="31" s="1"/>
  <c r="H52" i="31"/>
  <c r="H49" i="31"/>
  <c r="H51" i="31"/>
  <c r="H54" i="31"/>
  <c r="H47" i="31"/>
  <c r="H161" i="30"/>
  <c r="H67" i="30"/>
  <c r="H46" i="30"/>
  <c r="H52" i="30"/>
  <c r="H76" i="30" s="1"/>
  <c r="H48" i="30"/>
  <c r="H45" i="30"/>
  <c r="H50" i="30"/>
  <c r="H51" i="30"/>
  <c r="H44" i="30"/>
  <c r="H53" i="32" l="1"/>
  <c r="H55" i="32"/>
  <c r="H47" i="32"/>
  <c r="H51" i="32"/>
  <c r="H49" i="32"/>
  <c r="H52" i="32"/>
  <c r="H70" i="32"/>
  <c r="H164" i="32"/>
  <c r="H44" i="33"/>
  <c r="H51" i="33"/>
  <c r="H50" i="33"/>
  <c r="H48" i="33"/>
  <c r="H52" i="33"/>
  <c r="H76" i="33" s="1"/>
  <c r="H49" i="33"/>
  <c r="H67" i="33"/>
  <c r="H46" i="33"/>
  <c r="H45" i="33"/>
  <c r="H56" i="31"/>
  <c r="H80" i="31"/>
  <c r="H78" i="31" s="1"/>
  <c r="H82" i="31"/>
  <c r="H81" i="31" s="1"/>
  <c r="H53" i="30"/>
  <c r="H79" i="30"/>
  <c r="H78" i="30" s="1"/>
  <c r="H77" i="30"/>
  <c r="H75" i="30" s="1"/>
  <c r="H53" i="33" l="1"/>
  <c r="H56" i="32"/>
  <c r="H82" i="32"/>
  <c r="H81" i="32" s="1"/>
  <c r="H80" i="32"/>
  <c r="H79" i="32"/>
  <c r="H78" i="32" s="1"/>
  <c r="H79" i="33"/>
  <c r="H78" i="33" s="1"/>
  <c r="H77" i="33"/>
  <c r="H75" i="33" s="1"/>
  <c r="H68" i="33"/>
  <c r="H70" i="33" s="1"/>
  <c r="H80" i="33"/>
  <c r="H71" i="31"/>
  <c r="H73" i="31" s="1"/>
  <c r="H83" i="31"/>
  <c r="H84" i="31" s="1"/>
  <c r="H68" i="30"/>
  <c r="H70" i="30" s="1"/>
  <c r="H80" i="30"/>
  <c r="H81" i="30" s="1"/>
  <c r="H81" i="33" l="1"/>
  <c r="H94" i="33" s="1"/>
  <c r="H95" i="33" s="1"/>
  <c r="H100" i="33" s="1"/>
  <c r="H71" i="32"/>
  <c r="H73" i="32" s="1"/>
  <c r="H83" i="32"/>
  <c r="H84" i="32" s="1"/>
  <c r="H132" i="32" s="1"/>
  <c r="H129" i="33"/>
  <c r="H128" i="33"/>
  <c r="H89" i="33"/>
  <c r="H132" i="31"/>
  <c r="H131" i="31"/>
  <c r="H92" i="31"/>
  <c r="H97" i="31"/>
  <c r="H98" i="31" s="1"/>
  <c r="H103" i="31" s="1"/>
  <c r="H129" i="30"/>
  <c r="H128" i="30"/>
  <c r="H94" i="30"/>
  <c r="H95" i="30" s="1"/>
  <c r="H100" i="30" s="1"/>
  <c r="H89" i="30"/>
  <c r="H131" i="32" l="1"/>
  <c r="H97" i="32"/>
  <c r="H98" i="32" s="1"/>
  <c r="H103" i="32" s="1"/>
  <c r="H92" i="32"/>
  <c r="H88" i="33"/>
  <c r="H87" i="33"/>
  <c r="H90" i="31"/>
  <c r="H91" i="31"/>
  <c r="H88" i="30"/>
  <c r="H87" i="30"/>
  <c r="H93" i="31" l="1"/>
  <c r="H102" i="31" s="1"/>
  <c r="H104" i="31" s="1"/>
  <c r="H133" i="31" s="1"/>
  <c r="H135" i="31" s="1"/>
  <c r="H91" i="32"/>
  <c r="H90" i="32"/>
  <c r="H90" i="33"/>
  <c r="H99" i="33" s="1"/>
  <c r="H90" i="30"/>
  <c r="H99" i="30" s="1"/>
  <c r="H101" i="30" s="1"/>
  <c r="H130" i="30" s="1"/>
  <c r="H132" i="30" s="1"/>
  <c r="H163" i="31" l="1"/>
  <c r="H93" i="32"/>
  <c r="H102" i="32" s="1"/>
  <c r="H163" i="32" s="1"/>
  <c r="H101" i="33"/>
  <c r="H130" i="33" s="1"/>
  <c r="H132" i="33" s="1"/>
  <c r="H160" i="33"/>
  <c r="H160" i="30"/>
  <c r="H162" i="30" s="1"/>
  <c r="H118" i="31"/>
  <c r="H165" i="31"/>
  <c r="H166" i="31" s="1"/>
  <c r="H115" i="30"/>
  <c r="H116" i="30" s="1"/>
  <c r="H117" i="30" s="1"/>
  <c r="H165" i="32" l="1"/>
  <c r="H166" i="32" s="1"/>
  <c r="H167" i="32" s="1"/>
  <c r="H168" i="32" s="1"/>
  <c r="H104" i="32"/>
  <c r="H133" i="32" s="1"/>
  <c r="H135" i="32" s="1"/>
  <c r="H118" i="32" s="1"/>
  <c r="H119" i="32" s="1"/>
  <c r="H120" i="32" s="1"/>
  <c r="H115" i="33"/>
  <c r="H116" i="33" s="1"/>
  <c r="H162" i="33"/>
  <c r="H119" i="31"/>
  <c r="H120" i="31" s="1"/>
  <c r="H167" i="31"/>
  <c r="H168" i="31" s="1"/>
  <c r="H120" i="30"/>
  <c r="H118" i="30"/>
  <c r="H149" i="30" s="1"/>
  <c r="H152" i="30" s="1"/>
  <c r="H119" i="30"/>
  <c r="H163" i="30"/>
  <c r="H164" i="30" s="1"/>
  <c r="H165" i="30" s="1"/>
  <c r="H121" i="32" l="1"/>
  <c r="H152" i="32" s="1"/>
  <c r="H155" i="32" s="1"/>
  <c r="H123" i="32"/>
  <c r="H122" i="32"/>
  <c r="H117" i="33"/>
  <c r="H163" i="33"/>
  <c r="H123" i="31"/>
  <c r="H121" i="31"/>
  <c r="H152" i="31" s="1"/>
  <c r="H155" i="31" s="1"/>
  <c r="H122" i="31"/>
  <c r="H121" i="30"/>
  <c r="H151" i="30" s="1"/>
  <c r="H124" i="32" l="1"/>
  <c r="H164" i="33"/>
  <c r="H165" i="33" s="1"/>
  <c r="H120" i="33"/>
  <c r="H119" i="33"/>
  <c r="H118" i="33"/>
  <c r="H149" i="33" s="1"/>
  <c r="H152" i="33" s="1"/>
  <c r="H133" i="30"/>
  <c r="H134" i="30" s="1"/>
  <c r="H124" i="31"/>
  <c r="H121" i="33" l="1"/>
  <c r="H159" i="30"/>
  <c r="H166" i="30" s="1"/>
  <c r="E19" i="7"/>
  <c r="F19" i="7" s="1"/>
  <c r="G19" i="7" s="1"/>
  <c r="H154" i="32"/>
  <c r="H136" i="32"/>
  <c r="H137" i="32" s="1"/>
  <c r="H133" i="33"/>
  <c r="H134" i="33" s="1"/>
  <c r="H151" i="33"/>
  <c r="H136" i="31"/>
  <c r="H137" i="31" s="1"/>
  <c r="H154" i="31"/>
  <c r="H162" i="31" l="1"/>
  <c r="H169" i="31" s="1"/>
  <c r="E20" i="7"/>
  <c r="F20" i="7" s="1"/>
  <c r="G20" i="7" s="1"/>
  <c r="H162" i="32"/>
  <c r="H169" i="32" s="1"/>
  <c r="E18" i="7"/>
  <c r="F18" i="7" s="1"/>
  <c r="G18" i="7" s="1"/>
  <c r="H159" i="33"/>
  <c r="H166" i="33" s="1"/>
  <c r="E21" i="7"/>
  <c r="F21" i="7" s="1"/>
  <c r="G21" i="7" l="1"/>
  <c r="H112" i="29" l="1"/>
  <c r="H111" i="29"/>
  <c r="H9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7" i="23"/>
  <c r="G88" i="23"/>
  <c r="G89" i="23"/>
  <c r="G90" i="23"/>
  <c r="G91" i="23"/>
  <c r="G92" i="23"/>
  <c r="G93" i="23"/>
  <c r="G44" i="23"/>
  <c r="H44" i="23"/>
  <c r="G38" i="23"/>
  <c r="H38" i="23" s="1"/>
  <c r="H39" i="23" s="1"/>
  <c r="F20" i="23"/>
  <c r="G20" i="23" s="1"/>
  <c r="F21" i="23"/>
  <c r="G21" i="23" s="1"/>
  <c r="F22" i="23"/>
  <c r="G22" i="23" s="1"/>
  <c r="F23" i="23"/>
  <c r="G23" i="23" s="1"/>
  <c r="F19" i="23"/>
  <c r="G19" i="23" s="1"/>
  <c r="F7" i="23"/>
  <c r="G7" i="23" s="1"/>
  <c r="F8" i="23"/>
  <c r="G8" i="23" s="1"/>
  <c r="F9" i="23"/>
  <c r="G9" i="23" s="1"/>
  <c r="F10" i="23"/>
  <c r="G10" i="23" s="1"/>
  <c r="F6" i="23"/>
  <c r="G6" i="23" s="1"/>
  <c r="H60" i="29"/>
  <c r="G167" i="29"/>
  <c r="G166" i="29"/>
  <c r="G165" i="29"/>
  <c r="H153" i="29"/>
  <c r="H147" i="29"/>
  <c r="G120" i="29"/>
  <c r="G49" i="29"/>
  <c r="G56" i="29" s="1"/>
  <c r="G42" i="29"/>
  <c r="G41" i="29"/>
  <c r="H28" i="29"/>
  <c r="H27" i="29"/>
  <c r="H34" i="29" s="1"/>
  <c r="H30" i="29" s="1"/>
  <c r="H61" i="27"/>
  <c r="H26" i="27"/>
  <c r="G43" i="29" l="1"/>
  <c r="G11" i="23"/>
  <c r="H109" i="29" s="1"/>
  <c r="G24" i="23"/>
  <c r="H110" i="29" s="1"/>
  <c r="H72" i="29"/>
  <c r="H29" i="29"/>
  <c r="H32" i="29" s="1"/>
  <c r="H42" i="29" l="1"/>
  <c r="H130" i="29"/>
  <c r="H41" i="29"/>
  <c r="H43" i="29" l="1"/>
  <c r="H70" i="29" s="1"/>
  <c r="H53" i="29" l="1"/>
  <c r="H48" i="29"/>
  <c r="H52" i="29"/>
  <c r="H47" i="29"/>
  <c r="H49" i="29"/>
  <c r="H164" i="29"/>
  <c r="H55" i="29"/>
  <c r="H80" i="29" s="1"/>
  <c r="H54" i="29"/>
  <c r="H51" i="29"/>
  <c r="H79" i="29" l="1"/>
  <c r="H78" i="29" s="1"/>
  <c r="H56" i="29"/>
  <c r="H71" i="29" s="1"/>
  <c r="H73" i="29" s="1"/>
  <c r="H82" i="29"/>
  <c r="H81" i="29" s="1"/>
  <c r="H83" i="29" l="1"/>
  <c r="H84" i="29" s="1"/>
  <c r="H131" i="29"/>
  <c r="H132" i="29" l="1"/>
  <c r="H97" i="29"/>
  <c r="H98" i="29" s="1"/>
  <c r="H103" i="29" s="1"/>
  <c r="H92" i="29"/>
  <c r="H91" i="29" s="1"/>
  <c r="H90" i="29" l="1"/>
  <c r="H93" i="29" s="1"/>
  <c r="H102" i="29" s="1"/>
  <c r="H104" i="29" s="1"/>
  <c r="H133" i="29" s="1"/>
  <c r="H163" i="29" l="1"/>
  <c r="H165" i="29" s="1"/>
  <c r="H166" i="29" s="1"/>
  <c r="H167" i="29" l="1"/>
  <c r="H168" i="29" s="1"/>
  <c r="G166" i="27" l="1"/>
  <c r="G165" i="27"/>
  <c r="G164" i="27"/>
  <c r="H152" i="27"/>
  <c r="H146" i="27"/>
  <c r="G119" i="27"/>
  <c r="H65" i="27"/>
  <c r="H71" i="27" s="1"/>
  <c r="G49" i="27"/>
  <c r="G56" i="27" s="1"/>
  <c r="G42" i="27"/>
  <c r="G41" i="27"/>
  <c r="H28" i="27"/>
  <c r="H27" i="27"/>
  <c r="H34" i="27" s="1"/>
  <c r="H30" i="27" l="1"/>
  <c r="H29" i="27"/>
  <c r="G43" i="27"/>
  <c r="H32" i="27" l="1"/>
  <c r="H129" i="27" l="1"/>
  <c r="H41" i="27"/>
  <c r="H42" i="27"/>
  <c r="H43" i="27" l="1"/>
  <c r="H163" i="27" s="1"/>
  <c r="H49" i="27"/>
  <c r="H54" i="27" l="1"/>
  <c r="H51" i="27"/>
  <c r="H47" i="27"/>
  <c r="H48" i="27"/>
  <c r="H55" i="27"/>
  <c r="H78" i="27" s="1"/>
  <c r="H52" i="27"/>
  <c r="H53" i="27"/>
  <c r="H69" i="27"/>
  <c r="H56" i="27" l="1"/>
  <c r="H82" i="27" s="1"/>
  <c r="H79" i="27"/>
  <c r="H77" i="27" s="1"/>
  <c r="H81" i="27"/>
  <c r="H80" i="27" s="1"/>
  <c r="H70" i="27"/>
  <c r="H72" i="27" s="1"/>
  <c r="H83" i="27" l="1"/>
  <c r="H96" i="27"/>
  <c r="H97" i="27" s="1"/>
  <c r="H102" i="27" s="1"/>
  <c r="H130" i="27"/>
  <c r="H91" i="27"/>
  <c r="H90" i="27" s="1"/>
  <c r="H131" i="27"/>
  <c r="H89" i="27" l="1"/>
  <c r="H92" i="27" s="1"/>
  <c r="H101" i="27" s="1"/>
  <c r="H162" i="27" l="1"/>
  <c r="H164" i="27" s="1"/>
  <c r="H103" i="27"/>
  <c r="H132" i="27" s="1"/>
  <c r="H165" i="27" l="1"/>
  <c r="H166" i="27" s="1"/>
  <c r="H167" i="27" l="1"/>
  <c r="G32" i="23"/>
  <c r="H32" i="23" s="1"/>
  <c r="H33" i="23" s="1"/>
  <c r="H111" i="27" l="1"/>
  <c r="H113" i="29"/>
  <c r="H134" i="29" s="1"/>
  <c r="H135" i="29" s="1"/>
  <c r="H118" i="29" l="1"/>
  <c r="H119" i="29" s="1"/>
  <c r="H120" i="29" s="1"/>
  <c r="A20" i="23"/>
  <c r="A21" i="23" s="1"/>
  <c r="A22" i="23" s="1"/>
  <c r="A23" i="23" s="1"/>
  <c r="A7" i="23"/>
  <c r="A8" i="23" s="1"/>
  <c r="A9" i="23" s="1"/>
  <c r="A10" i="23" s="1"/>
  <c r="H123" i="29" l="1"/>
  <c r="H122" i="29"/>
  <c r="H121" i="29"/>
  <c r="H152" i="29" s="1"/>
  <c r="H155" i="29" s="1"/>
  <c r="H124" i="29" l="1"/>
  <c r="H112" i="27"/>
  <c r="H133" i="27" s="1"/>
  <c r="H134" i="27" s="1"/>
  <c r="H136" i="29" l="1"/>
  <c r="H137" i="29" s="1"/>
  <c r="H154" i="29"/>
  <c r="H117" i="27"/>
  <c r="H118" i="27" s="1"/>
  <c r="H162" i="29" l="1"/>
  <c r="H169" i="29" s="1"/>
  <c r="E17" i="7"/>
  <c r="F17" i="7" s="1"/>
  <c r="H119" i="27"/>
  <c r="G17" i="7" l="1"/>
  <c r="G22" i="7" s="1"/>
  <c r="G23" i="7" s="1"/>
  <c r="F22" i="7"/>
  <c r="H122" i="27"/>
  <c r="H120" i="27"/>
  <c r="H121" i="27"/>
  <c r="H151" i="27" l="1"/>
  <c r="H154" i="27" s="1"/>
  <c r="H123" i="27"/>
  <c r="H153" i="27" l="1"/>
  <c r="H135" i="27"/>
  <c r="H136" i="27" l="1"/>
  <c r="C12" i="7"/>
  <c r="E11" i="7" l="1"/>
  <c r="F11" i="7" s="1"/>
  <c r="G11" i="7" s="1"/>
  <c r="H161" i="27"/>
  <c r="H168" i="27" l="1"/>
  <c r="G12" i="7"/>
  <c r="G13" i="7" s="1"/>
  <c r="G25" i="7" s="1"/>
  <c r="F12" i="7"/>
</calcChain>
</file>

<file path=xl/comments1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4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B36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38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39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2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4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5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6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6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0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5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6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5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6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B36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38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39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2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4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5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6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6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0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5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6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<sst xmlns="http://schemas.openxmlformats.org/spreadsheetml/2006/main" count="1971" uniqueCount="323">
  <si>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</si>
  <si>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</si>
  <si>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</si>
  <si>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</si>
  <si>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</si>
  <si>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</si>
  <si>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</si>
  <si>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</si>
  <si>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</si>
  <si>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</si>
  <si>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</si>
  <si>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</si>
  <si>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</si>
  <si>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</si>
  <si>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</si>
  <si>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</si>
  <si>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</si>
  <si>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</si>
  <si>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</si>
  <si>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</si>
  <si>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</si>
  <si>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</si>
  <si>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</si>
  <si>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</si>
  <si>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</si>
  <si>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</si>
  <si>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</si>
  <si>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</si>
  <si>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</si>
  <si>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</si>
  <si>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</si>
  <si>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</si>
  <si>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</si>
  <si>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</si>
  <si>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</si>
  <si>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</si>
  <si>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</si>
  <si>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</si>
  <si>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</si>
  <si>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</si>
  <si>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</si>
  <si>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</si>
  <si>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</si>
  <si>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</si>
  <si>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</si>
  <si>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</si>
  <si>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</si>
  <si>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</si>
  <si>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</si>
  <si>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</si>
  <si>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</si>
  <si>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</si>
  <si>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</si>
  <si>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</si>
  <si>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</si>
  <si>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</si>
  <si>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</si>
  <si>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</si>
  <si>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</si>
  <si>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</si>
  <si>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</si>
  <si>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</si>
  <si>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</si>
  <si>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</si>
  <si>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</si>
  <si>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</si>
  <si>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</si>
  <si>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</si>
  <si>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</si>
  <si>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</si>
  <si>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</si>
  <si>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</si>
  <si>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</si>
  <si>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</si>
  <si>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</si>
  <si>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</si>
  <si>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</si>
  <si>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</si>
  <si>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</si>
  <si>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</si>
  <si>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</si>
  <si>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</si>
  <si>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</si>
  <si>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</si>
  <si>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</si>
  <si>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</si>
  <si>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</si>
  <si>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</si>
  <si>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</si>
  <si>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</si>
  <si>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</si>
  <si>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</si>
  <si>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</si>
  <si>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</si>
  <si>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</si>
  <si>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1- MÓDULOS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</si>
  <si>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</si>
  <si>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</si>
  <si>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</si>
  <si>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</si>
  <si>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</si>
  <si>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</si>
  <si>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</si>
  <si>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</si>
  <si>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</si>
  <si>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</si>
  <si>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</si>
  <si>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</si>
  <si>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</si>
  <si>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</si>
  <si>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</si>
  <si>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</si>
  <si>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</si>
  <si>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</si>
  <si>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</si>
  <si>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</si>
  <si>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QUADRO-RESUMO DO CUSTO POR EMPREGADO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</si>
  <si>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</si>
  <si>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</si>
  <si>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</si>
  <si>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</si>
  <si>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</si>
  <si>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</si>
  <si>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</si>
  <si>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</si>
  <si>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</si>
  <si>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</si>
  <si>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</si>
  <si>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</si>
  <si>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</si>
  <si>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</si>
  <si>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</si>
  <si>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</si>
  <si>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</si>
  <si>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</si>
  <si>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</si>
  <si>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</si>
  <si>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EQUIPAMENTOS</t>
  </si>
  <si>
    <t>Investimento</t>
  </si>
  <si>
    <t>Nº de Mudas por posto</t>
  </si>
  <si>
    <t>Custo anual por posto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</si>
  <si>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</si>
  <si>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</si>
  <si>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</si>
  <si>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</si>
  <si>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</si>
  <si>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de postos</t>
  </si>
  <si>
    <t>Prazo de amortização do equipamento (meses)</t>
  </si>
  <si>
    <t>Quant. de equipamentos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</si>
  <si>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</si>
  <si>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</si>
  <si>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</si>
  <si>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</si>
  <si>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</si>
  <si>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</si>
  <si>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</si>
  <si>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</si>
  <si>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</si>
  <si>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</si>
  <si>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</si>
  <si>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</si>
  <si>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</si>
  <si>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</si>
  <si>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</si>
  <si>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</si>
  <si>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</si>
  <si>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</si>
  <si>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</si>
  <si>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</si>
  <si>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</si>
  <si>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</si>
  <si>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</si>
  <si>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</si>
  <si>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</si>
  <si>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</si>
  <si>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</si>
  <si>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</si>
  <si>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</si>
  <si>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</si>
  <si>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</si>
  <si>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</si>
  <si>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</si>
  <si>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</si>
  <si>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</si>
  <si>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</si>
  <si>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</si>
  <si>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</si>
  <si>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</si>
  <si>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</si>
  <si>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</si>
  <si>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</si>
  <si>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</si>
  <si>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</si>
  <si>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</si>
  <si>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</si>
  <si>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</si>
  <si>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</si>
  <si>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</si>
  <si>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</si>
  <si>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</si>
  <si>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</si>
  <si>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</si>
  <si>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QUADRO-RESUMO DO PAGAMENTO MENSAL SEM FATO GERADOR E/OU OUTRAS OCORRÊNCIAS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</si>
  <si>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</si>
  <si>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</si>
  <si>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</si>
  <si>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</si>
  <si>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</si>
  <si>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</si>
  <si>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</si>
  <si>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</si>
  <si>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</si>
  <si>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</si>
  <si>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</si>
  <si>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</si>
  <si>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</si>
  <si>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</si>
  <si>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</si>
  <si>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</si>
  <si>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</si>
  <si>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Arquiteto</t>
  </si>
  <si>
    <t>8,5 x salário mínimo - Lei 4950-A/1966</t>
  </si>
  <si>
    <t>Auxílio saúde</t>
  </si>
  <si>
    <t>Seguro de vida</t>
  </si>
  <si>
    <t>(Valor CCT) - (Custo do empregado)</t>
  </si>
  <si>
    <t>Outros (Registro de ponto)</t>
  </si>
  <si>
    <t>ARQUITETO</t>
  </si>
  <si>
    <t>Enc. de Manutenção</t>
  </si>
  <si>
    <t>Café da manhã</t>
  </si>
  <si>
    <t>lei municipal 1418/1989</t>
  </si>
  <si>
    <t>Encarregado de Manutenção, Manutenção Elétrica e Manutenção Predial</t>
  </si>
  <si>
    <t>Calça jeans</t>
  </si>
  <si>
    <t>Camisa polo</t>
  </si>
  <si>
    <t>Cinto preto</t>
  </si>
  <si>
    <t>Par de meias</t>
  </si>
  <si>
    <t>Casaco preto</t>
  </si>
  <si>
    <t>EPIs</t>
  </si>
  <si>
    <t>Óculos de proteção</t>
  </si>
  <si>
    <t>Luvas pigmentadas</t>
  </si>
  <si>
    <t>Luvas raspas</t>
  </si>
  <si>
    <t>Botas de couro</t>
  </si>
  <si>
    <t>Capacete</t>
  </si>
  <si>
    <t>Quantidade</t>
  </si>
  <si>
    <t xml:space="preserve">Cinturão para ferramentas </t>
  </si>
  <si>
    <t>Alicate</t>
  </si>
  <si>
    <t>Furadeira de impacto</t>
  </si>
  <si>
    <t>Paquímetro</t>
  </si>
  <si>
    <t>Alicate amperímetro digital</t>
  </si>
  <si>
    <t>Jogo de grampos tipo C</t>
  </si>
  <si>
    <t>Torno encanador fixo nº3</t>
  </si>
  <si>
    <t>Alicate Universal 8 pol. Isolamento 1000v</t>
  </si>
  <si>
    <t>Alicate descascador de fio com cabo automático</t>
  </si>
  <si>
    <t>Serra tico-tico</t>
  </si>
  <si>
    <t>Trena 10m com trava</t>
  </si>
  <si>
    <t>Lixadeira excêntrica roto orbital com coletor</t>
  </si>
  <si>
    <t>Termômetro infra vermelhor -50 à 150</t>
  </si>
  <si>
    <t>Jogo de limas 5 peças</t>
  </si>
  <si>
    <t>Chave inglesa 10 pol.</t>
  </si>
  <si>
    <t>Multímetro digital</t>
  </si>
  <si>
    <t>Arco de serra ajustável</t>
  </si>
  <si>
    <t>Régua de aço inox 60cm</t>
  </si>
  <si>
    <t>Bomba à vacuo</t>
  </si>
  <si>
    <t>Capacímetro</t>
  </si>
  <si>
    <t>Jogo de chave de fendas e philips</t>
  </si>
  <si>
    <t>Alicate bomba d'água 12 pol.</t>
  </si>
  <si>
    <t>Nível de alumínio com base magnética de 12 pol.</t>
  </si>
  <si>
    <t>Jogo de formões 6 peças 16~120</t>
  </si>
  <si>
    <t>Kit manifold</t>
  </si>
  <si>
    <t>Maçarico portátil automático</t>
  </si>
  <si>
    <t>Ponteiro para martelete 400mm</t>
  </si>
  <si>
    <t>Parafusadeira com acessórios</t>
  </si>
  <si>
    <t>Martelo unha 25mm</t>
  </si>
  <si>
    <t>Esquadro profissional 12 pol.</t>
  </si>
  <si>
    <t>Detector de vazamento eletrônico</t>
  </si>
  <si>
    <t>Talhadeira para martelete 400mm x 25mm</t>
  </si>
  <si>
    <t>Jogo de soquetes</t>
  </si>
  <si>
    <t>Kit serra copo</t>
  </si>
  <si>
    <t>Corta-tubos 1/2 a 2 pol.</t>
  </si>
  <si>
    <t>Pente de aletas metal</t>
  </si>
  <si>
    <t>Jogo de chave canhão 9 peças</t>
  </si>
  <si>
    <t>Alicate bico fino</t>
  </si>
  <si>
    <t>Alicate de cripagem CAT6 RJ45</t>
  </si>
  <si>
    <t>Alicate de inserção punch down</t>
  </si>
  <si>
    <t>Medidor de potência e perda relativa óptica</t>
  </si>
  <si>
    <t>Máquina copiadora de chaves</t>
  </si>
  <si>
    <t>Conjunto de chaves inglesas</t>
  </si>
  <si>
    <t>Máquina serra mármore</t>
  </si>
  <si>
    <t>Alicate de pressão</t>
  </si>
  <si>
    <t>Torques</t>
  </si>
  <si>
    <t>Rebitador</t>
  </si>
  <si>
    <t>Esmerilhadeira</t>
  </si>
  <si>
    <t>Conjunto chave allen</t>
  </si>
  <si>
    <t>1 unidade</t>
  </si>
  <si>
    <t>3 unidade</t>
  </si>
  <si>
    <t>1 unidades</t>
  </si>
  <si>
    <t xml:space="preserve">1 unidade </t>
  </si>
  <si>
    <t>1 Unidade</t>
  </si>
  <si>
    <t>1 jogo</t>
  </si>
  <si>
    <t xml:space="preserve"> 1 unidade</t>
  </si>
  <si>
    <t>1 KIT</t>
  </si>
  <si>
    <t xml:space="preserve">1 jogo </t>
  </si>
  <si>
    <t>jogo de 5 peças</t>
  </si>
  <si>
    <t>1 jogo 12 peças</t>
  </si>
  <si>
    <t>Jogo de 5 peças</t>
  </si>
  <si>
    <t>Manutenção Elétrica</t>
  </si>
  <si>
    <t>Manutenção Predial</t>
  </si>
  <si>
    <t>Item 01</t>
  </si>
  <si>
    <t>Grupo 1 (Itens 02, 03 e 04)</t>
  </si>
  <si>
    <t>Item 02 - Encarregado de Manutenção</t>
  </si>
  <si>
    <t>Item 03 - Manut. Elétrica_h extra</t>
  </si>
  <si>
    <t xml:space="preserve">Item 03 - Manut. Elétrica </t>
  </si>
  <si>
    <t>Item 04 - Manut. Predial_h extra</t>
  </si>
  <si>
    <t xml:space="preserve">Item 04 - Manut. Predial </t>
  </si>
  <si>
    <t>VALOR TOTAL GLOBAL ESTIMADO</t>
  </si>
  <si>
    <t>Prazo de depreciação do equipamento (meses)</t>
  </si>
  <si>
    <t xml:space="preserve">dias,  a contar do dia da sessão de recebimento </t>
  </si>
  <si>
    <t xml:space="preserve"> da mesma (observar o subitem 5.5 do Edital).</t>
  </si>
  <si>
    <t>Ref.: Pregão eletrônico nº 11/2022</t>
  </si>
  <si>
    <r>
      <t>OBJETO:</t>
    </r>
    <r>
      <rPr>
        <sz val="9"/>
        <rFont val="Tahoma"/>
        <family val="2"/>
      </rPr>
      <t xml:space="preserve"> Contratação de pessoa jurídica especializada na prestação de serviços continuados de Manutenção Predial nas dependências da Finep/RJ, com dedicação exclusiva de mão-de-obra e fornecimento de todos os insumos necessários à execução dos serviços, conforme especificações e quantitativos estabelecidos no Termo de Referência. </t>
    </r>
  </si>
  <si>
    <t>2 - CUSTO POR EMPREGADO</t>
  </si>
  <si>
    <t>3 - PAGAMENTO MÍNIMO MENSAL SEM FATO GERADOR E/OU OUTRAS OCORRÊNCIAS</t>
  </si>
  <si>
    <t>Preencher apenas as células em amarelo e substituir os caracteres em vermelho</t>
  </si>
  <si>
    <t>Prêmio de Assiduidade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</si>
</sst>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sz val="12"/>
      <name val="Arial"/>
      <family val="2"/>
    </font>
    <font>
      <sz val="12"/>
      <color rgb="FFFF0000"/>
      <name val="Tahoma"/>
      <family val="2"/>
    </font>
    <font>
      <sz val="12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b/>
      <sz val="10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9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5" borderId="1" xfId="0" applyNumberFormat="1" applyFont="1" applyFill="1" applyBorder="1" applyAlignment="1">
      <alignment horizontal="right" vertical="center" wrapText="1"/>
    </xf>
    <xf numFmtId="8" fontId="18" fillId="0" borderId="1" xfId="0" applyNumberFormat="1" applyFont="1" applyBorder="1" applyAlignment="1">
      <alignment vertical="center"/>
    </xf>
    <xf numFmtId="8" fontId="9" fillId="0" borderId="1" xfId="0" applyNumberFormat="1" applyFont="1" applyFill="1" applyBorder="1" applyAlignment="1">
      <alignment vertical="center"/>
    </xf>
    <xf numFmtId="0" fontId="24" fillId="6" borderId="42" xfId="0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vertical="center"/>
    </xf>
    <xf numFmtId="10" fontId="17" fillId="0" borderId="1" xfId="2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43" fontId="10" fillId="0" borderId="1" xfId="3" applyFont="1" applyBorder="1" applyAlignment="1">
      <alignment vertical="center"/>
    </xf>
    <xf numFmtId="43" fontId="9" fillId="3" borderId="1" xfId="3" applyFont="1" applyFill="1" applyBorder="1" applyAlignment="1">
      <alignment vertical="center"/>
    </xf>
    <xf numFmtId="43" fontId="9" fillId="0" borderId="0" xfId="3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43" fontId="10" fillId="0" borderId="1" xfId="3" applyFont="1" applyFill="1" applyBorder="1" applyAlignment="1">
      <alignment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3" borderId="36" xfId="0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43" fontId="10" fillId="0" borderId="1" xfId="3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9" fillId="3" borderId="1" xfId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2" fontId="7" fillId="0" borderId="14" xfId="0" applyNumberFormat="1" applyFont="1" applyFill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vertical="center"/>
    </xf>
    <xf numFmtId="43" fontId="10" fillId="0" borderId="1" xfId="0" applyNumberFormat="1" applyFont="1" applyFill="1" applyBorder="1" applyAlignment="1">
      <alignment vertical="center"/>
    </xf>
    <xf numFmtId="9" fontId="10" fillId="7" borderId="7" xfId="0" applyNumberFormat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horizontal="right" vertical="center"/>
    </xf>
    <xf numFmtId="10" fontId="10" fillId="7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4" fontId="18" fillId="5" borderId="0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right" vertical="center"/>
    </xf>
    <xf numFmtId="10" fontId="10" fillId="7" borderId="1" xfId="2" applyNumberFormat="1" applyFont="1" applyFill="1" applyBorder="1" applyAlignment="1">
      <alignment horizontal="right" vertical="center"/>
    </xf>
    <xf numFmtId="0" fontId="10" fillId="3" borderId="1" xfId="2" applyNumberFormat="1" applyFont="1" applyFill="1" applyBorder="1" applyAlignment="1">
      <alignment horizontal="right" vertical="center"/>
    </xf>
    <xf numFmtId="43" fontId="10" fillId="0" borderId="1" xfId="3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6" fontId="17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8" fontId="9" fillId="2" borderId="1" xfId="0" applyNumberFormat="1" applyFont="1" applyFill="1" applyBorder="1" applyAlignment="1">
      <alignment vertical="center"/>
    </xf>
    <xf numFmtId="2" fontId="10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2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43" fontId="10" fillId="5" borderId="1" xfId="3" applyFont="1" applyFill="1" applyBorder="1" applyAlignment="1">
      <alignment vertical="center"/>
    </xf>
    <xf numFmtId="0" fontId="30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10" fontId="21" fillId="5" borderId="0" xfId="0" applyNumberFormat="1" applyFont="1" applyFill="1" applyAlignment="1">
      <alignment vertical="center"/>
    </xf>
    <xf numFmtId="43" fontId="9" fillId="5" borderId="0" xfId="3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2" fontId="22" fillId="5" borderId="0" xfId="0" applyNumberFormat="1" applyFont="1" applyFill="1" applyAlignment="1">
      <alignment vertical="center"/>
    </xf>
    <xf numFmtId="43" fontId="21" fillId="5" borderId="0" xfId="0" applyNumberFormat="1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2" fontId="21" fillId="5" borderId="0" xfId="0" applyNumberFormat="1" applyFont="1" applyFill="1" applyBorder="1" applyAlignment="1">
      <alignment vertical="center"/>
    </xf>
    <xf numFmtId="43" fontId="5" fillId="5" borderId="0" xfId="3" applyFont="1" applyFill="1" applyAlignment="1">
      <alignment vertical="center"/>
    </xf>
    <xf numFmtId="9" fontId="5" fillId="5" borderId="0" xfId="2" applyFont="1" applyFill="1" applyAlignment="1">
      <alignment vertical="center"/>
    </xf>
    <xf numFmtId="10" fontId="5" fillId="5" borderId="0" xfId="2" applyNumberFormat="1" applyFont="1" applyFill="1" applyAlignment="1">
      <alignment vertical="center"/>
    </xf>
    <xf numFmtId="0" fontId="19" fillId="5" borderId="37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2" fontId="5" fillId="5" borderId="0" xfId="0" applyNumberFormat="1" applyFont="1" applyFill="1" applyAlignment="1">
      <alignment vertical="center"/>
    </xf>
    <xf numFmtId="10" fontId="9" fillId="5" borderId="0" xfId="0" applyNumberFormat="1" applyFont="1" applyFill="1" applyBorder="1" applyAlignment="1">
      <alignment horizontal="center" vertical="center"/>
    </xf>
    <xf numFmtId="2" fontId="9" fillId="5" borderId="0" xfId="0" applyNumberFormat="1" applyFont="1" applyFill="1" applyBorder="1" applyAlignment="1">
      <alignment vertical="center"/>
    </xf>
    <xf numFmtId="164" fontId="22" fillId="5" borderId="0" xfId="1" applyFont="1" applyFill="1" applyAlignment="1">
      <alignment vertical="center"/>
    </xf>
    <xf numFmtId="2" fontId="21" fillId="5" borderId="0" xfId="0" applyNumberFormat="1" applyFont="1" applyFill="1" applyAlignment="1">
      <alignment vertical="center"/>
    </xf>
    <xf numFmtId="43" fontId="21" fillId="5" borderId="0" xfId="3" applyFont="1" applyFill="1" applyAlignment="1">
      <alignment vertical="center"/>
    </xf>
    <xf numFmtId="0" fontId="20" fillId="5" borderId="0" xfId="0" applyFont="1" applyFill="1" applyAlignment="1">
      <alignment vertical="center"/>
    </xf>
    <xf numFmtId="43" fontId="20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7" fillId="7" borderId="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43" fontId="9" fillId="0" borderId="1" xfId="3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center" vertical="center"/>
    </xf>
    <xf numFmtId="43" fontId="6" fillId="5" borderId="0" xfId="0" quotePrefix="1" applyNumberFormat="1" applyFont="1" applyFill="1" applyAlignment="1">
      <alignment vertical="center"/>
    </xf>
    <xf numFmtId="0" fontId="20" fillId="5" borderId="0" xfId="0" quotePrefix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5" borderId="0" xfId="0" quotePrefix="1" applyFont="1" applyFill="1" applyAlignment="1">
      <alignment vertical="center"/>
    </xf>
    <xf numFmtId="43" fontId="10" fillId="0" borderId="0" xfId="3" applyFont="1" applyBorder="1" applyAlignment="1">
      <alignment vertical="center"/>
    </xf>
    <xf numFmtId="43" fontId="10" fillId="5" borderId="0" xfId="3" applyFont="1" applyFill="1" applyBorder="1" applyAlignment="1">
      <alignment vertical="center"/>
    </xf>
    <xf numFmtId="43" fontId="10" fillId="0" borderId="0" xfId="3" applyFont="1" applyBorder="1" applyAlignment="1">
      <alignment horizontal="center" vertical="center"/>
    </xf>
    <xf numFmtId="43" fontId="10" fillId="0" borderId="0" xfId="0" applyNumberFormat="1" applyFont="1" applyFill="1" applyBorder="1" applyAlignment="1">
      <alignment vertical="center"/>
    </xf>
    <xf numFmtId="43" fontId="10" fillId="0" borderId="0" xfId="3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43" fontId="9" fillId="0" borderId="0" xfId="3" applyFont="1" applyFill="1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5" fontId="17" fillId="5" borderId="0" xfId="0" applyNumberFormat="1" applyFont="1" applyFill="1" applyBorder="1" applyAlignment="1">
      <alignment vertical="center"/>
    </xf>
    <xf numFmtId="165" fontId="14" fillId="0" borderId="0" xfId="1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65" fontId="17" fillId="0" borderId="1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3" fontId="10" fillId="0" borderId="0" xfId="3" applyFont="1" applyFill="1" applyBorder="1" applyAlignment="1">
      <alignment horizontal="right" vertical="center"/>
    </xf>
    <xf numFmtId="164" fontId="9" fillId="0" borderId="0" xfId="1" applyFont="1" applyFill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center" vertical="center"/>
    </xf>
    <xf numFmtId="43" fontId="14" fillId="5" borderId="0" xfId="3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10" fontId="10" fillId="0" borderId="1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3" fontId="17" fillId="0" borderId="1" xfId="3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9" fontId="10" fillId="0" borderId="1" xfId="2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8" fontId="9" fillId="0" borderId="0" xfId="0" applyNumberFormat="1" applyFont="1" applyFill="1" applyBorder="1" applyAlignment="1">
      <alignment vertical="center"/>
    </xf>
    <xf numFmtId="8" fontId="17" fillId="0" borderId="24" xfId="0" applyNumberFormat="1" applyFont="1" applyBorder="1" applyAlignment="1">
      <alignment vertical="center" wrapText="1"/>
    </xf>
    <xf numFmtId="8" fontId="9" fillId="9" borderId="1" xfId="0" applyNumberFormat="1" applyFont="1" applyFill="1" applyBorder="1" applyAlignment="1">
      <alignment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65" fontId="23" fillId="0" borderId="1" xfId="1" applyNumberFormat="1" applyFont="1" applyBorder="1" applyAlignment="1">
      <alignment horizontal="right" vertical="center" wrapText="1"/>
    </xf>
    <xf numFmtId="0" fontId="18" fillId="2" borderId="36" xfId="0" applyFont="1" applyFill="1" applyBorder="1" applyAlignment="1">
      <alignment horizontal="center" vertical="center"/>
    </xf>
    <xf numFmtId="165" fontId="18" fillId="2" borderId="36" xfId="0" applyNumberFormat="1" applyFont="1" applyFill="1" applyBorder="1" applyAlignment="1">
      <alignment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10" fontId="10" fillId="0" borderId="38" xfId="0" applyNumberFormat="1" applyFont="1" applyFill="1" applyBorder="1" applyAlignment="1">
      <alignment horizontal="center" vertical="center"/>
    </xf>
    <xf numFmtId="10" fontId="10" fillId="0" borderId="39" xfId="0" applyNumberFormat="1" applyFont="1" applyFill="1" applyBorder="1" applyAlignment="1">
      <alignment horizontal="center" vertical="center"/>
    </xf>
    <xf numFmtId="43" fontId="10" fillId="0" borderId="36" xfId="3" applyFont="1" applyFill="1" applyBorder="1" applyAlignment="1">
      <alignment horizontal="center" vertical="center"/>
    </xf>
    <xf numFmtId="43" fontId="10" fillId="0" borderId="7" xfId="3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33" fillId="0" borderId="23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6" fillId="5" borderId="0" xfId="0" quotePrefix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32" fillId="2" borderId="34" xfId="0" applyFont="1" applyFill="1" applyBorder="1" applyAlignment="1">
      <alignment horizontal="left" vertical="center"/>
    </xf>
    <xf numFmtId="0" fontId="32" fillId="2" borderId="35" xfId="0" applyFont="1" applyFill="1" applyBorder="1" applyAlignment="1">
      <alignment horizontal="left" vertical="center"/>
    </xf>
    <xf numFmtId="0" fontId="32" fillId="2" borderId="38" xfId="0" applyFont="1" applyFill="1" applyBorder="1" applyAlignment="1">
      <alignment horizontal="left" vertical="center"/>
    </xf>
    <xf numFmtId="0" fontId="36" fillId="0" borderId="4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H37"/>
  <sheetViews>
    <sheetView showGridLines="0" zoomScaleNormal="100" workbookViewId="0">
      <selection activeCell="G25" sqref="G25"/>
    </sheetView>
  </sheetViews>
  <sheetFormatPr defaultRowHeight="22.5" customHeight="1" x14ac:dyDescent="0.2"/>
  <cols>
    <col min="1" max="1" width="3.28515625" style="111" customWidth="1"/>
    <col min="2" max="2" width="20.85546875" style="111" customWidth="1"/>
    <col min="3" max="4" width="13.28515625" style="111" customWidth="1"/>
    <col min="5" max="5" width="14.28515625" style="111" customWidth="1"/>
    <col min="6" max="6" width="14.42578125" style="111" bestFit="1" customWidth="1"/>
    <col min="7" max="7" width="16.140625" style="111" bestFit="1" customWidth="1"/>
    <col min="8" max="8" width="14.7109375" style="111" bestFit="1" customWidth="1"/>
    <col min="9" max="16384" width="9.140625" style="111"/>
  </cols>
  <sheetData>
    <row r="1" spans="2:8" ht="22.5" customHeight="1" x14ac:dyDescent="0.2">
      <c r="B1" s="289" t="s">
        <v>152</v>
      </c>
      <c r="C1" s="289"/>
      <c r="D1" s="289"/>
      <c r="E1" s="289"/>
      <c r="F1" s="289"/>
      <c r="G1" s="289"/>
    </row>
    <row r="3" spans="2:8" ht="22.5" customHeight="1" x14ac:dyDescent="0.2">
      <c r="B3" s="115" t="s">
        <v>317</v>
      </c>
    </row>
    <row r="4" spans="2:8" ht="22.5" customHeight="1" x14ac:dyDescent="0.2">
      <c r="B4" s="291" t="s">
        <v>318</v>
      </c>
      <c r="C4" s="291"/>
      <c r="D4" s="291"/>
      <c r="E4" s="291"/>
      <c r="F4" s="291"/>
      <c r="G4" s="291"/>
      <c r="H4" s="112"/>
    </row>
    <row r="5" spans="2:8" ht="22.5" customHeight="1" x14ac:dyDescent="0.2">
      <c r="B5" s="291"/>
      <c r="C5" s="291"/>
      <c r="D5" s="291"/>
      <c r="E5" s="291"/>
      <c r="F5" s="291"/>
      <c r="G5" s="291"/>
      <c r="H5" s="112"/>
    </row>
    <row r="6" spans="2:8" ht="22.5" customHeight="1" thickBot="1" x14ac:dyDescent="0.25"/>
    <row r="7" spans="2:8" ht="22.5" customHeight="1" thickBot="1" x14ac:dyDescent="0.25">
      <c r="B7" s="284" t="s">
        <v>109</v>
      </c>
      <c r="C7" s="285"/>
      <c r="D7" s="285"/>
      <c r="E7" s="285"/>
      <c r="F7" s="285"/>
      <c r="G7" s="286"/>
    </row>
    <row r="8" spans="2:8" ht="22.5" customHeight="1" x14ac:dyDescent="0.2">
      <c r="B8" s="267"/>
      <c r="C8" s="267"/>
      <c r="D8" s="267"/>
      <c r="E8" s="267"/>
      <c r="F8" s="267"/>
      <c r="G8" s="267"/>
    </row>
    <row r="9" spans="2:8" ht="22.5" customHeight="1" x14ac:dyDescent="0.2">
      <c r="B9" s="290" t="s">
        <v>306</v>
      </c>
      <c r="C9" s="290"/>
      <c r="D9" s="290"/>
      <c r="E9" s="290"/>
      <c r="F9" s="290"/>
      <c r="G9" s="290"/>
    </row>
    <row r="10" spans="2:8" ht="22.5" customHeight="1" x14ac:dyDescent="0.2">
      <c r="B10" s="90" t="s">
        <v>105</v>
      </c>
      <c r="C10" s="90" t="s">
        <v>151</v>
      </c>
      <c r="D10" s="90" t="s">
        <v>106</v>
      </c>
      <c r="E10" s="90" t="s">
        <v>117</v>
      </c>
      <c r="F10" s="90" t="s">
        <v>107</v>
      </c>
      <c r="G10" s="90" t="s">
        <v>108</v>
      </c>
    </row>
    <row r="11" spans="2:8" ht="22.5" customHeight="1" x14ac:dyDescent="0.2">
      <c r="B11" s="268" t="s">
        <v>220</v>
      </c>
      <c r="C11" s="110">
        <v>1</v>
      </c>
      <c r="D11" s="6">
        <v>30</v>
      </c>
      <c r="E11" s="7">
        <f>Arquiteto!H136</f>
        <v>29431.209999999992</v>
      </c>
      <c r="F11" s="8">
        <f>E11*C11</f>
        <v>29431.209999999992</v>
      </c>
      <c r="G11" s="8">
        <f>F11*D11</f>
        <v>882936.29999999981</v>
      </c>
    </row>
    <row r="12" spans="2:8" ht="22.5" customHeight="1" x14ac:dyDescent="0.2">
      <c r="B12" s="25" t="s">
        <v>78</v>
      </c>
      <c r="C12" s="110">
        <f>SUM(C11:C11)</f>
        <v>1</v>
      </c>
      <c r="D12" s="287"/>
      <c r="E12" s="288"/>
      <c r="F12" s="10">
        <f>SUM(F11:F11)</f>
        <v>29431.209999999992</v>
      </c>
      <c r="G12" s="9">
        <f>SUM(G11:G11)</f>
        <v>882936.29999999981</v>
      </c>
    </row>
    <row r="13" spans="2:8" ht="22.5" customHeight="1" x14ac:dyDescent="0.2">
      <c r="B13" s="282" t="s">
        <v>149</v>
      </c>
      <c r="C13" s="282"/>
      <c r="D13" s="282"/>
      <c r="E13" s="282"/>
      <c r="F13" s="282"/>
      <c r="G13" s="113">
        <f>G12</f>
        <v>882936.29999999981</v>
      </c>
    </row>
    <row r="14" spans="2:8" ht="22.5" customHeight="1" x14ac:dyDescent="0.2">
      <c r="B14" s="234"/>
      <c r="C14" s="234"/>
      <c r="D14" s="234"/>
      <c r="E14" s="234"/>
      <c r="F14" s="234"/>
      <c r="G14" s="269"/>
    </row>
    <row r="15" spans="2:8" ht="22.5" customHeight="1" x14ac:dyDescent="0.2">
      <c r="B15" s="290" t="s">
        <v>307</v>
      </c>
      <c r="C15" s="290"/>
      <c r="D15" s="290"/>
      <c r="E15" s="290"/>
      <c r="F15" s="290"/>
      <c r="G15" s="290"/>
    </row>
    <row r="16" spans="2:8" ht="22.5" customHeight="1" x14ac:dyDescent="0.2">
      <c r="B16" s="253" t="s">
        <v>105</v>
      </c>
      <c r="C16" s="253" t="s">
        <v>151</v>
      </c>
      <c r="D16" s="253" t="s">
        <v>106</v>
      </c>
      <c r="E16" s="253" t="s">
        <v>117</v>
      </c>
      <c r="F16" s="253" t="s">
        <v>107</v>
      </c>
      <c r="G16" s="253" t="s">
        <v>108</v>
      </c>
    </row>
    <row r="17" spans="2:7" ht="22.5" customHeight="1" x14ac:dyDescent="0.2">
      <c r="B17" s="268" t="s">
        <v>308</v>
      </c>
      <c r="C17" s="110">
        <v>1</v>
      </c>
      <c r="D17" s="6">
        <v>30</v>
      </c>
      <c r="E17" s="7">
        <f>'Encarregado de Manutenção'!H137</f>
        <v>12167.2394</v>
      </c>
      <c r="F17" s="8">
        <f>E17*C17</f>
        <v>12167.2394</v>
      </c>
      <c r="G17" s="8">
        <f>F17*D17</f>
        <v>365017.18200000003</v>
      </c>
    </row>
    <row r="18" spans="2:7" ht="22.5" customHeight="1" x14ac:dyDescent="0.2">
      <c r="B18" s="268" t="s">
        <v>309</v>
      </c>
      <c r="C18" s="110">
        <v>1</v>
      </c>
      <c r="D18" s="6">
        <v>30</v>
      </c>
      <c r="E18" s="270">
        <f>'Manut. Elétrica_h extra'!H137</f>
        <v>10188.550200000001</v>
      </c>
      <c r="F18" s="8">
        <f t="shared" ref="F18:F21" si="0">E18*C18</f>
        <v>10188.550200000001</v>
      </c>
      <c r="G18" s="8">
        <f t="shared" ref="G18:G21" si="1">F18*D18</f>
        <v>305656.50600000005</v>
      </c>
    </row>
    <row r="19" spans="2:7" ht="22.5" customHeight="1" x14ac:dyDescent="0.2">
      <c r="B19" s="268" t="s">
        <v>310</v>
      </c>
      <c r="C19" s="110">
        <v>1</v>
      </c>
      <c r="D19" s="6">
        <v>30</v>
      </c>
      <c r="E19" s="270">
        <f>'Manutenção Elétrica'!H134</f>
        <v>8595.0101999999988</v>
      </c>
      <c r="F19" s="8">
        <f t="shared" si="0"/>
        <v>8595.0101999999988</v>
      </c>
      <c r="G19" s="8">
        <f t="shared" si="1"/>
        <v>257850.30599999995</v>
      </c>
    </row>
    <row r="20" spans="2:7" ht="22.5" customHeight="1" x14ac:dyDescent="0.2">
      <c r="B20" s="268" t="s">
        <v>311</v>
      </c>
      <c r="C20" s="110">
        <v>4</v>
      </c>
      <c r="D20" s="6">
        <v>30</v>
      </c>
      <c r="E20" s="270">
        <f>'Manut. Predial_h extra'!H137</f>
        <v>10188.550200000001</v>
      </c>
      <c r="F20" s="8">
        <f t="shared" si="0"/>
        <v>40754.200800000006</v>
      </c>
      <c r="G20" s="8">
        <f t="shared" si="1"/>
        <v>1222626.0240000002</v>
      </c>
    </row>
    <row r="21" spans="2:7" ht="22.5" customHeight="1" x14ac:dyDescent="0.2">
      <c r="B21" s="268" t="s">
        <v>312</v>
      </c>
      <c r="C21" s="110">
        <v>5</v>
      </c>
      <c r="D21" s="6">
        <v>30</v>
      </c>
      <c r="E21" s="270">
        <f>'Manut. Predial'!H134</f>
        <v>8595.0101999999988</v>
      </c>
      <c r="F21" s="8">
        <f t="shared" si="0"/>
        <v>42975.050999999992</v>
      </c>
      <c r="G21" s="8">
        <f t="shared" si="1"/>
        <v>1289251.5299999998</v>
      </c>
    </row>
    <row r="22" spans="2:7" ht="22.5" customHeight="1" x14ac:dyDescent="0.2">
      <c r="B22" s="247" t="s">
        <v>78</v>
      </c>
      <c r="C22" s="110">
        <f>SUM(C17:C17)</f>
        <v>1</v>
      </c>
      <c r="D22" s="287"/>
      <c r="E22" s="288"/>
      <c r="F22" s="10">
        <f>SUM(F17:F21)</f>
        <v>114680.05159999999</v>
      </c>
      <c r="G22" s="9">
        <f>SUM(G17:G21)</f>
        <v>3440401.548</v>
      </c>
    </row>
    <row r="23" spans="2:7" ht="22.5" customHeight="1" x14ac:dyDescent="0.2">
      <c r="B23" s="282" t="s">
        <v>149</v>
      </c>
      <c r="C23" s="282"/>
      <c r="D23" s="282"/>
      <c r="E23" s="282"/>
      <c r="F23" s="282"/>
      <c r="G23" s="113">
        <f>G22</f>
        <v>3440401.548</v>
      </c>
    </row>
    <row r="24" spans="2:7" ht="22.5" customHeight="1" x14ac:dyDescent="0.2">
      <c r="B24" s="234"/>
      <c r="C24" s="234"/>
      <c r="D24" s="234"/>
      <c r="E24" s="234"/>
      <c r="F24" s="234"/>
      <c r="G24" s="269"/>
    </row>
    <row r="25" spans="2:7" ht="22.5" customHeight="1" x14ac:dyDescent="0.2">
      <c r="B25" s="283" t="s">
        <v>313</v>
      </c>
      <c r="C25" s="283"/>
      <c r="D25" s="283"/>
      <c r="E25" s="283"/>
      <c r="F25" s="283"/>
      <c r="G25" s="271">
        <f>G13+G23</f>
        <v>4323337.8479999993</v>
      </c>
    </row>
    <row r="26" spans="2:7" ht="22.5" customHeight="1" x14ac:dyDescent="0.2">
      <c r="F26" s="2"/>
    </row>
    <row r="27" spans="2:7" ht="22.5" customHeight="1" x14ac:dyDescent="0.2">
      <c r="B27" s="3" t="s">
        <v>71</v>
      </c>
      <c r="C27" s="4"/>
      <c r="D27" s="159"/>
      <c r="E27" s="1" t="s">
        <v>315</v>
      </c>
      <c r="F27" s="2"/>
    </row>
    <row r="28" spans="2:7" ht="22.5" customHeight="1" x14ac:dyDescent="0.2">
      <c r="B28" s="111" t="s">
        <v>316</v>
      </c>
      <c r="F28" s="1"/>
    </row>
    <row r="29" spans="2:7" ht="22.5" customHeight="1" x14ac:dyDescent="0.2">
      <c r="F29" s="1"/>
    </row>
    <row r="30" spans="2:7" ht="22.5" customHeight="1" x14ac:dyDescent="0.2">
      <c r="E30" s="219" t="s">
        <v>213</v>
      </c>
      <c r="F30" s="1"/>
    </row>
    <row r="31" spans="2:7" ht="22.5" customHeight="1" x14ac:dyDescent="0.2">
      <c r="E31" s="220"/>
    </row>
    <row r="32" spans="2:7" ht="22.5" customHeight="1" x14ac:dyDescent="0.2">
      <c r="E32" s="220" t="s">
        <v>214</v>
      </c>
    </row>
    <row r="33" spans="5:5" ht="22.5" customHeight="1" x14ac:dyDescent="0.2">
      <c r="E33" s="220" t="s">
        <v>215</v>
      </c>
    </row>
    <row r="34" spans="5:5" ht="22.5" customHeight="1" x14ac:dyDescent="0.2">
      <c r="E34" s="220" t="s">
        <v>216</v>
      </c>
    </row>
    <row r="35" spans="5:5" ht="22.5" customHeight="1" x14ac:dyDescent="0.2">
      <c r="E35" s="220" t="s">
        <v>217</v>
      </c>
    </row>
    <row r="36" spans="5:5" ht="22.5" customHeight="1" x14ac:dyDescent="0.2">
      <c r="E36" s="220" t="s">
        <v>218</v>
      </c>
    </row>
    <row r="37" spans="5:5" ht="22.5" customHeight="1" x14ac:dyDescent="0.2">
      <c r="E37" s="220" t="s">
        <v>219</v>
      </c>
    </row>
  </sheetData>
  <mergeCells count="10">
    <mergeCell ref="B1:G1"/>
    <mergeCell ref="B9:G9"/>
    <mergeCell ref="B15:G15"/>
    <mergeCell ref="D22:E22"/>
    <mergeCell ref="B4:G5"/>
    <mergeCell ref="B23:F23"/>
    <mergeCell ref="B25:F25"/>
    <mergeCell ref="B7:G7"/>
    <mergeCell ref="B13:F13"/>
    <mergeCell ref="D12:E12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B1:T169"/>
  <sheetViews>
    <sheetView showGridLines="0" topLeftCell="B127" workbookViewId="0">
      <selection activeCell="H120" sqref="H120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295" t="s">
        <v>68</v>
      </c>
      <c r="C2" s="295"/>
      <c r="D2" s="295"/>
      <c r="E2" s="295"/>
      <c r="F2" s="295"/>
      <c r="G2" s="295"/>
      <c r="H2" s="295"/>
      <c r="I2" s="184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296" t="s">
        <v>321</v>
      </c>
      <c r="C3" s="296"/>
      <c r="D3" s="296"/>
      <c r="E3" s="296"/>
      <c r="F3" s="296"/>
      <c r="G3" s="296"/>
      <c r="H3" s="296"/>
      <c r="I3" s="186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297" t="s">
        <v>155</v>
      </c>
      <c r="C6" s="297"/>
      <c r="D6" s="297"/>
      <c r="E6" s="297"/>
      <c r="F6" s="297"/>
      <c r="G6" s="298" t="s">
        <v>220</v>
      </c>
      <c r="H6" s="29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299" t="s">
        <v>69</v>
      </c>
      <c r="C8" s="299"/>
      <c r="D8" s="299"/>
      <c r="E8" s="299"/>
      <c r="F8" s="299"/>
      <c r="G8" s="299"/>
      <c r="H8" s="299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00">
        <v>1</v>
      </c>
      <c r="C9" s="301" t="s">
        <v>70</v>
      </c>
      <c r="D9" s="301"/>
      <c r="E9" s="301"/>
      <c r="F9" s="301"/>
      <c r="G9" s="301"/>
      <c r="H9" s="301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00"/>
      <c r="C10" s="302"/>
      <c r="D10" s="302"/>
      <c r="E10" s="302"/>
      <c r="F10" s="302"/>
      <c r="G10" s="302"/>
      <c r="H10" s="302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00">
        <v>2</v>
      </c>
      <c r="C11" s="301" t="s">
        <v>72</v>
      </c>
      <c r="D11" s="301"/>
      <c r="E11" s="301"/>
      <c r="F11" s="301"/>
      <c r="G11" s="301"/>
      <c r="H11" s="301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00"/>
      <c r="C12" s="302"/>
      <c r="D12" s="302"/>
      <c r="E12" s="302"/>
      <c r="F12" s="302"/>
      <c r="G12" s="302"/>
      <c r="H12" s="302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00">
        <v>3</v>
      </c>
      <c r="C13" s="301" t="s">
        <v>73</v>
      </c>
      <c r="D13" s="301"/>
      <c r="E13" s="301"/>
      <c r="F13" s="301"/>
      <c r="G13" s="301"/>
      <c r="H13" s="301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00"/>
      <c r="C14" s="302"/>
      <c r="D14" s="302"/>
      <c r="E14" s="302"/>
      <c r="F14" s="302"/>
      <c r="G14" s="302"/>
      <c r="H14" s="302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00">
        <v>4</v>
      </c>
      <c r="C15" s="301" t="s">
        <v>74</v>
      </c>
      <c r="D15" s="301"/>
      <c r="E15" s="301"/>
      <c r="F15" s="301"/>
      <c r="G15" s="301"/>
      <c r="H15" s="301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00"/>
      <c r="C16" s="302"/>
      <c r="D16" s="302"/>
      <c r="E16" s="302"/>
      <c r="F16" s="302"/>
      <c r="G16" s="302"/>
      <c r="H16" s="302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00">
        <v>5</v>
      </c>
      <c r="C17" s="301" t="s">
        <v>75</v>
      </c>
      <c r="D17" s="301"/>
      <c r="E17" s="301"/>
      <c r="F17" s="301"/>
      <c r="G17" s="301"/>
      <c r="H17" s="301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00"/>
      <c r="C18" s="302"/>
      <c r="D18" s="302"/>
      <c r="E18" s="302"/>
      <c r="F18" s="302"/>
      <c r="G18" s="302"/>
      <c r="H18" s="302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00">
        <v>6</v>
      </c>
      <c r="C19" s="301" t="s">
        <v>76</v>
      </c>
      <c r="D19" s="301"/>
      <c r="E19" s="301"/>
      <c r="F19" s="301"/>
      <c r="G19" s="301"/>
      <c r="H19" s="301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00"/>
      <c r="C20" s="302"/>
      <c r="D20" s="302"/>
      <c r="E20" s="302"/>
      <c r="F20" s="302"/>
      <c r="G20" s="302"/>
      <c r="H20" s="302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03" t="s">
        <v>95</v>
      </c>
      <c r="C22" s="303"/>
      <c r="D22" s="303"/>
      <c r="E22" s="303"/>
      <c r="F22" s="303"/>
      <c r="G22" s="303"/>
      <c r="H22" s="30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04" t="s">
        <v>83</v>
      </c>
      <c r="C24" s="304"/>
      <c r="D24" s="304"/>
      <c r="E24" s="304"/>
      <c r="F24" s="304"/>
      <c r="G24" s="304"/>
      <c r="H24" s="30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7" t="s">
        <v>77</v>
      </c>
      <c r="D25" s="305"/>
      <c r="E25" s="305"/>
      <c r="F25" s="288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292" t="s">
        <v>221</v>
      </c>
      <c r="E26" s="293"/>
      <c r="F26" s="294"/>
      <c r="G26" s="21"/>
      <c r="H26" s="27">
        <f>8.5*1212</f>
        <v>10302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292" t="s">
        <v>156</v>
      </c>
      <c r="E27" s="293"/>
      <c r="F27" s="294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292" t="s">
        <v>199</v>
      </c>
      <c r="E28" s="293"/>
      <c r="F28" s="294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292" t="s">
        <v>208</v>
      </c>
      <c r="E29" s="293"/>
      <c r="F29" s="294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0" t="s">
        <v>9</v>
      </c>
      <c r="C30" s="176" t="s">
        <v>130</v>
      </c>
      <c r="D30" s="292" t="s">
        <v>209</v>
      </c>
      <c r="E30" s="293"/>
      <c r="F30" s="294"/>
      <c r="G30" s="261">
        <v>0.5</v>
      </c>
      <c r="H30" s="27">
        <f>TRUNC($G$34*$H34*(1+G$30),2)</f>
        <v>561.84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0" t="s">
        <v>10</v>
      </c>
      <c r="C31" s="176" t="s">
        <v>3</v>
      </c>
      <c r="D31" s="292"/>
      <c r="E31" s="293"/>
      <c r="F31" s="294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173" t="s">
        <v>157</v>
      </c>
      <c r="C32" s="287" t="s">
        <v>78</v>
      </c>
      <c r="D32" s="305"/>
      <c r="E32" s="305"/>
      <c r="F32" s="288"/>
      <c r="G32" s="36"/>
      <c r="H32" s="23">
        <f>SUM(H26:H31)</f>
        <v>10863.84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182"/>
      <c r="C33" s="304" t="s">
        <v>145</v>
      </c>
      <c r="D33" s="304"/>
      <c r="E33" s="304"/>
      <c r="F33" s="304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182"/>
      <c r="C34" s="304"/>
      <c r="D34" s="304"/>
      <c r="E34" s="304"/>
      <c r="F34" s="304"/>
      <c r="G34" s="107">
        <v>8</v>
      </c>
      <c r="H34" s="83">
        <f>IF(G34="",0,TRUNC((H26+H27+H28)/220,2))</f>
        <v>46.82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182"/>
      <c r="C35" s="182"/>
      <c r="D35" s="182"/>
      <c r="E35" s="182"/>
      <c r="F35" s="182"/>
      <c r="G35" s="182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182"/>
      <c r="C36" s="182"/>
      <c r="D36" s="182"/>
      <c r="E36" s="182"/>
      <c r="F36" s="182"/>
      <c r="G36" s="182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04" t="s">
        <v>84</v>
      </c>
      <c r="C37" s="304"/>
      <c r="D37" s="304"/>
      <c r="E37" s="304"/>
      <c r="F37" s="304"/>
      <c r="G37" s="304"/>
      <c r="H37" s="304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21"/>
      <c r="C38" s="322"/>
      <c r="D38" s="322"/>
      <c r="E38" s="322"/>
      <c r="F38" s="322"/>
      <c r="G38" s="322"/>
      <c r="H38" s="323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24" t="s">
        <v>54</v>
      </c>
      <c r="C39" s="324"/>
      <c r="D39" s="324"/>
      <c r="E39" s="324"/>
      <c r="F39" s="324"/>
      <c r="G39" s="324"/>
      <c r="H39" s="324"/>
      <c r="I39" s="183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7" t="s">
        <v>45</v>
      </c>
      <c r="D40" s="305"/>
      <c r="E40" s="305"/>
      <c r="F40" s="288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173" t="s">
        <v>5</v>
      </c>
      <c r="C41" s="175" t="s">
        <v>133</v>
      </c>
      <c r="D41" s="292" t="s">
        <v>158</v>
      </c>
      <c r="E41" s="293"/>
      <c r="F41" s="294"/>
      <c r="G41" s="26">
        <f>1/12</f>
        <v>8.3333333333333329E-2</v>
      </c>
      <c r="H41" s="27">
        <f>TRUNC((H$32*$G41),2)</f>
        <v>905.32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173" t="s">
        <v>6</v>
      </c>
      <c r="C42" s="175" t="s">
        <v>82</v>
      </c>
      <c r="D42" s="292" t="s">
        <v>160</v>
      </c>
      <c r="E42" s="293"/>
      <c r="F42" s="294"/>
      <c r="G42" s="26">
        <f>(1/12)+(1/3/12)</f>
        <v>0.1111111111111111</v>
      </c>
      <c r="H42" s="27">
        <f>TRUNC((H$32*$G42),2)</f>
        <v>1207.0899999999999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173" t="s">
        <v>159</v>
      </c>
      <c r="C43" s="287" t="s">
        <v>78</v>
      </c>
      <c r="D43" s="305"/>
      <c r="E43" s="305"/>
      <c r="F43" s="288"/>
      <c r="G43" s="28">
        <f>TRUNC(SUM(G41:G42),4)</f>
        <v>0.19439999999999999</v>
      </c>
      <c r="H43" s="23">
        <f>SUM(H41:H42)</f>
        <v>2112.41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11"/>
      <c r="C44" s="312"/>
      <c r="D44" s="312"/>
      <c r="E44" s="312"/>
      <c r="F44" s="312"/>
      <c r="G44" s="312"/>
      <c r="H44" s="313"/>
      <c r="I44" s="184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14" t="s">
        <v>85</v>
      </c>
      <c r="C45" s="315"/>
      <c r="D45" s="315"/>
      <c r="E45" s="315"/>
      <c r="F45" s="315"/>
      <c r="G45" s="315"/>
      <c r="H45" s="316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7" t="s">
        <v>86</v>
      </c>
      <c r="D46" s="305"/>
      <c r="E46" s="305"/>
      <c r="F46" s="288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173" t="s">
        <v>5</v>
      </c>
      <c r="C47" s="175" t="s">
        <v>48</v>
      </c>
      <c r="D47" s="292" t="s">
        <v>161</v>
      </c>
      <c r="E47" s="293"/>
      <c r="F47" s="294"/>
      <c r="G47" s="26">
        <v>0.2</v>
      </c>
      <c r="H47" s="27">
        <f>TRUNC((H$32+H$43)*$G47,2)</f>
        <v>2595.25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173" t="s">
        <v>6</v>
      </c>
      <c r="C48" s="160" t="s">
        <v>49</v>
      </c>
      <c r="D48" s="292" t="s">
        <v>162</v>
      </c>
      <c r="E48" s="293"/>
      <c r="F48" s="294"/>
      <c r="G48" s="26">
        <v>2.5000000000000001E-2</v>
      </c>
      <c r="H48" s="27">
        <f>TRUNC((H$32+H$43)*$G48,2)</f>
        <v>324.39999999999998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06" t="s">
        <v>7</v>
      </c>
      <c r="C49" s="308" t="s">
        <v>124</v>
      </c>
      <c r="D49" s="310" t="s">
        <v>168</v>
      </c>
      <c r="E49" s="11" t="s">
        <v>125</v>
      </c>
      <c r="F49" s="11" t="s">
        <v>123</v>
      </c>
      <c r="G49" s="317">
        <f>E50*F50</f>
        <v>0.03</v>
      </c>
      <c r="H49" s="319">
        <f>TRUNC((H$32+H$43)*$G49,2)</f>
        <v>389.28</v>
      </c>
      <c r="I49" s="198"/>
      <c r="J49" s="325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07"/>
      <c r="C50" s="309"/>
      <c r="D50" s="310"/>
      <c r="E50" s="84">
        <v>0.03</v>
      </c>
      <c r="F50" s="85">
        <v>1</v>
      </c>
      <c r="G50" s="318"/>
      <c r="H50" s="320"/>
      <c r="I50" s="198"/>
      <c r="J50" s="325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173" t="s">
        <v>8</v>
      </c>
      <c r="C51" s="175" t="s">
        <v>47</v>
      </c>
      <c r="D51" s="292" t="s">
        <v>163</v>
      </c>
      <c r="E51" s="293"/>
      <c r="F51" s="294"/>
      <c r="G51" s="26">
        <v>1.4999999999999999E-2</v>
      </c>
      <c r="H51" s="27">
        <f>TRUNC((H$32+H$43)*$G51,2)</f>
        <v>194.64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173" t="s">
        <v>9</v>
      </c>
      <c r="C52" s="175" t="s">
        <v>50</v>
      </c>
      <c r="D52" s="292" t="s">
        <v>164</v>
      </c>
      <c r="E52" s="293"/>
      <c r="F52" s="294"/>
      <c r="G52" s="26">
        <v>0.01</v>
      </c>
      <c r="H52" s="27">
        <f>TRUNC((H$32+H$43)*$G52,2)</f>
        <v>129.76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173" t="s">
        <v>10</v>
      </c>
      <c r="C53" s="175" t="s">
        <v>51</v>
      </c>
      <c r="D53" s="292" t="s">
        <v>165</v>
      </c>
      <c r="E53" s="293"/>
      <c r="F53" s="294"/>
      <c r="G53" s="26">
        <v>6.0000000000000001E-3</v>
      </c>
      <c r="H53" s="27">
        <f>TRUNC((H$32+H$43)*$G53,2)</f>
        <v>77.849999999999994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173" t="s">
        <v>11</v>
      </c>
      <c r="C54" s="175" t="s">
        <v>52</v>
      </c>
      <c r="D54" s="292" t="s">
        <v>166</v>
      </c>
      <c r="E54" s="293"/>
      <c r="F54" s="294"/>
      <c r="G54" s="26">
        <v>2E-3</v>
      </c>
      <c r="H54" s="27">
        <f>TRUNC((H$32+H$43)*$G54,2)</f>
        <v>25.95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173" t="s">
        <v>12</v>
      </c>
      <c r="C55" s="175" t="s">
        <v>53</v>
      </c>
      <c r="D55" s="292" t="s">
        <v>167</v>
      </c>
      <c r="E55" s="293"/>
      <c r="F55" s="294"/>
      <c r="G55" s="26">
        <v>0.08</v>
      </c>
      <c r="H55" s="27">
        <f>TRUNC((H$32+H$43)*$G55,2)</f>
        <v>1038.0999999999999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3" t="s">
        <v>169</v>
      </c>
      <c r="C56" s="287" t="s">
        <v>78</v>
      </c>
      <c r="D56" s="305"/>
      <c r="E56" s="305"/>
      <c r="F56" s="288"/>
      <c r="G56" s="29">
        <f>SUM(G47:G55)</f>
        <v>0.36800000000000005</v>
      </c>
      <c r="H56" s="30">
        <f>SUM(H47:H55)</f>
        <v>4775.2299999999996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27"/>
      <c r="C57" s="328"/>
      <c r="D57" s="328"/>
      <c r="E57" s="328"/>
      <c r="F57" s="328"/>
      <c r="G57" s="328"/>
      <c r="H57" s="329"/>
      <c r="I57" s="211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14" t="s">
        <v>55</v>
      </c>
      <c r="C58" s="315"/>
      <c r="D58" s="315"/>
      <c r="E58" s="315"/>
      <c r="F58" s="315"/>
      <c r="G58" s="315"/>
      <c r="H58" s="316"/>
      <c r="I58" s="211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7" t="s">
        <v>59</v>
      </c>
      <c r="D59" s="305"/>
      <c r="E59" s="305"/>
      <c r="F59" s="305"/>
      <c r="G59" s="288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173" t="s">
        <v>5</v>
      </c>
      <c r="C60" s="175" t="s">
        <v>65</v>
      </c>
      <c r="D60" s="292" t="s">
        <v>172</v>
      </c>
      <c r="E60" s="293"/>
      <c r="F60" s="293"/>
      <c r="G60" s="294"/>
      <c r="H60" s="86"/>
      <c r="I60" s="212"/>
      <c r="J60" s="326"/>
      <c r="K60" s="326"/>
      <c r="L60" s="326"/>
      <c r="M60" s="326"/>
      <c r="N60" s="326"/>
      <c r="O60" s="121"/>
      <c r="P60" s="121"/>
      <c r="Q60" s="121"/>
      <c r="R60" s="121"/>
    </row>
    <row r="61" spans="2:18" ht="12.75" customHeight="1" x14ac:dyDescent="0.2">
      <c r="B61" s="173" t="s">
        <v>6</v>
      </c>
      <c r="C61" s="175" t="s">
        <v>66</v>
      </c>
      <c r="D61" s="292" t="s">
        <v>173</v>
      </c>
      <c r="E61" s="293"/>
      <c r="F61" s="293"/>
      <c r="G61" s="294"/>
      <c r="H61" s="86">
        <f>32*22</f>
        <v>704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173" t="s">
        <v>7</v>
      </c>
      <c r="C62" s="175" t="s">
        <v>222</v>
      </c>
      <c r="D62" s="292" t="s">
        <v>224</v>
      </c>
      <c r="E62" s="293"/>
      <c r="F62" s="293"/>
      <c r="G62" s="294"/>
      <c r="H62" s="86">
        <v>200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31" t="s">
        <v>8</v>
      </c>
      <c r="C63" s="175" t="s">
        <v>223</v>
      </c>
      <c r="D63" s="223"/>
      <c r="E63" s="224"/>
      <c r="F63" s="224"/>
      <c r="G63" s="22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s="142" customFormat="1" x14ac:dyDescent="0.2">
      <c r="B64" s="173" t="s">
        <v>9</v>
      </c>
      <c r="C64" s="175" t="s">
        <v>3</v>
      </c>
      <c r="D64" s="292"/>
      <c r="E64" s="293"/>
      <c r="F64" s="293"/>
      <c r="G64" s="294"/>
      <c r="H64" s="86">
        <v>0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173" t="s">
        <v>170</v>
      </c>
      <c r="C65" s="287" t="s">
        <v>78</v>
      </c>
      <c r="D65" s="305"/>
      <c r="E65" s="305"/>
      <c r="F65" s="305"/>
      <c r="G65" s="288"/>
      <c r="H65" s="30">
        <f>SUM(H60:H64)</f>
        <v>909</v>
      </c>
      <c r="I65" s="24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311"/>
      <c r="C66" s="312"/>
      <c r="D66" s="312"/>
      <c r="E66" s="312"/>
      <c r="F66" s="312"/>
      <c r="G66" s="312"/>
      <c r="H66" s="313"/>
      <c r="I66" s="184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30" t="s">
        <v>88</v>
      </c>
      <c r="C67" s="330"/>
      <c r="D67" s="330"/>
      <c r="E67" s="330"/>
      <c r="F67" s="330"/>
      <c r="G67" s="330"/>
      <c r="H67" s="330"/>
      <c r="I67" s="184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177">
        <v>2</v>
      </c>
      <c r="C68" s="287" t="s">
        <v>87</v>
      </c>
      <c r="D68" s="305"/>
      <c r="E68" s="305"/>
      <c r="F68" s="305"/>
      <c r="G68" s="288"/>
      <c r="H68" s="177" t="s">
        <v>67</v>
      </c>
      <c r="I68" s="208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3" t="s">
        <v>56</v>
      </c>
      <c r="C69" s="163" t="s">
        <v>45</v>
      </c>
      <c r="D69" s="292" t="s">
        <v>159</v>
      </c>
      <c r="E69" s="293"/>
      <c r="F69" s="293"/>
      <c r="G69" s="294"/>
      <c r="H69" s="27">
        <f>H43</f>
        <v>2112.41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173" t="s">
        <v>57</v>
      </c>
      <c r="C70" s="163" t="s">
        <v>46</v>
      </c>
      <c r="D70" s="292" t="s">
        <v>169</v>
      </c>
      <c r="E70" s="293"/>
      <c r="F70" s="293"/>
      <c r="G70" s="294"/>
      <c r="H70" s="27">
        <f>H56</f>
        <v>4775.2299999999996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173" t="s">
        <v>58</v>
      </c>
      <c r="C71" s="163" t="s">
        <v>59</v>
      </c>
      <c r="D71" s="292" t="s">
        <v>170</v>
      </c>
      <c r="E71" s="293"/>
      <c r="F71" s="293"/>
      <c r="G71" s="294"/>
      <c r="H71" s="27">
        <f>H65</f>
        <v>909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173" t="s">
        <v>171</v>
      </c>
      <c r="C72" s="287" t="s">
        <v>78</v>
      </c>
      <c r="D72" s="305"/>
      <c r="E72" s="305"/>
      <c r="F72" s="305"/>
      <c r="G72" s="288"/>
      <c r="H72" s="23">
        <f>SUM(H69:H71)</f>
        <v>7796.6399999999994</v>
      </c>
      <c r="I72" s="24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12"/>
      <c r="C73" s="312"/>
      <c r="D73" s="312"/>
      <c r="E73" s="312"/>
      <c r="F73" s="312"/>
      <c r="G73" s="312"/>
      <c r="H73" s="312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182"/>
      <c r="C74" s="182"/>
      <c r="D74" s="182"/>
      <c r="E74" s="182"/>
      <c r="F74" s="182"/>
      <c r="G74" s="182"/>
      <c r="H74" s="182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304" t="s">
        <v>89</v>
      </c>
      <c r="C75" s="304"/>
      <c r="D75" s="304"/>
      <c r="E75" s="304"/>
      <c r="F75" s="304"/>
      <c r="G75" s="304"/>
      <c r="H75" s="304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177">
        <v>3</v>
      </c>
      <c r="C76" s="287" t="s">
        <v>79</v>
      </c>
      <c r="D76" s="305"/>
      <c r="E76" s="305"/>
      <c r="F76" s="288"/>
      <c r="G76" s="177" t="s">
        <v>2</v>
      </c>
      <c r="H76" s="177" t="s">
        <v>67</v>
      </c>
      <c r="I76" s="208"/>
      <c r="J76" s="143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3" t="s">
        <v>5</v>
      </c>
      <c r="C77" s="164" t="s">
        <v>118</v>
      </c>
      <c r="D77" s="292" t="s">
        <v>188</v>
      </c>
      <c r="E77" s="293"/>
      <c r="F77" s="294"/>
      <c r="G77" s="87">
        <v>0.3</v>
      </c>
      <c r="H77" s="31">
        <f>TRUNC((H$78+H$79)*$G77,2)</f>
        <v>497.65</v>
      </c>
      <c r="I77" s="24"/>
      <c r="J77" s="140"/>
      <c r="K77" s="119"/>
      <c r="L77" s="119"/>
      <c r="M77" s="120"/>
      <c r="N77" s="121"/>
      <c r="O77" s="144"/>
      <c r="P77" s="121"/>
      <c r="Q77" s="121"/>
      <c r="R77" s="121"/>
    </row>
    <row r="78" spans="2:18" x14ac:dyDescent="0.2">
      <c r="B78" s="173" t="s">
        <v>6</v>
      </c>
      <c r="C78" s="175" t="s">
        <v>119</v>
      </c>
      <c r="D78" s="292" t="s">
        <v>210</v>
      </c>
      <c r="E78" s="293"/>
      <c r="F78" s="294"/>
      <c r="G78" s="32"/>
      <c r="H78" s="27">
        <f>TRUNC((H$32+H$43+H$55+H$65-H60)/12,2)</f>
        <v>1243.6099999999999</v>
      </c>
      <c r="I78" s="195"/>
      <c r="J78" s="137"/>
      <c r="K78" s="119"/>
      <c r="L78" s="119"/>
      <c r="M78" s="120"/>
      <c r="N78" s="121"/>
      <c r="O78" s="145"/>
      <c r="P78" s="121"/>
      <c r="Q78" s="121"/>
      <c r="R78" s="121"/>
    </row>
    <row r="79" spans="2:18" x14ac:dyDescent="0.2">
      <c r="B79" s="173" t="s">
        <v>7</v>
      </c>
      <c r="C79" s="175" t="s">
        <v>120</v>
      </c>
      <c r="D79" s="292" t="s">
        <v>200</v>
      </c>
      <c r="E79" s="294"/>
      <c r="F79" s="89">
        <v>0.4</v>
      </c>
      <c r="G79" s="32"/>
      <c r="H79" s="27">
        <f>TRUNC(H$55*$F79,2)</f>
        <v>415.24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173" t="s">
        <v>8</v>
      </c>
      <c r="C80" s="164" t="s">
        <v>121</v>
      </c>
      <c r="D80" s="292" t="s">
        <v>189</v>
      </c>
      <c r="E80" s="293"/>
      <c r="F80" s="294"/>
      <c r="G80" s="87">
        <v>1</v>
      </c>
      <c r="H80" s="168">
        <f>IF($G80&gt;=1,(TRUNC(H$81*$G80,2)),"ERRO")</f>
        <v>415.24</v>
      </c>
      <c r="I80" s="197"/>
      <c r="J80" s="137"/>
      <c r="K80" s="119"/>
      <c r="L80" s="119"/>
      <c r="M80" s="120"/>
      <c r="N80" s="121"/>
      <c r="O80" s="141"/>
      <c r="P80" s="121"/>
      <c r="Q80" s="121"/>
      <c r="R80" s="121"/>
    </row>
    <row r="81" spans="2:18" x14ac:dyDescent="0.2">
      <c r="B81" s="173" t="s">
        <v>9</v>
      </c>
      <c r="C81" s="175" t="s">
        <v>122</v>
      </c>
      <c r="D81" s="292" t="s">
        <v>200</v>
      </c>
      <c r="E81" s="294"/>
      <c r="F81" s="89">
        <v>0.4</v>
      </c>
      <c r="G81" s="32"/>
      <c r="H81" s="27">
        <f>TRUNC(H$55*$F81,2)</f>
        <v>415.24</v>
      </c>
      <c r="I81" s="195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173" t="s">
        <v>10</v>
      </c>
      <c r="C82" s="164" t="s">
        <v>207</v>
      </c>
      <c r="D82" s="337" t="s">
        <v>201</v>
      </c>
      <c r="E82" s="338"/>
      <c r="F82" s="88">
        <v>12</v>
      </c>
      <c r="G82" s="88">
        <v>3</v>
      </c>
      <c r="H82" s="27">
        <f>TRUNC(((H$32+H$43+H$56)/30)*$G82/$F82,2)</f>
        <v>147.91999999999999</v>
      </c>
      <c r="I82" s="195"/>
      <c r="J82" s="190"/>
      <c r="K82" s="120"/>
      <c r="L82" s="120"/>
      <c r="M82" s="120"/>
      <c r="N82" s="121"/>
      <c r="O82" s="141"/>
      <c r="P82" s="121"/>
      <c r="Q82" s="121"/>
      <c r="R82" s="121"/>
    </row>
    <row r="83" spans="2:18" x14ac:dyDescent="0.2">
      <c r="B83" s="173" t="s">
        <v>175</v>
      </c>
      <c r="C83" s="287" t="s">
        <v>78</v>
      </c>
      <c r="D83" s="305"/>
      <c r="E83" s="305"/>
      <c r="F83" s="305"/>
      <c r="G83" s="288"/>
      <c r="H83" s="23">
        <f>H$77+H$80+H$82</f>
        <v>1060.81</v>
      </c>
      <c r="I83" s="24"/>
      <c r="J83" s="121"/>
      <c r="K83" s="121"/>
      <c r="L83" s="121"/>
      <c r="M83" s="120"/>
      <c r="N83" s="121"/>
      <c r="O83" s="121"/>
      <c r="P83" s="121"/>
      <c r="Q83" s="121"/>
      <c r="R83" s="121"/>
    </row>
    <row r="84" spans="2:18" x14ac:dyDescent="0.2">
      <c r="B84" s="178"/>
      <c r="C84" s="178"/>
      <c r="D84" s="178"/>
      <c r="E84" s="178"/>
      <c r="F84" s="178"/>
      <c r="G84" s="178"/>
      <c r="H84" s="178"/>
      <c r="I84" s="185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182"/>
      <c r="C85" s="182"/>
      <c r="D85" s="182"/>
      <c r="E85" s="182"/>
      <c r="F85" s="182"/>
      <c r="G85" s="182"/>
      <c r="H85" s="182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304" t="s">
        <v>90</v>
      </c>
      <c r="C86" s="304"/>
      <c r="D86" s="304"/>
      <c r="E86" s="304"/>
      <c r="F86" s="304"/>
      <c r="G86" s="304"/>
      <c r="H86" s="304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31" t="s">
        <v>110</v>
      </c>
      <c r="C87" s="332"/>
      <c r="D87" s="332"/>
      <c r="E87" s="332"/>
      <c r="F87" s="332"/>
      <c r="G87" s="332"/>
      <c r="H87" s="333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177" t="s">
        <v>17</v>
      </c>
      <c r="C88" s="287" t="s">
        <v>111</v>
      </c>
      <c r="D88" s="305"/>
      <c r="E88" s="305"/>
      <c r="F88" s="288"/>
      <c r="G88" s="177" t="s">
        <v>126</v>
      </c>
      <c r="H88" s="177" t="s">
        <v>67</v>
      </c>
      <c r="I88" s="208"/>
      <c r="J88" s="119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173" t="s">
        <v>5</v>
      </c>
      <c r="C89" s="175" t="s">
        <v>132</v>
      </c>
      <c r="D89" s="292" t="s">
        <v>181</v>
      </c>
      <c r="E89" s="293"/>
      <c r="F89" s="294"/>
      <c r="G89" s="88">
        <v>30</v>
      </c>
      <c r="H89" s="27">
        <f>TRUNC((H$91*$G89)/12,2)</f>
        <v>1643.42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ht="22.5" x14ac:dyDescent="0.2">
      <c r="B90" s="173" t="s">
        <v>6</v>
      </c>
      <c r="C90" s="165" t="s">
        <v>187</v>
      </c>
      <c r="D90" s="334" t="s">
        <v>190</v>
      </c>
      <c r="E90" s="335"/>
      <c r="F90" s="336"/>
      <c r="G90" s="114">
        <v>8</v>
      </c>
      <c r="H90" s="27">
        <f>TRUNC((H$91*$G90)/12,2)</f>
        <v>438.24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x14ac:dyDescent="0.2">
      <c r="B91" s="173" t="s">
        <v>7</v>
      </c>
      <c r="C91" s="175" t="s">
        <v>134</v>
      </c>
      <c r="D91" s="292" t="s">
        <v>174</v>
      </c>
      <c r="E91" s="293"/>
      <c r="F91" s="293"/>
      <c r="G91" s="294"/>
      <c r="H91" s="27">
        <f>TRUNC((H$32+H$72+H$83)/30,2)</f>
        <v>657.37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173" t="s">
        <v>176</v>
      </c>
      <c r="C92" s="287" t="s">
        <v>78</v>
      </c>
      <c r="D92" s="305"/>
      <c r="E92" s="305"/>
      <c r="F92" s="305"/>
      <c r="G92" s="288"/>
      <c r="H92" s="23">
        <f>TRUNC(H$89+H$90,2)</f>
        <v>2081.66</v>
      </c>
      <c r="I92" s="24"/>
      <c r="J92" s="140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47"/>
      <c r="C93" s="148"/>
      <c r="D93" s="148"/>
      <c r="E93" s="148"/>
      <c r="F93" s="148"/>
      <c r="G93" s="148"/>
      <c r="H93" s="149"/>
      <c r="I93" s="33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342" t="s">
        <v>112</v>
      </c>
      <c r="C94" s="343"/>
      <c r="D94" s="343"/>
      <c r="E94" s="343"/>
      <c r="F94" s="343"/>
      <c r="G94" s="343"/>
      <c r="H94" s="344"/>
      <c r="I94" s="208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177" t="s">
        <v>18</v>
      </c>
      <c r="C95" s="287" t="s">
        <v>113</v>
      </c>
      <c r="D95" s="305"/>
      <c r="E95" s="305"/>
      <c r="F95" s="288"/>
      <c r="G95" s="177" t="s">
        <v>126</v>
      </c>
      <c r="H95" s="177" t="s">
        <v>67</v>
      </c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ht="22.5" x14ac:dyDescent="0.2">
      <c r="B96" s="173" t="s">
        <v>5</v>
      </c>
      <c r="C96" s="165" t="s">
        <v>114</v>
      </c>
      <c r="D96" s="292" t="s">
        <v>212</v>
      </c>
      <c r="E96" s="293"/>
      <c r="F96" s="294"/>
      <c r="G96" s="88"/>
      <c r="H96" s="27">
        <f>TRUNC(((H$32+H72+H83)/220)*(1+50%)*G96,2)</f>
        <v>0</v>
      </c>
      <c r="I96" s="195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173" t="s">
        <v>177</v>
      </c>
      <c r="C97" s="287" t="s">
        <v>78</v>
      </c>
      <c r="D97" s="305"/>
      <c r="E97" s="305"/>
      <c r="F97" s="305"/>
      <c r="G97" s="288"/>
      <c r="H97" s="23">
        <f>H96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180"/>
      <c r="C98" s="179"/>
      <c r="D98" s="179"/>
      <c r="E98" s="179"/>
      <c r="F98" s="179"/>
      <c r="G98" s="179"/>
      <c r="H98" s="181"/>
      <c r="I98" s="217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342" t="s">
        <v>91</v>
      </c>
      <c r="C99" s="343"/>
      <c r="D99" s="343"/>
      <c r="E99" s="343"/>
      <c r="F99" s="343"/>
      <c r="G99" s="343"/>
      <c r="H99" s="344"/>
      <c r="I99" s="208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177">
        <v>4</v>
      </c>
      <c r="C100" s="287" t="s">
        <v>92</v>
      </c>
      <c r="D100" s="305"/>
      <c r="E100" s="305"/>
      <c r="F100" s="305"/>
      <c r="G100" s="288"/>
      <c r="H100" s="177" t="s">
        <v>67</v>
      </c>
      <c r="I100" s="208"/>
      <c r="J100" s="137"/>
      <c r="K100" s="119"/>
      <c r="L100" s="119"/>
      <c r="M100" s="120"/>
      <c r="N100" s="150"/>
      <c r="O100" s="121"/>
      <c r="P100" s="121"/>
      <c r="Q100" s="121"/>
      <c r="R100" s="121"/>
    </row>
    <row r="101" spans="2:18" x14ac:dyDescent="0.2">
      <c r="B101" s="173" t="s">
        <v>17</v>
      </c>
      <c r="C101" s="175" t="s">
        <v>60</v>
      </c>
      <c r="D101" s="292" t="s">
        <v>176</v>
      </c>
      <c r="E101" s="293"/>
      <c r="F101" s="293"/>
      <c r="G101" s="294"/>
      <c r="H101" s="27">
        <f>H92</f>
        <v>2081.66</v>
      </c>
      <c r="I101" s="195"/>
      <c r="J101" s="137"/>
      <c r="K101" s="137"/>
      <c r="L101" s="137"/>
      <c r="M101" s="137"/>
      <c r="N101" s="121"/>
      <c r="O101" s="121"/>
      <c r="P101" s="121"/>
      <c r="Q101" s="121"/>
      <c r="R101" s="121"/>
    </row>
    <row r="102" spans="2:18" x14ac:dyDescent="0.2">
      <c r="B102" s="173" t="s">
        <v>18</v>
      </c>
      <c r="C102" s="175" t="s">
        <v>62</v>
      </c>
      <c r="D102" s="292" t="s">
        <v>177</v>
      </c>
      <c r="E102" s="293"/>
      <c r="F102" s="293"/>
      <c r="G102" s="294"/>
      <c r="H102" s="27">
        <f>H97</f>
        <v>0</v>
      </c>
      <c r="I102" s="195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173" t="s">
        <v>178</v>
      </c>
      <c r="C103" s="287" t="s">
        <v>78</v>
      </c>
      <c r="D103" s="305"/>
      <c r="E103" s="305"/>
      <c r="F103" s="305"/>
      <c r="G103" s="288"/>
      <c r="H103" s="23">
        <f>SUM(H101:H102)</f>
        <v>2081.66</v>
      </c>
      <c r="I103" s="24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182"/>
      <c r="C104" s="182"/>
      <c r="D104" s="182"/>
      <c r="E104" s="182"/>
      <c r="F104" s="182"/>
      <c r="G104" s="182"/>
      <c r="H104" s="182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182"/>
      <c r="C105" s="182"/>
      <c r="D105" s="182"/>
      <c r="E105" s="182"/>
      <c r="F105" s="182"/>
      <c r="G105" s="182"/>
      <c r="H105" s="182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304" t="s">
        <v>93</v>
      </c>
      <c r="C106" s="304"/>
      <c r="D106" s="304"/>
      <c r="E106" s="304"/>
      <c r="F106" s="304"/>
      <c r="G106" s="304"/>
      <c r="H106" s="304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177">
        <v>5</v>
      </c>
      <c r="C107" s="339" t="s">
        <v>80</v>
      </c>
      <c r="D107" s="340"/>
      <c r="E107" s="340"/>
      <c r="F107" s="340"/>
      <c r="G107" s="341"/>
      <c r="H107" s="177" t="s">
        <v>67</v>
      </c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3" t="s">
        <v>5</v>
      </c>
      <c r="C108" s="126" t="s">
        <v>63</v>
      </c>
      <c r="D108" s="127"/>
      <c r="E108" s="127"/>
      <c r="F108" s="127"/>
      <c r="G108" s="128"/>
      <c r="H108" s="129"/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173" t="s">
        <v>6</v>
      </c>
      <c r="C109" s="126" t="s">
        <v>13</v>
      </c>
      <c r="D109" s="127"/>
      <c r="E109" s="127"/>
      <c r="F109" s="127"/>
      <c r="G109" s="128"/>
      <c r="H109" s="129"/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173" t="s">
        <v>7</v>
      </c>
      <c r="C110" s="126" t="s">
        <v>14</v>
      </c>
      <c r="D110" s="127"/>
      <c r="E110" s="127"/>
      <c r="F110" s="127"/>
      <c r="G110" s="128"/>
      <c r="H110" s="129"/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173" t="s">
        <v>8</v>
      </c>
      <c r="C111" s="126" t="s">
        <v>225</v>
      </c>
      <c r="D111" s="127"/>
      <c r="E111" s="127"/>
      <c r="F111" s="127"/>
      <c r="G111" s="128"/>
      <c r="H111" s="129">
        <f>Insumos!H33</f>
        <v>47.51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173" t="s">
        <v>179</v>
      </c>
      <c r="C112" s="161" t="s">
        <v>78</v>
      </c>
      <c r="D112" s="161"/>
      <c r="E112" s="161"/>
      <c r="F112" s="161"/>
      <c r="G112" s="162"/>
      <c r="H112" s="23">
        <f>SUM(H108:H111)</f>
        <v>47.51</v>
      </c>
      <c r="I112" s="24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182"/>
      <c r="C113" s="182"/>
      <c r="D113" s="182"/>
      <c r="E113" s="182"/>
      <c r="F113" s="182"/>
      <c r="G113" s="151"/>
      <c r="H113" s="136"/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182"/>
      <c r="C114" s="182"/>
      <c r="D114" s="182"/>
      <c r="E114" s="182"/>
      <c r="F114" s="182"/>
      <c r="G114" s="182"/>
      <c r="H114" s="182"/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304" t="s">
        <v>94</v>
      </c>
      <c r="C115" s="304"/>
      <c r="D115" s="304"/>
      <c r="E115" s="304"/>
      <c r="F115" s="304"/>
      <c r="G115" s="304"/>
      <c r="H115" s="304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177">
        <v>6</v>
      </c>
      <c r="C116" s="287" t="s">
        <v>81</v>
      </c>
      <c r="D116" s="305"/>
      <c r="E116" s="305"/>
      <c r="F116" s="288"/>
      <c r="G116" s="177" t="s">
        <v>2</v>
      </c>
      <c r="H116" s="177" t="s">
        <v>67</v>
      </c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3" t="s">
        <v>5</v>
      </c>
      <c r="C117" s="175" t="s">
        <v>19</v>
      </c>
      <c r="D117" s="292" t="s">
        <v>191</v>
      </c>
      <c r="E117" s="293"/>
      <c r="F117" s="294"/>
      <c r="G117" s="103">
        <v>0.05</v>
      </c>
      <c r="H117" s="27">
        <f>TRUNC(H$134*$G117,2)</f>
        <v>1092.52</v>
      </c>
      <c r="I117" s="195"/>
      <c r="J117" s="119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173" t="s">
        <v>6</v>
      </c>
      <c r="C118" s="175" t="s">
        <v>4</v>
      </c>
      <c r="D118" s="292" t="s">
        <v>192</v>
      </c>
      <c r="E118" s="293"/>
      <c r="F118" s="294"/>
      <c r="G118" s="103">
        <v>0.1</v>
      </c>
      <c r="H118" s="27">
        <f>TRUNC((H$134+H$117)*$G118,2)</f>
        <v>2294.29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173" t="s">
        <v>7</v>
      </c>
      <c r="C119" s="175" t="s">
        <v>143</v>
      </c>
      <c r="D119" s="292" t="s">
        <v>193</v>
      </c>
      <c r="E119" s="293"/>
      <c r="F119" s="294"/>
      <c r="G119" s="105">
        <f>1-(G120+G121+G122)</f>
        <v>0.85749999999999993</v>
      </c>
      <c r="H119" s="34">
        <f>TRUNC(((H$134+H$117+H$118)/$G119),2)</f>
        <v>29431.21</v>
      </c>
      <c r="I119" s="198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173" t="s">
        <v>40</v>
      </c>
      <c r="C120" s="175" t="s">
        <v>37</v>
      </c>
      <c r="D120" s="292" t="s">
        <v>194</v>
      </c>
      <c r="E120" s="293"/>
      <c r="F120" s="294"/>
      <c r="G120" s="104">
        <v>1.6500000000000001E-2</v>
      </c>
      <c r="H120" s="27">
        <f>TRUNC(H$119*$G120,2)</f>
        <v>485.61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173" t="s">
        <v>41</v>
      </c>
      <c r="C121" s="175" t="s">
        <v>38</v>
      </c>
      <c r="D121" s="292" t="s">
        <v>194</v>
      </c>
      <c r="E121" s="293"/>
      <c r="F121" s="294"/>
      <c r="G121" s="104">
        <v>7.5999999999999998E-2</v>
      </c>
      <c r="H121" s="27">
        <f>TRUNC(H$119*$G121,2)</f>
        <v>2236.77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173" t="s">
        <v>42</v>
      </c>
      <c r="C122" s="175" t="s">
        <v>39</v>
      </c>
      <c r="D122" s="292" t="s">
        <v>194</v>
      </c>
      <c r="E122" s="293"/>
      <c r="F122" s="294"/>
      <c r="G122" s="104">
        <v>0.05</v>
      </c>
      <c r="H122" s="27">
        <f>TRUNC(H$119*$G122,2)</f>
        <v>1471.56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173" t="s">
        <v>180</v>
      </c>
      <c r="C123" s="170" t="s">
        <v>78</v>
      </c>
      <c r="D123" s="345" t="s">
        <v>182</v>
      </c>
      <c r="E123" s="345"/>
      <c r="F123" s="345"/>
      <c r="G123" s="346"/>
      <c r="H123" s="23">
        <f>SUM(H117:H122)-H119</f>
        <v>7580.7499999999927</v>
      </c>
      <c r="I123" s="24"/>
      <c r="J123" s="140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124"/>
      <c r="C124" s="124"/>
      <c r="D124" s="124"/>
      <c r="E124" s="124"/>
      <c r="F124" s="124"/>
      <c r="G124" s="124"/>
      <c r="H124" s="152"/>
      <c r="I124" s="35"/>
      <c r="J124" s="119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03" t="s">
        <v>319</v>
      </c>
      <c r="C125" s="303"/>
      <c r="D125" s="303"/>
      <c r="E125" s="303"/>
      <c r="F125" s="303"/>
      <c r="G125" s="303"/>
      <c r="H125" s="303"/>
      <c r="I125" s="209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174"/>
      <c r="C126" s="174"/>
      <c r="D126" s="174"/>
      <c r="E126" s="174"/>
      <c r="F126" s="174"/>
      <c r="G126" s="174"/>
      <c r="H126" s="174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304" t="s">
        <v>116</v>
      </c>
      <c r="C127" s="304"/>
      <c r="D127" s="304"/>
      <c r="E127" s="304"/>
      <c r="F127" s="304"/>
      <c r="G127" s="304"/>
      <c r="H127" s="304"/>
      <c r="I127" s="208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ht="12.75" customHeight="1" x14ac:dyDescent="0.2">
      <c r="B128" s="36"/>
      <c r="C128" s="347" t="s">
        <v>144</v>
      </c>
      <c r="D128" s="348"/>
      <c r="E128" s="348"/>
      <c r="F128" s="348"/>
      <c r="G128" s="349"/>
      <c r="H128" s="177" t="s">
        <v>67</v>
      </c>
      <c r="I128" s="208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173" t="s">
        <v>5</v>
      </c>
      <c r="C129" s="165" t="s">
        <v>97</v>
      </c>
      <c r="D129" s="292" t="s">
        <v>157</v>
      </c>
      <c r="E129" s="293"/>
      <c r="F129" s="293"/>
      <c r="G129" s="294"/>
      <c r="H129" s="27">
        <f>H32</f>
        <v>10863.84</v>
      </c>
      <c r="I129" s="195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173" t="s">
        <v>6</v>
      </c>
      <c r="C130" s="165" t="s">
        <v>98</v>
      </c>
      <c r="D130" s="292" t="s">
        <v>171</v>
      </c>
      <c r="E130" s="293"/>
      <c r="F130" s="293"/>
      <c r="G130" s="294"/>
      <c r="H130" s="27">
        <f>H72</f>
        <v>7796.6399999999994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173" t="s">
        <v>7</v>
      </c>
      <c r="C131" s="165" t="s">
        <v>99</v>
      </c>
      <c r="D131" s="292" t="s">
        <v>175</v>
      </c>
      <c r="E131" s="293"/>
      <c r="F131" s="293"/>
      <c r="G131" s="294"/>
      <c r="H131" s="27">
        <f>H83</f>
        <v>1060.81</v>
      </c>
      <c r="I131" s="195"/>
      <c r="J131" s="119"/>
      <c r="K131" s="153"/>
      <c r="L131" s="119"/>
      <c r="M131" s="120"/>
      <c r="N131" s="121"/>
      <c r="O131" s="121"/>
      <c r="P131" s="121"/>
      <c r="Q131" s="121"/>
      <c r="R131" s="121"/>
    </row>
    <row r="132" spans="2:18" ht="22.5" x14ac:dyDescent="0.2">
      <c r="B132" s="173" t="s">
        <v>8</v>
      </c>
      <c r="C132" s="165" t="s">
        <v>61</v>
      </c>
      <c r="D132" s="292" t="s">
        <v>178</v>
      </c>
      <c r="E132" s="293"/>
      <c r="F132" s="293"/>
      <c r="G132" s="294"/>
      <c r="H132" s="27">
        <f>H103</f>
        <v>2081.66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173" t="s">
        <v>9</v>
      </c>
      <c r="C133" s="165" t="s">
        <v>100</v>
      </c>
      <c r="D133" s="292" t="s">
        <v>179</v>
      </c>
      <c r="E133" s="293"/>
      <c r="F133" s="293"/>
      <c r="G133" s="294"/>
      <c r="H133" s="27">
        <f>H112</f>
        <v>47.51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172" t="s">
        <v>10</v>
      </c>
      <c r="C134" s="164" t="s">
        <v>64</v>
      </c>
      <c r="D134" s="357" t="s">
        <v>198</v>
      </c>
      <c r="E134" s="358"/>
      <c r="F134" s="358"/>
      <c r="G134" s="359"/>
      <c r="H134" s="31">
        <f>SUM(H129:H133)</f>
        <v>21850.46</v>
      </c>
      <c r="I134" s="24"/>
      <c r="J134" s="119"/>
      <c r="K134" s="154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173" t="s">
        <v>11</v>
      </c>
      <c r="C135" s="175" t="s">
        <v>101</v>
      </c>
      <c r="D135" s="292" t="s">
        <v>180</v>
      </c>
      <c r="E135" s="293"/>
      <c r="F135" s="293"/>
      <c r="G135" s="294"/>
      <c r="H135" s="27">
        <f>H123</f>
        <v>7580.7499999999927</v>
      </c>
      <c r="I135" s="195"/>
      <c r="J135" s="119"/>
      <c r="K135" s="119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173" t="s">
        <v>183</v>
      </c>
      <c r="C136" s="169" t="s">
        <v>96</v>
      </c>
      <c r="D136" s="350" t="s">
        <v>197</v>
      </c>
      <c r="E136" s="345"/>
      <c r="F136" s="345"/>
      <c r="G136" s="346"/>
      <c r="H136" s="37">
        <f>SUM(H134:H135)</f>
        <v>29431.209999999992</v>
      </c>
      <c r="I136" s="213"/>
      <c r="J136" s="119"/>
      <c r="K136" s="155"/>
      <c r="L136" s="119"/>
      <c r="M136" s="120"/>
      <c r="N136" s="121"/>
      <c r="O136" s="121"/>
      <c r="P136" s="121"/>
      <c r="Q136" s="121"/>
      <c r="R136" s="121"/>
    </row>
    <row r="137" spans="2:18" ht="12.75" hidden="1" customHeight="1" x14ac:dyDescent="0.2">
      <c r="B137" s="14"/>
      <c r="C137" s="14"/>
      <c r="D137" s="14"/>
      <c r="E137" s="14"/>
      <c r="F137" s="14"/>
      <c r="G137" s="14"/>
      <c r="H137" s="38"/>
      <c r="I137" s="214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40.5" hidden="1" customHeight="1" x14ac:dyDescent="0.2">
      <c r="B138" s="39"/>
      <c r="C138" s="39" t="s">
        <v>20</v>
      </c>
      <c r="D138" s="39"/>
      <c r="E138" s="39"/>
      <c r="F138" s="39"/>
      <c r="G138" s="40"/>
      <c r="H138" s="40"/>
      <c r="I138" s="215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39" hidden="1" customHeight="1" x14ac:dyDescent="0.2">
      <c r="B139" s="351" t="s">
        <v>22</v>
      </c>
      <c r="C139" s="352"/>
      <c r="D139" s="171"/>
      <c r="E139" s="171"/>
      <c r="F139" s="171"/>
      <c r="G139" s="41" t="s">
        <v>21</v>
      </c>
      <c r="H139" s="42" t="s">
        <v>0</v>
      </c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53" t="s">
        <v>23</v>
      </c>
      <c r="C140" s="354"/>
      <c r="D140" s="43"/>
      <c r="E140" s="43"/>
      <c r="F140" s="43"/>
      <c r="G140" s="44"/>
      <c r="H140" s="45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55" t="s">
        <v>24</v>
      </c>
      <c r="C141" s="356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55" t="s">
        <v>25</v>
      </c>
      <c r="C142" s="356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55" t="s">
        <v>26</v>
      </c>
      <c r="C143" s="356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371"/>
      <c r="C144" s="372"/>
      <c r="D144" s="49"/>
      <c r="E144" s="49"/>
      <c r="F144" s="49"/>
      <c r="G144" s="50"/>
      <c r="H144" s="48"/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3.5" hidden="1" customHeight="1" x14ac:dyDescent="0.2">
      <c r="B145" s="373"/>
      <c r="C145" s="374"/>
      <c r="D145" s="51"/>
      <c r="E145" s="51"/>
      <c r="F145" s="51"/>
      <c r="G145" s="52"/>
      <c r="H145" s="53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54" t="s">
        <v>27</v>
      </c>
      <c r="C146" s="55"/>
      <c r="D146" s="55"/>
      <c r="E146" s="55"/>
      <c r="F146" s="55"/>
      <c r="G146" s="56"/>
      <c r="H146" s="57">
        <f>SUM(H144:H145)</f>
        <v>0</v>
      </c>
      <c r="I146" s="200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2.75" hidden="1" customHeight="1" x14ac:dyDescent="0.2">
      <c r="B147" s="14"/>
      <c r="C147" s="14"/>
      <c r="D147" s="14"/>
      <c r="E147" s="14"/>
      <c r="F147" s="14"/>
      <c r="G147" s="14"/>
      <c r="H147" s="14"/>
      <c r="I147" s="18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3.5" hidden="1" customHeight="1" x14ac:dyDescent="0.2">
      <c r="B148" s="39" t="s">
        <v>28</v>
      </c>
      <c r="C148" s="39" t="s">
        <v>29</v>
      </c>
      <c r="D148" s="39"/>
      <c r="E148" s="39"/>
      <c r="F148" s="39"/>
      <c r="G148" s="40"/>
      <c r="H148" s="40"/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58" t="s">
        <v>30</v>
      </c>
      <c r="C149" s="59"/>
      <c r="D149" s="59"/>
      <c r="E149" s="59"/>
      <c r="F149" s="59"/>
      <c r="G149" s="59"/>
      <c r="H149" s="6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2.75" hidden="1" customHeight="1" x14ac:dyDescent="0.2">
      <c r="B150" s="61"/>
      <c r="C150" s="62" t="s">
        <v>31</v>
      </c>
      <c r="D150" s="63"/>
      <c r="E150" s="63"/>
      <c r="F150" s="63"/>
      <c r="G150" s="64"/>
      <c r="H150" s="42" t="s">
        <v>0</v>
      </c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5" t="s">
        <v>5</v>
      </c>
      <c r="C151" s="66" t="s">
        <v>32</v>
      </c>
      <c r="D151" s="67"/>
      <c r="E151" s="67"/>
      <c r="F151" s="67"/>
      <c r="G151" s="68"/>
      <c r="H151" s="69">
        <f>H120</f>
        <v>485.61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0" t="s">
        <v>6</v>
      </c>
      <c r="C152" s="71" t="s">
        <v>33</v>
      </c>
      <c r="D152" s="72"/>
      <c r="E152" s="72"/>
      <c r="F152" s="72"/>
      <c r="G152" s="73"/>
      <c r="H152" s="74" t="e">
        <f>#REF!</f>
        <v>#REF!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7</v>
      </c>
      <c r="C153" s="75" t="s">
        <v>34</v>
      </c>
      <c r="D153" s="76"/>
      <c r="E153" s="76"/>
      <c r="F153" s="76"/>
      <c r="G153" s="77"/>
      <c r="H153" s="74">
        <f>H123</f>
        <v>7580.7499999999927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8" t="s">
        <v>16</v>
      </c>
      <c r="C154" s="79"/>
      <c r="D154" s="79"/>
      <c r="E154" s="79"/>
      <c r="F154" s="79"/>
      <c r="G154" s="80"/>
      <c r="H154" s="57" t="e">
        <f>SUM(H151:H153)</f>
        <v>#REF!</v>
      </c>
      <c r="I154" s="200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2.75" hidden="1" customHeight="1" x14ac:dyDescent="0.2">
      <c r="B155" s="81" t="s">
        <v>15</v>
      </c>
      <c r="C155" s="14" t="s">
        <v>35</v>
      </c>
      <c r="D155" s="14"/>
      <c r="E155" s="14"/>
      <c r="F155" s="14"/>
      <c r="G155" s="14"/>
      <c r="H155" s="14"/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14"/>
      <c r="C156" s="14"/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x14ac:dyDescent="0.2"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B158" s="375" t="s">
        <v>320</v>
      </c>
      <c r="C158" s="375"/>
      <c r="D158" s="375"/>
      <c r="E158" s="375"/>
      <c r="F158" s="375"/>
      <c r="I158" s="18"/>
      <c r="J158" s="188"/>
      <c r="K158" s="157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158"/>
      <c r="C159" s="158"/>
      <c r="D159" s="158"/>
      <c r="E159" s="142"/>
      <c r="F159" s="142"/>
      <c r="I159" s="18"/>
    </row>
    <row r="160" spans="2:18" x14ac:dyDescent="0.2">
      <c r="B160" s="299" t="s">
        <v>202</v>
      </c>
      <c r="C160" s="299"/>
      <c r="D160" s="299"/>
      <c r="E160" s="299"/>
      <c r="F160" s="299"/>
      <c r="G160" s="299"/>
      <c r="H160" s="299"/>
      <c r="I160" s="210"/>
      <c r="J160" s="188"/>
    </row>
    <row r="161" spans="2:14" x14ac:dyDescent="0.2">
      <c r="B161" s="173" t="s">
        <v>5</v>
      </c>
      <c r="C161" s="167" t="s">
        <v>127</v>
      </c>
      <c r="D161" s="364" t="s">
        <v>183</v>
      </c>
      <c r="E161" s="365"/>
      <c r="F161" s="365"/>
      <c r="G161" s="366"/>
      <c r="H161" s="12">
        <f>H136</f>
        <v>29431.209999999992</v>
      </c>
      <c r="I161" s="207"/>
    </row>
    <row r="162" spans="2:14" ht="22.5" x14ac:dyDescent="0.2">
      <c r="B162" s="173" t="s">
        <v>6</v>
      </c>
      <c r="C162" s="166" t="s">
        <v>185</v>
      </c>
      <c r="D162" s="364" t="s">
        <v>186</v>
      </c>
      <c r="E162" s="365"/>
      <c r="F162" s="365"/>
      <c r="G162" s="366"/>
      <c r="H162" s="12">
        <f>H43+H83+H101</f>
        <v>5254.8799999999992</v>
      </c>
      <c r="I162" s="201"/>
    </row>
    <row r="163" spans="2:14" ht="22.5" x14ac:dyDescent="0.2">
      <c r="B163" s="189" t="s">
        <v>7</v>
      </c>
      <c r="C163" s="205" t="s">
        <v>203</v>
      </c>
      <c r="D163" s="376" t="s">
        <v>211</v>
      </c>
      <c r="E163" s="377"/>
      <c r="F163" s="377"/>
      <c r="G163" s="378"/>
      <c r="H163" s="206">
        <f>TRUNC((H$43*$G56),2)</f>
        <v>777.36</v>
      </c>
      <c r="I163" s="207"/>
      <c r="J163" s="187"/>
    </row>
    <row r="164" spans="2:14" ht="12.75" customHeight="1" x14ac:dyDescent="0.2">
      <c r="B164" s="173" t="s">
        <v>8</v>
      </c>
      <c r="C164" s="166" t="s">
        <v>19</v>
      </c>
      <c r="D164" s="361" t="s">
        <v>195</v>
      </c>
      <c r="E164" s="362"/>
      <c r="F164" s="363"/>
      <c r="G164" s="13">
        <f>G117</f>
        <v>0.05</v>
      </c>
      <c r="H164" s="12">
        <f>TRUNC((H$162+H$163)*$G164,2)</f>
        <v>301.61</v>
      </c>
      <c r="I164" s="201"/>
      <c r="J164" s="360"/>
      <c r="K164" s="360"/>
      <c r="L164" s="360"/>
      <c r="M164" s="360"/>
      <c r="N164" s="360"/>
    </row>
    <row r="165" spans="2:14" ht="12.75" customHeight="1" x14ac:dyDescent="0.2">
      <c r="B165" s="173" t="s">
        <v>9</v>
      </c>
      <c r="C165" s="166" t="s">
        <v>4</v>
      </c>
      <c r="D165" s="361" t="s">
        <v>196</v>
      </c>
      <c r="E165" s="362"/>
      <c r="F165" s="363"/>
      <c r="G165" s="13">
        <f>G118</f>
        <v>0.1</v>
      </c>
      <c r="H165" s="12">
        <f>TRUNC((H$162+H$163+H$164)*$G165,2)</f>
        <v>633.38</v>
      </c>
      <c r="I165" s="201"/>
      <c r="J165" s="360"/>
      <c r="K165" s="360"/>
      <c r="L165" s="360"/>
      <c r="M165" s="360"/>
      <c r="N165" s="360"/>
    </row>
    <row r="166" spans="2:14" ht="12.75" customHeight="1" x14ac:dyDescent="0.2">
      <c r="B166" s="173" t="s">
        <v>10</v>
      </c>
      <c r="C166" s="166" t="s">
        <v>128</v>
      </c>
      <c r="D166" s="361" t="s">
        <v>205</v>
      </c>
      <c r="E166" s="362"/>
      <c r="F166" s="363"/>
      <c r="G166" s="13">
        <f>G120+G121+G122</f>
        <v>0.14250000000000002</v>
      </c>
      <c r="H166" s="12">
        <f>TRUNC((H$162+H$163+H$164+H$165)/(1-$G166)-(H$162+H$163+H$164+H$165),2)</f>
        <v>1157.81</v>
      </c>
      <c r="I166" s="201"/>
      <c r="J166" s="360"/>
      <c r="K166" s="360"/>
      <c r="L166" s="360"/>
      <c r="M166" s="360"/>
      <c r="N166" s="360"/>
    </row>
    <row r="167" spans="2:14" ht="22.5" x14ac:dyDescent="0.2">
      <c r="B167" s="173" t="s">
        <v>11</v>
      </c>
      <c r="C167" s="274" t="s">
        <v>129</v>
      </c>
      <c r="D167" s="364" t="s">
        <v>206</v>
      </c>
      <c r="E167" s="365"/>
      <c r="F167" s="365"/>
      <c r="G167" s="366"/>
      <c r="H167" s="275">
        <f>SUM(H162:H166)</f>
        <v>8125.0399999999991</v>
      </c>
      <c r="I167" s="202"/>
    </row>
    <row r="168" spans="2:14" x14ac:dyDescent="0.2">
      <c r="B168" s="272" t="s">
        <v>184</v>
      </c>
      <c r="C168" s="276" t="s">
        <v>154</v>
      </c>
      <c r="D168" s="367" t="s">
        <v>204</v>
      </c>
      <c r="E168" s="368"/>
      <c r="F168" s="368"/>
      <c r="G168" s="369"/>
      <c r="H168" s="277">
        <f>H161-H167</f>
        <v>21306.169999999991</v>
      </c>
      <c r="I168" s="216"/>
    </row>
    <row r="169" spans="2:14" ht="45" customHeight="1" x14ac:dyDescent="0.2">
      <c r="B169" s="370" t="s">
        <v>153</v>
      </c>
      <c r="C169" s="370"/>
      <c r="D169" s="370"/>
      <c r="E169" s="370"/>
      <c r="F169" s="370"/>
      <c r="G169" s="370"/>
      <c r="H169" s="370"/>
      <c r="I169" s="203"/>
    </row>
  </sheetData>
  <mergeCells count="141">
    <mergeCell ref="J164:N166"/>
    <mergeCell ref="D164:F164"/>
    <mergeCell ref="D165:F165"/>
    <mergeCell ref="D166:F166"/>
    <mergeCell ref="D167:G167"/>
    <mergeCell ref="D168:G168"/>
    <mergeCell ref="B169:H169"/>
    <mergeCell ref="B144:C144"/>
    <mergeCell ref="B145:C145"/>
    <mergeCell ref="B158:F158"/>
    <mergeCell ref="B160:H160"/>
    <mergeCell ref="D161:G161"/>
    <mergeCell ref="D163:G163"/>
    <mergeCell ref="D162:G162"/>
    <mergeCell ref="D136:G136"/>
    <mergeCell ref="B139:C139"/>
    <mergeCell ref="B140:C140"/>
    <mergeCell ref="B141:C141"/>
    <mergeCell ref="B142:C142"/>
    <mergeCell ref="B143:C143"/>
    <mergeCell ref="D130:G130"/>
    <mergeCell ref="D131:G131"/>
    <mergeCell ref="D132:G132"/>
    <mergeCell ref="D133:G133"/>
    <mergeCell ref="D134:G134"/>
    <mergeCell ref="D135:G135"/>
    <mergeCell ref="D122:F122"/>
    <mergeCell ref="D123:G123"/>
    <mergeCell ref="B125:H125"/>
    <mergeCell ref="B127:H127"/>
    <mergeCell ref="C128:G128"/>
    <mergeCell ref="D129:G129"/>
    <mergeCell ref="C116:F116"/>
    <mergeCell ref="D117:F117"/>
    <mergeCell ref="D118:F118"/>
    <mergeCell ref="D119:F119"/>
    <mergeCell ref="D120:F120"/>
    <mergeCell ref="D121:F121"/>
    <mergeCell ref="D101:G101"/>
    <mergeCell ref="D102:G102"/>
    <mergeCell ref="C103:G103"/>
    <mergeCell ref="B106:H106"/>
    <mergeCell ref="C107:G107"/>
    <mergeCell ref="B115:H115"/>
    <mergeCell ref="B94:H94"/>
    <mergeCell ref="C95:F95"/>
    <mergeCell ref="D96:F96"/>
    <mergeCell ref="B99:H99"/>
    <mergeCell ref="C100:G100"/>
    <mergeCell ref="C97:G97"/>
    <mergeCell ref="B87:H87"/>
    <mergeCell ref="C88:F88"/>
    <mergeCell ref="D89:F89"/>
    <mergeCell ref="D90:F90"/>
    <mergeCell ref="D91:G91"/>
    <mergeCell ref="C92:G92"/>
    <mergeCell ref="D79:E79"/>
    <mergeCell ref="D80:F80"/>
    <mergeCell ref="D81:E81"/>
    <mergeCell ref="D82:E82"/>
    <mergeCell ref="C83:G83"/>
    <mergeCell ref="B86:H86"/>
    <mergeCell ref="C72:G72"/>
    <mergeCell ref="B73:H73"/>
    <mergeCell ref="B75:H75"/>
    <mergeCell ref="C76:F76"/>
    <mergeCell ref="D77:F77"/>
    <mergeCell ref="D78:F78"/>
    <mergeCell ref="B66:H66"/>
    <mergeCell ref="B67:H67"/>
    <mergeCell ref="C68:G68"/>
    <mergeCell ref="D69:G69"/>
    <mergeCell ref="D70:G70"/>
    <mergeCell ref="D71:G71"/>
    <mergeCell ref="D61:G61"/>
    <mergeCell ref="D62:G62"/>
    <mergeCell ref="D64:G64"/>
    <mergeCell ref="C65:G65"/>
    <mergeCell ref="D54:F54"/>
    <mergeCell ref="D55:F55"/>
    <mergeCell ref="C56:F56"/>
    <mergeCell ref="B57:H57"/>
    <mergeCell ref="B58:H58"/>
    <mergeCell ref="C59:G59"/>
    <mergeCell ref="J49:J50"/>
    <mergeCell ref="D51:F51"/>
    <mergeCell ref="D52:F52"/>
    <mergeCell ref="D53:F53"/>
    <mergeCell ref="C46:F46"/>
    <mergeCell ref="D47:F47"/>
    <mergeCell ref="D48:F48"/>
    <mergeCell ref="D60:G60"/>
    <mergeCell ref="J60:N60"/>
    <mergeCell ref="B19:B20"/>
    <mergeCell ref="C19:H19"/>
    <mergeCell ref="C20:H20"/>
    <mergeCell ref="B22:H22"/>
    <mergeCell ref="B24:H24"/>
    <mergeCell ref="C25:F25"/>
    <mergeCell ref="B49:B50"/>
    <mergeCell ref="C49:C50"/>
    <mergeCell ref="D49:D50"/>
    <mergeCell ref="C40:F40"/>
    <mergeCell ref="D41:F41"/>
    <mergeCell ref="D42:F42"/>
    <mergeCell ref="C43:F43"/>
    <mergeCell ref="B44:H44"/>
    <mergeCell ref="B45:H45"/>
    <mergeCell ref="G49:G50"/>
    <mergeCell ref="H49:H50"/>
    <mergeCell ref="D31:F31"/>
    <mergeCell ref="C32:F32"/>
    <mergeCell ref="C33:F34"/>
    <mergeCell ref="B37:H37"/>
    <mergeCell ref="B38:H38"/>
    <mergeCell ref="B39:H39"/>
    <mergeCell ref="D26:F26"/>
    <mergeCell ref="D27:F27"/>
    <mergeCell ref="D28:F28"/>
    <mergeCell ref="D29:F29"/>
    <mergeCell ref="D30:F30"/>
    <mergeCell ref="B2:H2"/>
    <mergeCell ref="B3:H3"/>
    <mergeCell ref="B6:F6"/>
    <mergeCell ref="G6:H6"/>
    <mergeCell ref="B8:H8"/>
    <mergeCell ref="B9:B10"/>
    <mergeCell ref="C9:H9"/>
    <mergeCell ref="C10:H10"/>
    <mergeCell ref="B17:B18"/>
    <mergeCell ref="C17:H17"/>
    <mergeCell ref="C18:H18"/>
    <mergeCell ref="B15:B16"/>
    <mergeCell ref="C15:H15"/>
    <mergeCell ref="C16:H16"/>
    <mergeCell ref="B11:B12"/>
    <mergeCell ref="C11:H11"/>
    <mergeCell ref="C12:H12"/>
    <mergeCell ref="B13:B14"/>
    <mergeCell ref="C13:H13"/>
    <mergeCell ref="C14:H14"/>
  </mergeCells>
  <dataValidations count="9">
    <dataValidation type="list" allowBlank="1" showInputMessage="1" showErrorMessage="1" sqref="G82">
      <formula1>"3,6,9,12,15"</formula1>
    </dataValidation>
    <dataValidation type="custom" allowBlank="1" showInputMessage="1" showErrorMessage="1" sqref="G119">
      <formula1>1-(G120+G121+G122)</formula1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allowBlank="1" showInputMessage="1" showErrorMessage="1" sqref="G30">
      <formula1>"0, 50%, 100%"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T170"/>
  <sheetViews>
    <sheetView showGridLines="0" topLeftCell="B88" workbookViewId="0">
      <selection activeCell="G122" sqref="G122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295" t="s">
        <v>68</v>
      </c>
      <c r="C2" s="295"/>
      <c r="D2" s="295"/>
      <c r="E2" s="295"/>
      <c r="F2" s="295"/>
      <c r="G2" s="295"/>
      <c r="H2" s="295"/>
      <c r="I2" s="235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296" t="s">
        <v>321</v>
      </c>
      <c r="C3" s="296"/>
      <c r="D3" s="296"/>
      <c r="E3" s="296"/>
      <c r="F3" s="296"/>
      <c r="G3" s="296"/>
      <c r="H3" s="296"/>
      <c r="I3" s="236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297" t="s">
        <v>155</v>
      </c>
      <c r="C6" s="297"/>
      <c r="D6" s="297"/>
      <c r="E6" s="297"/>
      <c r="F6" s="297"/>
      <c r="G6" s="298" t="s">
        <v>227</v>
      </c>
      <c r="H6" s="29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299" t="s">
        <v>69</v>
      </c>
      <c r="C8" s="299"/>
      <c r="D8" s="299"/>
      <c r="E8" s="299"/>
      <c r="F8" s="299"/>
      <c r="G8" s="299"/>
      <c r="H8" s="299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00">
        <v>1</v>
      </c>
      <c r="C9" s="301" t="s">
        <v>70</v>
      </c>
      <c r="D9" s="301"/>
      <c r="E9" s="301"/>
      <c r="F9" s="301"/>
      <c r="G9" s="301"/>
      <c r="H9" s="301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00"/>
      <c r="C10" s="302"/>
      <c r="D10" s="302"/>
      <c r="E10" s="302"/>
      <c r="F10" s="302"/>
      <c r="G10" s="302"/>
      <c r="H10" s="302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00">
        <v>2</v>
      </c>
      <c r="C11" s="301" t="s">
        <v>72</v>
      </c>
      <c r="D11" s="301"/>
      <c r="E11" s="301"/>
      <c r="F11" s="301"/>
      <c r="G11" s="301"/>
      <c r="H11" s="301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00"/>
      <c r="C12" s="302"/>
      <c r="D12" s="302"/>
      <c r="E12" s="302"/>
      <c r="F12" s="302"/>
      <c r="G12" s="302"/>
      <c r="H12" s="302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00">
        <v>3</v>
      </c>
      <c r="C13" s="301" t="s">
        <v>73</v>
      </c>
      <c r="D13" s="301"/>
      <c r="E13" s="301"/>
      <c r="F13" s="301"/>
      <c r="G13" s="301"/>
      <c r="H13" s="301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00"/>
      <c r="C14" s="302"/>
      <c r="D14" s="302"/>
      <c r="E14" s="302"/>
      <c r="F14" s="302"/>
      <c r="G14" s="302"/>
      <c r="H14" s="302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00">
        <v>4</v>
      </c>
      <c r="C15" s="301" t="s">
        <v>74</v>
      </c>
      <c r="D15" s="301"/>
      <c r="E15" s="301"/>
      <c r="F15" s="301"/>
      <c r="G15" s="301"/>
      <c r="H15" s="301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00"/>
      <c r="C16" s="302"/>
      <c r="D16" s="302"/>
      <c r="E16" s="302"/>
      <c r="F16" s="302"/>
      <c r="G16" s="302"/>
      <c r="H16" s="302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00">
        <v>5</v>
      </c>
      <c r="C17" s="301" t="s">
        <v>75</v>
      </c>
      <c r="D17" s="301"/>
      <c r="E17" s="301"/>
      <c r="F17" s="301"/>
      <c r="G17" s="301"/>
      <c r="H17" s="301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00"/>
      <c r="C18" s="302"/>
      <c r="D18" s="302"/>
      <c r="E18" s="302"/>
      <c r="F18" s="302"/>
      <c r="G18" s="302"/>
      <c r="H18" s="302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00">
        <v>6</v>
      </c>
      <c r="C19" s="301" t="s">
        <v>76</v>
      </c>
      <c r="D19" s="301"/>
      <c r="E19" s="301"/>
      <c r="F19" s="301"/>
      <c r="G19" s="301"/>
      <c r="H19" s="301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00"/>
      <c r="C20" s="302"/>
      <c r="D20" s="302"/>
      <c r="E20" s="302"/>
      <c r="F20" s="302"/>
      <c r="G20" s="302"/>
      <c r="H20" s="302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03" t="s">
        <v>95</v>
      </c>
      <c r="C22" s="303"/>
      <c r="D22" s="303"/>
      <c r="E22" s="303"/>
      <c r="F22" s="303"/>
      <c r="G22" s="303"/>
      <c r="H22" s="30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04" t="s">
        <v>83</v>
      </c>
      <c r="C24" s="304"/>
      <c r="D24" s="304"/>
      <c r="E24" s="304"/>
      <c r="F24" s="304"/>
      <c r="G24" s="304"/>
      <c r="H24" s="30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7" t="s">
        <v>77</v>
      </c>
      <c r="D25" s="305"/>
      <c r="E25" s="305"/>
      <c r="F25" s="288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292" t="s">
        <v>221</v>
      </c>
      <c r="E26" s="293"/>
      <c r="F26" s="294"/>
      <c r="G26" s="21"/>
      <c r="H26" s="82">
        <v>3485.51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292" t="s">
        <v>156</v>
      </c>
      <c r="E27" s="293"/>
      <c r="F27" s="294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292" t="s">
        <v>199</v>
      </c>
      <c r="E28" s="293"/>
      <c r="F28" s="294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292" t="s">
        <v>208</v>
      </c>
      <c r="E29" s="293"/>
      <c r="F29" s="294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32" t="s">
        <v>9</v>
      </c>
      <c r="C30" s="176" t="s">
        <v>130</v>
      </c>
      <c r="D30" s="292" t="s">
        <v>209</v>
      </c>
      <c r="E30" s="293"/>
      <c r="F30" s="294"/>
      <c r="G30" s="261">
        <v>0.5</v>
      </c>
      <c r="H30" s="27">
        <f>TRUNC($G$34*$H34*(1+G$30),2)</f>
        <v>760.32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31" t="s">
        <v>10</v>
      </c>
      <c r="C31" s="176" t="s">
        <v>3</v>
      </c>
      <c r="D31" s="292"/>
      <c r="E31" s="293"/>
      <c r="F31" s="294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31" t="s">
        <v>157</v>
      </c>
      <c r="C32" s="287" t="s">
        <v>78</v>
      </c>
      <c r="D32" s="305"/>
      <c r="E32" s="305"/>
      <c r="F32" s="288"/>
      <c r="G32" s="36"/>
      <c r="H32" s="23">
        <f>SUM(H26:H31)</f>
        <v>4245.83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5"/>
      <c r="C33" s="304" t="s">
        <v>145</v>
      </c>
      <c r="D33" s="304"/>
      <c r="E33" s="304"/>
      <c r="F33" s="304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5"/>
      <c r="C34" s="304"/>
      <c r="D34" s="304"/>
      <c r="E34" s="304"/>
      <c r="F34" s="304"/>
      <c r="G34" s="107">
        <v>32</v>
      </c>
      <c r="H34" s="83">
        <f>IF(G34="",0,TRUNC((H26+H27+H28)/220,2))</f>
        <v>15.84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5"/>
      <c r="C35" s="235"/>
      <c r="D35" s="235"/>
      <c r="E35" s="235"/>
      <c r="F35" s="235"/>
      <c r="G35" s="235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5"/>
      <c r="C36" s="235"/>
      <c r="D36" s="235"/>
      <c r="E36" s="235"/>
      <c r="F36" s="235"/>
      <c r="G36" s="235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04" t="s">
        <v>84</v>
      </c>
      <c r="C37" s="304"/>
      <c r="D37" s="304"/>
      <c r="E37" s="304"/>
      <c r="F37" s="304"/>
      <c r="G37" s="304"/>
      <c r="H37" s="304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21"/>
      <c r="C38" s="322"/>
      <c r="D38" s="322"/>
      <c r="E38" s="322"/>
      <c r="F38" s="322"/>
      <c r="G38" s="322"/>
      <c r="H38" s="323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24" t="s">
        <v>54</v>
      </c>
      <c r="C39" s="324"/>
      <c r="D39" s="324"/>
      <c r="E39" s="324"/>
      <c r="F39" s="324"/>
      <c r="G39" s="324"/>
      <c r="H39" s="324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7" t="s">
        <v>45</v>
      </c>
      <c r="D40" s="305"/>
      <c r="E40" s="305"/>
      <c r="F40" s="288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31" t="s">
        <v>5</v>
      </c>
      <c r="C41" s="175" t="s">
        <v>133</v>
      </c>
      <c r="D41" s="292" t="s">
        <v>158</v>
      </c>
      <c r="E41" s="293"/>
      <c r="F41" s="294"/>
      <c r="G41" s="26">
        <f>1/12</f>
        <v>8.3333333333333329E-2</v>
      </c>
      <c r="H41" s="27">
        <f>TRUNC((H$32*$G41),2)</f>
        <v>353.81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31" t="s">
        <v>6</v>
      </c>
      <c r="C42" s="175" t="s">
        <v>82</v>
      </c>
      <c r="D42" s="292" t="s">
        <v>160</v>
      </c>
      <c r="E42" s="293"/>
      <c r="F42" s="294"/>
      <c r="G42" s="26">
        <f>(1/12)+(1/3/12)</f>
        <v>0.1111111111111111</v>
      </c>
      <c r="H42" s="27">
        <f>TRUNC((H$32*$G42),2)</f>
        <v>471.75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31" t="s">
        <v>159</v>
      </c>
      <c r="C43" s="287" t="s">
        <v>78</v>
      </c>
      <c r="D43" s="305"/>
      <c r="E43" s="305"/>
      <c r="F43" s="288"/>
      <c r="G43" s="28">
        <f>TRUNC(SUM(G41:G42),4)</f>
        <v>0.19439999999999999</v>
      </c>
      <c r="H43" s="23">
        <f>SUM(H41:H42)</f>
        <v>825.56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11"/>
      <c r="C44" s="312"/>
      <c r="D44" s="312"/>
      <c r="E44" s="312"/>
      <c r="F44" s="312"/>
      <c r="G44" s="312"/>
      <c r="H44" s="313"/>
      <c r="I44" s="235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14" t="s">
        <v>85</v>
      </c>
      <c r="C45" s="315"/>
      <c r="D45" s="315"/>
      <c r="E45" s="315"/>
      <c r="F45" s="315"/>
      <c r="G45" s="315"/>
      <c r="H45" s="316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7" t="s">
        <v>86</v>
      </c>
      <c r="D46" s="305"/>
      <c r="E46" s="305"/>
      <c r="F46" s="288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31" t="s">
        <v>5</v>
      </c>
      <c r="C47" s="175" t="s">
        <v>48</v>
      </c>
      <c r="D47" s="292" t="s">
        <v>161</v>
      </c>
      <c r="E47" s="293"/>
      <c r="F47" s="294"/>
      <c r="G47" s="26">
        <v>0.2</v>
      </c>
      <c r="H47" s="27">
        <f>TRUNC((H$32+H$43)*$G47,2)</f>
        <v>1014.27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31" t="s">
        <v>6</v>
      </c>
      <c r="C48" s="160" t="s">
        <v>49</v>
      </c>
      <c r="D48" s="292" t="s">
        <v>162</v>
      </c>
      <c r="E48" s="293"/>
      <c r="F48" s="294"/>
      <c r="G48" s="26">
        <v>2.5000000000000001E-2</v>
      </c>
      <c r="H48" s="27">
        <f>TRUNC((H$32+H$43)*$G48,2)</f>
        <v>126.78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06" t="s">
        <v>7</v>
      </c>
      <c r="C49" s="308" t="s">
        <v>124</v>
      </c>
      <c r="D49" s="310" t="s">
        <v>168</v>
      </c>
      <c r="E49" s="11" t="s">
        <v>125</v>
      </c>
      <c r="F49" s="11" t="s">
        <v>123</v>
      </c>
      <c r="G49" s="317">
        <f>E50*F50</f>
        <v>0.03</v>
      </c>
      <c r="H49" s="319">
        <f>TRUNC((H$32+H$43)*$G49,2)</f>
        <v>152.13999999999999</v>
      </c>
      <c r="I49" s="198"/>
      <c r="J49" s="325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07"/>
      <c r="C50" s="309"/>
      <c r="D50" s="310"/>
      <c r="E50" s="84">
        <v>0.03</v>
      </c>
      <c r="F50" s="85">
        <v>1</v>
      </c>
      <c r="G50" s="318"/>
      <c r="H50" s="320"/>
      <c r="I50" s="198"/>
      <c r="J50" s="325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31" t="s">
        <v>8</v>
      </c>
      <c r="C51" s="175" t="s">
        <v>47</v>
      </c>
      <c r="D51" s="292" t="s">
        <v>163</v>
      </c>
      <c r="E51" s="293"/>
      <c r="F51" s="294"/>
      <c r="G51" s="26">
        <v>1.4999999999999999E-2</v>
      </c>
      <c r="H51" s="27">
        <f>TRUNC((H$32+H$43)*$G51,2)</f>
        <v>76.069999999999993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31" t="s">
        <v>9</v>
      </c>
      <c r="C52" s="175" t="s">
        <v>50</v>
      </c>
      <c r="D52" s="292" t="s">
        <v>164</v>
      </c>
      <c r="E52" s="293"/>
      <c r="F52" s="294"/>
      <c r="G52" s="26">
        <v>0.01</v>
      </c>
      <c r="H52" s="27">
        <f>TRUNC((H$32+H$43)*$G52,2)</f>
        <v>50.71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31" t="s">
        <v>10</v>
      </c>
      <c r="C53" s="175" t="s">
        <v>51</v>
      </c>
      <c r="D53" s="292" t="s">
        <v>165</v>
      </c>
      <c r="E53" s="293"/>
      <c r="F53" s="294"/>
      <c r="G53" s="26">
        <v>6.0000000000000001E-3</v>
      </c>
      <c r="H53" s="27">
        <f>TRUNC((H$32+H$43)*$G53,2)</f>
        <v>30.42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31" t="s">
        <v>11</v>
      </c>
      <c r="C54" s="175" t="s">
        <v>52</v>
      </c>
      <c r="D54" s="292" t="s">
        <v>166</v>
      </c>
      <c r="E54" s="293"/>
      <c r="F54" s="294"/>
      <c r="G54" s="26">
        <v>2E-3</v>
      </c>
      <c r="H54" s="27">
        <f>TRUNC((H$32+H$43)*$G54,2)</f>
        <v>10.14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31" t="s">
        <v>12</v>
      </c>
      <c r="C55" s="175" t="s">
        <v>53</v>
      </c>
      <c r="D55" s="292" t="s">
        <v>167</v>
      </c>
      <c r="E55" s="293"/>
      <c r="F55" s="294"/>
      <c r="G55" s="26">
        <v>0.08</v>
      </c>
      <c r="H55" s="27">
        <f>TRUNC((H$32+H$43)*$G55,2)</f>
        <v>405.71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31" t="s">
        <v>169</v>
      </c>
      <c r="C56" s="287" t="s">
        <v>78</v>
      </c>
      <c r="D56" s="305"/>
      <c r="E56" s="305"/>
      <c r="F56" s="288"/>
      <c r="G56" s="29">
        <f>SUM(G47:G55)</f>
        <v>0.36800000000000005</v>
      </c>
      <c r="H56" s="30">
        <f>SUM(H47:H55)</f>
        <v>1866.2400000000002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27"/>
      <c r="C57" s="328"/>
      <c r="D57" s="328"/>
      <c r="E57" s="328"/>
      <c r="F57" s="328"/>
      <c r="G57" s="328"/>
      <c r="H57" s="329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14" t="s">
        <v>55</v>
      </c>
      <c r="C58" s="315"/>
      <c r="D58" s="315"/>
      <c r="E58" s="315"/>
      <c r="F58" s="315"/>
      <c r="G58" s="315"/>
      <c r="H58" s="316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7" t="s">
        <v>59</v>
      </c>
      <c r="D59" s="305"/>
      <c r="E59" s="305"/>
      <c r="F59" s="305"/>
      <c r="G59" s="288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31" t="s">
        <v>5</v>
      </c>
      <c r="C60" s="175" t="s">
        <v>65</v>
      </c>
      <c r="D60" s="292" t="s">
        <v>172</v>
      </c>
      <c r="E60" s="293"/>
      <c r="F60" s="293"/>
      <c r="G60" s="294"/>
      <c r="H60" s="86">
        <f>(8.55*2*22)-(H26*6%)</f>
        <v>167.06940000000003</v>
      </c>
      <c r="I60" s="212"/>
      <c r="J60" s="326"/>
      <c r="K60" s="326"/>
      <c r="L60" s="326"/>
      <c r="M60" s="326"/>
      <c r="N60" s="326"/>
      <c r="O60" s="121"/>
      <c r="P60" s="121"/>
      <c r="Q60" s="121"/>
      <c r="R60" s="121"/>
    </row>
    <row r="61" spans="2:18" ht="12.75" customHeight="1" x14ac:dyDescent="0.2">
      <c r="B61" s="231" t="s">
        <v>6</v>
      </c>
      <c r="C61" s="175" t="s">
        <v>66</v>
      </c>
      <c r="D61" s="292" t="s">
        <v>173</v>
      </c>
      <c r="E61" s="293"/>
      <c r="F61" s="293"/>
      <c r="G61" s="294"/>
      <c r="H61" s="86">
        <f>16.5*22</f>
        <v>363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31" t="s">
        <v>7</v>
      </c>
      <c r="C62" s="175" t="s">
        <v>228</v>
      </c>
      <c r="D62" s="292" t="s">
        <v>229</v>
      </c>
      <c r="E62" s="293"/>
      <c r="F62" s="293"/>
      <c r="G62" s="294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31" t="s">
        <v>8</v>
      </c>
      <c r="C63" s="175" t="s">
        <v>223</v>
      </c>
      <c r="D63" s="223"/>
      <c r="E63" s="224"/>
      <c r="F63" s="224"/>
      <c r="G63" s="22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281" t="s">
        <v>9</v>
      </c>
      <c r="C64" s="175" t="s">
        <v>322</v>
      </c>
      <c r="D64" s="278"/>
      <c r="E64" s="279"/>
      <c r="F64" s="279"/>
      <c r="G64" s="280"/>
      <c r="H64" s="86">
        <v>35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s="142" customFormat="1" x14ac:dyDescent="0.2">
      <c r="B65" s="231" t="s">
        <v>10</v>
      </c>
      <c r="C65" s="175" t="s">
        <v>3</v>
      </c>
      <c r="D65" s="292"/>
      <c r="E65" s="293"/>
      <c r="F65" s="293"/>
      <c r="G65" s="294"/>
      <c r="H65" s="86">
        <v>0</v>
      </c>
      <c r="I65" s="212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231" t="s">
        <v>170</v>
      </c>
      <c r="C66" s="287" t="s">
        <v>78</v>
      </c>
      <c r="D66" s="305"/>
      <c r="E66" s="305"/>
      <c r="F66" s="305"/>
      <c r="G66" s="288"/>
      <c r="H66" s="30">
        <f>SUM(H60:H65)</f>
        <v>636.06940000000009</v>
      </c>
      <c r="I66" s="24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11"/>
      <c r="C67" s="312"/>
      <c r="D67" s="312"/>
      <c r="E67" s="312"/>
      <c r="F67" s="312"/>
      <c r="G67" s="312"/>
      <c r="H67" s="313"/>
      <c r="I67" s="23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330" t="s">
        <v>88</v>
      </c>
      <c r="C68" s="330"/>
      <c r="D68" s="330"/>
      <c r="E68" s="330"/>
      <c r="F68" s="330"/>
      <c r="G68" s="330"/>
      <c r="H68" s="330"/>
      <c r="I68" s="235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7">
        <v>2</v>
      </c>
      <c r="C69" s="287" t="s">
        <v>87</v>
      </c>
      <c r="D69" s="305"/>
      <c r="E69" s="305"/>
      <c r="F69" s="305"/>
      <c r="G69" s="288"/>
      <c r="H69" s="177" t="s">
        <v>67</v>
      </c>
      <c r="I69" s="208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31" t="s">
        <v>56</v>
      </c>
      <c r="C70" s="163" t="s">
        <v>45</v>
      </c>
      <c r="D70" s="292" t="s">
        <v>159</v>
      </c>
      <c r="E70" s="293"/>
      <c r="F70" s="293"/>
      <c r="G70" s="294"/>
      <c r="H70" s="27">
        <f>H43</f>
        <v>825.56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31" t="s">
        <v>57</v>
      </c>
      <c r="C71" s="163" t="s">
        <v>46</v>
      </c>
      <c r="D71" s="292" t="s">
        <v>169</v>
      </c>
      <c r="E71" s="293"/>
      <c r="F71" s="293"/>
      <c r="G71" s="294"/>
      <c r="H71" s="27">
        <f>H56</f>
        <v>1866.2400000000002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31" t="s">
        <v>58</v>
      </c>
      <c r="C72" s="163" t="s">
        <v>59</v>
      </c>
      <c r="D72" s="292" t="s">
        <v>170</v>
      </c>
      <c r="E72" s="293"/>
      <c r="F72" s="293"/>
      <c r="G72" s="294"/>
      <c r="H72" s="27">
        <f>H66</f>
        <v>636.06940000000009</v>
      </c>
      <c r="I72" s="195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231" t="s">
        <v>171</v>
      </c>
      <c r="C73" s="287" t="s">
        <v>78</v>
      </c>
      <c r="D73" s="305"/>
      <c r="E73" s="305"/>
      <c r="F73" s="305"/>
      <c r="G73" s="288"/>
      <c r="H73" s="23">
        <f>SUM(H70:H72)</f>
        <v>3327.8694000000005</v>
      </c>
      <c r="I73" s="24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312"/>
      <c r="C74" s="312"/>
      <c r="D74" s="312"/>
      <c r="E74" s="312"/>
      <c r="F74" s="312"/>
      <c r="G74" s="312"/>
      <c r="H74" s="312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35"/>
      <c r="C75" s="235"/>
      <c r="D75" s="235"/>
      <c r="E75" s="235"/>
      <c r="F75" s="235"/>
      <c r="G75" s="235"/>
      <c r="H75" s="235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304" t="s">
        <v>89</v>
      </c>
      <c r="C76" s="304"/>
      <c r="D76" s="304"/>
      <c r="E76" s="304"/>
      <c r="F76" s="304"/>
      <c r="G76" s="304"/>
      <c r="H76" s="304"/>
      <c r="I76" s="208"/>
      <c r="J76" s="137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7">
        <v>3</v>
      </c>
      <c r="C77" s="287" t="s">
        <v>79</v>
      </c>
      <c r="D77" s="305"/>
      <c r="E77" s="305"/>
      <c r="F77" s="288"/>
      <c r="G77" s="177" t="s">
        <v>2</v>
      </c>
      <c r="H77" s="177" t="s">
        <v>67</v>
      </c>
      <c r="I77" s="208"/>
      <c r="J77" s="143"/>
      <c r="K77" s="119"/>
      <c r="L77" s="119"/>
      <c r="M77" s="120"/>
      <c r="N77" s="121"/>
      <c r="O77" s="121"/>
      <c r="P77" s="121"/>
      <c r="Q77" s="121"/>
      <c r="R77" s="121"/>
    </row>
    <row r="78" spans="2:18" x14ac:dyDescent="0.2">
      <c r="B78" s="231" t="s">
        <v>5</v>
      </c>
      <c r="C78" s="164" t="s">
        <v>118</v>
      </c>
      <c r="D78" s="292" t="s">
        <v>188</v>
      </c>
      <c r="E78" s="293"/>
      <c r="F78" s="294"/>
      <c r="G78" s="87">
        <v>0.3</v>
      </c>
      <c r="H78" s="31">
        <f>TRUNC((H$79+H$80)*$G78,2)</f>
        <v>197.33</v>
      </c>
      <c r="I78" s="24"/>
      <c r="J78" s="140"/>
      <c r="K78" s="119"/>
      <c r="L78" s="119"/>
      <c r="M78" s="120"/>
      <c r="N78" s="121"/>
      <c r="O78" s="144"/>
      <c r="P78" s="121"/>
      <c r="Q78" s="121"/>
      <c r="R78" s="121"/>
    </row>
    <row r="79" spans="2:18" x14ac:dyDescent="0.2">
      <c r="B79" s="231" t="s">
        <v>6</v>
      </c>
      <c r="C79" s="175" t="s">
        <v>119</v>
      </c>
      <c r="D79" s="292" t="s">
        <v>210</v>
      </c>
      <c r="E79" s="293"/>
      <c r="F79" s="294"/>
      <c r="G79" s="32"/>
      <c r="H79" s="27">
        <f>TRUNC((H$32+H$43+H$55+H$66-H60)/12,2)</f>
        <v>495.5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31" t="s">
        <v>7</v>
      </c>
      <c r="C80" s="175" t="s">
        <v>120</v>
      </c>
      <c r="D80" s="292" t="s">
        <v>200</v>
      </c>
      <c r="E80" s="294"/>
      <c r="F80" s="89">
        <v>0.4</v>
      </c>
      <c r="G80" s="32"/>
      <c r="H80" s="27">
        <f>TRUNC(H$55*$F80,2)</f>
        <v>162.28</v>
      </c>
      <c r="I80" s="195"/>
      <c r="J80" s="137"/>
      <c r="K80" s="119"/>
      <c r="L80" s="119"/>
      <c r="M80" s="120"/>
      <c r="N80" s="121"/>
      <c r="O80" s="145"/>
      <c r="P80" s="121"/>
      <c r="Q80" s="121"/>
      <c r="R80" s="121"/>
    </row>
    <row r="81" spans="2:18" x14ac:dyDescent="0.2">
      <c r="B81" s="231" t="s">
        <v>8</v>
      </c>
      <c r="C81" s="164" t="s">
        <v>121</v>
      </c>
      <c r="D81" s="292" t="s">
        <v>189</v>
      </c>
      <c r="E81" s="293"/>
      <c r="F81" s="294"/>
      <c r="G81" s="87">
        <v>1</v>
      </c>
      <c r="H81" s="168">
        <f>IF($G81&gt;=1,(TRUNC(H$82*$G81,2)),"ERRO")</f>
        <v>162.28</v>
      </c>
      <c r="I81" s="197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31" t="s">
        <v>9</v>
      </c>
      <c r="C82" s="175" t="s">
        <v>122</v>
      </c>
      <c r="D82" s="292" t="s">
        <v>200</v>
      </c>
      <c r="E82" s="294"/>
      <c r="F82" s="89">
        <v>0.4</v>
      </c>
      <c r="G82" s="32"/>
      <c r="H82" s="27">
        <f>TRUNC(H$55*$F82,2)</f>
        <v>162.28</v>
      </c>
      <c r="I82" s="195"/>
      <c r="J82" s="137"/>
      <c r="K82" s="119"/>
      <c r="L82" s="119"/>
      <c r="M82" s="120"/>
      <c r="N82" s="121"/>
      <c r="O82" s="141"/>
      <c r="P82" s="121"/>
      <c r="Q82" s="121"/>
      <c r="R82" s="121"/>
    </row>
    <row r="83" spans="2:18" x14ac:dyDescent="0.2">
      <c r="B83" s="231" t="s">
        <v>10</v>
      </c>
      <c r="C83" s="164" t="s">
        <v>207</v>
      </c>
      <c r="D83" s="337" t="s">
        <v>201</v>
      </c>
      <c r="E83" s="338"/>
      <c r="F83" s="88">
        <v>12</v>
      </c>
      <c r="G83" s="88">
        <v>3</v>
      </c>
      <c r="H83" s="27">
        <f>TRUNC(((H$32+H$43+H$56)/30)*$G83/$F83,2)</f>
        <v>57.81</v>
      </c>
      <c r="I83" s="195"/>
      <c r="J83" s="190"/>
      <c r="K83" s="120"/>
      <c r="L83" s="120"/>
      <c r="M83" s="120"/>
      <c r="N83" s="121"/>
      <c r="O83" s="141"/>
      <c r="P83" s="121"/>
      <c r="Q83" s="121"/>
      <c r="R83" s="121"/>
    </row>
    <row r="84" spans="2:18" x14ac:dyDescent="0.2">
      <c r="B84" s="231" t="s">
        <v>175</v>
      </c>
      <c r="C84" s="287" t="s">
        <v>78</v>
      </c>
      <c r="D84" s="305"/>
      <c r="E84" s="305"/>
      <c r="F84" s="305"/>
      <c r="G84" s="288"/>
      <c r="H84" s="23">
        <f>H$78+H$81+H$83</f>
        <v>417.42</v>
      </c>
      <c r="I84" s="24"/>
      <c r="J84" s="121"/>
      <c r="K84" s="121"/>
      <c r="L84" s="121"/>
      <c r="M84" s="120"/>
      <c r="N84" s="121"/>
      <c r="O84" s="121"/>
      <c r="P84" s="121"/>
      <c r="Q84" s="121"/>
      <c r="R84" s="121"/>
    </row>
    <row r="85" spans="2:18" x14ac:dyDescent="0.2">
      <c r="B85" s="185"/>
      <c r="C85" s="185"/>
      <c r="D85" s="185"/>
      <c r="E85" s="185"/>
      <c r="F85" s="185"/>
      <c r="G85" s="185"/>
      <c r="H85" s="185"/>
      <c r="I85" s="185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235"/>
      <c r="C86" s="235"/>
      <c r="D86" s="235"/>
      <c r="E86" s="235"/>
      <c r="F86" s="235"/>
      <c r="G86" s="235"/>
      <c r="H86" s="235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04" t="s">
        <v>90</v>
      </c>
      <c r="C87" s="304"/>
      <c r="D87" s="304"/>
      <c r="E87" s="304"/>
      <c r="F87" s="304"/>
      <c r="G87" s="304"/>
      <c r="H87" s="304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331" t="s">
        <v>110</v>
      </c>
      <c r="C88" s="332"/>
      <c r="D88" s="332"/>
      <c r="E88" s="332"/>
      <c r="F88" s="332"/>
      <c r="G88" s="332"/>
      <c r="H88" s="333"/>
      <c r="I88" s="208"/>
      <c r="J88" s="137"/>
      <c r="K88" s="119"/>
      <c r="L88" s="119"/>
      <c r="M88" s="120"/>
      <c r="N88" s="121"/>
      <c r="O88" s="121"/>
      <c r="P88" s="121"/>
      <c r="Q88" s="121"/>
      <c r="R88" s="121"/>
    </row>
    <row r="89" spans="2:18" x14ac:dyDescent="0.2">
      <c r="B89" s="177" t="s">
        <v>17</v>
      </c>
      <c r="C89" s="287" t="s">
        <v>111</v>
      </c>
      <c r="D89" s="305"/>
      <c r="E89" s="305"/>
      <c r="F89" s="288"/>
      <c r="G89" s="177" t="s">
        <v>126</v>
      </c>
      <c r="H89" s="177" t="s">
        <v>67</v>
      </c>
      <c r="I89" s="208"/>
      <c r="J89" s="119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31" t="s">
        <v>5</v>
      </c>
      <c r="C90" s="175" t="s">
        <v>132</v>
      </c>
      <c r="D90" s="292" t="s">
        <v>181</v>
      </c>
      <c r="E90" s="293"/>
      <c r="F90" s="294"/>
      <c r="G90" s="88">
        <v>30</v>
      </c>
      <c r="H90" s="27">
        <f>TRUNC((H$92*$G90)/12,2)</f>
        <v>665.92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ht="22.5" x14ac:dyDescent="0.2">
      <c r="B91" s="231" t="s">
        <v>6</v>
      </c>
      <c r="C91" s="165" t="s">
        <v>187</v>
      </c>
      <c r="D91" s="334" t="s">
        <v>190</v>
      </c>
      <c r="E91" s="335"/>
      <c r="F91" s="336"/>
      <c r="G91" s="114">
        <v>8</v>
      </c>
      <c r="H91" s="27">
        <f>TRUNC((H$92*$G91)/12,2)</f>
        <v>177.58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31" t="s">
        <v>7</v>
      </c>
      <c r="C92" s="175" t="s">
        <v>134</v>
      </c>
      <c r="D92" s="292" t="s">
        <v>174</v>
      </c>
      <c r="E92" s="293"/>
      <c r="F92" s="293"/>
      <c r="G92" s="294"/>
      <c r="H92" s="27">
        <f>TRUNC((H$32+H$73+H$84)/30,2)</f>
        <v>266.37</v>
      </c>
      <c r="I92" s="195"/>
      <c r="J92" s="140"/>
      <c r="K92" s="119"/>
      <c r="L92" s="119"/>
      <c r="M92" s="120"/>
      <c r="N92" s="146"/>
      <c r="O92" s="121"/>
      <c r="P92" s="121"/>
      <c r="Q92" s="121"/>
      <c r="R92" s="121"/>
    </row>
    <row r="93" spans="2:18" x14ac:dyDescent="0.2">
      <c r="B93" s="231" t="s">
        <v>176</v>
      </c>
      <c r="C93" s="287" t="s">
        <v>78</v>
      </c>
      <c r="D93" s="305"/>
      <c r="E93" s="305"/>
      <c r="F93" s="305"/>
      <c r="G93" s="288"/>
      <c r="H93" s="23">
        <f>TRUNC(H$90+H$91,2)</f>
        <v>843.5</v>
      </c>
      <c r="I93" s="24"/>
      <c r="J93" s="140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147"/>
      <c r="C94" s="148"/>
      <c r="D94" s="148"/>
      <c r="E94" s="148"/>
      <c r="F94" s="148"/>
      <c r="G94" s="148"/>
      <c r="H94" s="149"/>
      <c r="I94" s="33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342" t="s">
        <v>112</v>
      </c>
      <c r="C95" s="343"/>
      <c r="D95" s="343"/>
      <c r="E95" s="343"/>
      <c r="F95" s="343"/>
      <c r="G95" s="343"/>
      <c r="H95" s="344"/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177" t="s">
        <v>18</v>
      </c>
      <c r="C96" s="287" t="s">
        <v>113</v>
      </c>
      <c r="D96" s="305"/>
      <c r="E96" s="305"/>
      <c r="F96" s="288"/>
      <c r="G96" s="177" t="s">
        <v>126</v>
      </c>
      <c r="H96" s="177" t="s">
        <v>67</v>
      </c>
      <c r="I96" s="208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ht="22.5" x14ac:dyDescent="0.2">
      <c r="B97" s="231" t="s">
        <v>5</v>
      </c>
      <c r="C97" s="165" t="s">
        <v>114</v>
      </c>
      <c r="D97" s="292" t="s">
        <v>212</v>
      </c>
      <c r="E97" s="293"/>
      <c r="F97" s="294"/>
      <c r="G97" s="88"/>
      <c r="H97" s="27">
        <f>TRUNC(((H$32+H73+H84)/220)*(1+50%)*G97,2)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31" t="s">
        <v>177</v>
      </c>
      <c r="C98" s="287" t="s">
        <v>78</v>
      </c>
      <c r="D98" s="305"/>
      <c r="E98" s="305"/>
      <c r="F98" s="305"/>
      <c r="G98" s="288"/>
      <c r="H98" s="23">
        <f>H97</f>
        <v>0</v>
      </c>
      <c r="I98" s="195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229"/>
      <c r="C99" s="228"/>
      <c r="D99" s="228"/>
      <c r="E99" s="228"/>
      <c r="F99" s="228"/>
      <c r="G99" s="228"/>
      <c r="H99" s="230"/>
      <c r="I99" s="217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342" t="s">
        <v>91</v>
      </c>
      <c r="C100" s="343"/>
      <c r="D100" s="343"/>
      <c r="E100" s="343"/>
      <c r="F100" s="343"/>
      <c r="G100" s="343"/>
      <c r="H100" s="344"/>
      <c r="I100" s="208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177">
        <v>4</v>
      </c>
      <c r="C101" s="287" t="s">
        <v>92</v>
      </c>
      <c r="D101" s="305"/>
      <c r="E101" s="305"/>
      <c r="F101" s="305"/>
      <c r="G101" s="288"/>
      <c r="H101" s="177" t="s">
        <v>67</v>
      </c>
      <c r="I101" s="208"/>
      <c r="J101" s="137"/>
      <c r="K101" s="119"/>
      <c r="L101" s="119"/>
      <c r="M101" s="120"/>
      <c r="N101" s="150"/>
      <c r="O101" s="121"/>
      <c r="P101" s="121"/>
      <c r="Q101" s="121"/>
      <c r="R101" s="121"/>
    </row>
    <row r="102" spans="2:18" x14ac:dyDescent="0.2">
      <c r="B102" s="231" t="s">
        <v>17</v>
      </c>
      <c r="C102" s="175" t="s">
        <v>60</v>
      </c>
      <c r="D102" s="292" t="s">
        <v>176</v>
      </c>
      <c r="E102" s="293"/>
      <c r="F102" s="293"/>
      <c r="G102" s="294"/>
      <c r="H102" s="27">
        <f>H93</f>
        <v>843.5</v>
      </c>
      <c r="I102" s="195"/>
      <c r="J102" s="137"/>
      <c r="K102" s="137"/>
      <c r="L102" s="137"/>
      <c r="M102" s="137"/>
      <c r="N102" s="121"/>
      <c r="O102" s="121"/>
      <c r="P102" s="121"/>
      <c r="Q102" s="121"/>
      <c r="R102" s="121"/>
    </row>
    <row r="103" spans="2:18" x14ac:dyDescent="0.2">
      <c r="B103" s="231" t="s">
        <v>18</v>
      </c>
      <c r="C103" s="175" t="s">
        <v>62</v>
      </c>
      <c r="D103" s="292" t="s">
        <v>177</v>
      </c>
      <c r="E103" s="293"/>
      <c r="F103" s="293"/>
      <c r="G103" s="294"/>
      <c r="H103" s="27">
        <f>H98</f>
        <v>0</v>
      </c>
      <c r="I103" s="195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31" t="s">
        <v>178</v>
      </c>
      <c r="C104" s="287" t="s">
        <v>78</v>
      </c>
      <c r="D104" s="305"/>
      <c r="E104" s="305"/>
      <c r="F104" s="305"/>
      <c r="G104" s="288"/>
      <c r="H104" s="23">
        <f>SUM(H102:H103)</f>
        <v>843.5</v>
      </c>
      <c r="I104" s="24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5"/>
      <c r="C105" s="235"/>
      <c r="D105" s="235"/>
      <c r="E105" s="235"/>
      <c r="F105" s="235"/>
      <c r="G105" s="235"/>
      <c r="H105" s="235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35"/>
      <c r="C106" s="235"/>
      <c r="D106" s="235"/>
      <c r="E106" s="235"/>
      <c r="F106" s="235"/>
      <c r="G106" s="235"/>
      <c r="H106" s="235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304" t="s">
        <v>93</v>
      </c>
      <c r="C107" s="304"/>
      <c r="D107" s="304"/>
      <c r="E107" s="304"/>
      <c r="F107" s="304"/>
      <c r="G107" s="304"/>
      <c r="H107" s="304"/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7">
        <v>5</v>
      </c>
      <c r="C108" s="339" t="s">
        <v>80</v>
      </c>
      <c r="D108" s="340"/>
      <c r="E108" s="340"/>
      <c r="F108" s="340"/>
      <c r="G108" s="341"/>
      <c r="H108" s="177" t="s">
        <v>67</v>
      </c>
      <c r="I108" s="208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31" t="s">
        <v>5</v>
      </c>
      <c r="C109" s="126" t="s">
        <v>63</v>
      </c>
      <c r="D109" s="127"/>
      <c r="E109" s="127"/>
      <c r="F109" s="127"/>
      <c r="G109" s="128"/>
      <c r="H109" s="129">
        <f>Insumos!G11</f>
        <v>105.67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31" t="s">
        <v>6</v>
      </c>
      <c r="C110" s="126" t="s">
        <v>236</v>
      </c>
      <c r="D110" s="127"/>
      <c r="E110" s="127"/>
      <c r="F110" s="127"/>
      <c r="G110" s="128"/>
      <c r="H110" s="129">
        <f>Insumos!G24</f>
        <v>27.6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1" t="s">
        <v>7</v>
      </c>
      <c r="C111" s="126" t="s">
        <v>14</v>
      </c>
      <c r="D111" s="127"/>
      <c r="E111" s="127"/>
      <c r="F111" s="127"/>
      <c r="G111" s="128"/>
      <c r="H111" s="129">
        <f>Insumos!H94</f>
        <v>61.579999999999991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31" t="s">
        <v>8</v>
      </c>
      <c r="C112" s="126" t="s">
        <v>225</v>
      </c>
      <c r="D112" s="127"/>
      <c r="E112" s="127"/>
      <c r="F112" s="127"/>
      <c r="G112" s="128"/>
      <c r="H112" s="129">
        <f>Insumos!H39</f>
        <v>3.8</v>
      </c>
      <c r="I112" s="195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31" t="s">
        <v>179</v>
      </c>
      <c r="C113" s="161" t="s">
        <v>78</v>
      </c>
      <c r="D113" s="161"/>
      <c r="E113" s="161"/>
      <c r="F113" s="161"/>
      <c r="G113" s="162"/>
      <c r="H113" s="23">
        <f>SUM(H109:H112)</f>
        <v>198.65</v>
      </c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5"/>
      <c r="C114" s="235"/>
      <c r="D114" s="235"/>
      <c r="E114" s="235"/>
      <c r="F114" s="235"/>
      <c r="G114" s="151"/>
      <c r="H114" s="136"/>
      <c r="I114" s="24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35"/>
      <c r="C115" s="235"/>
      <c r="D115" s="235"/>
      <c r="E115" s="235"/>
      <c r="F115" s="235"/>
      <c r="G115" s="235"/>
      <c r="H115" s="235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304" t="s">
        <v>94</v>
      </c>
      <c r="C116" s="304"/>
      <c r="D116" s="304"/>
      <c r="E116" s="304"/>
      <c r="F116" s="304"/>
      <c r="G116" s="304"/>
      <c r="H116" s="304"/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7">
        <v>6</v>
      </c>
      <c r="C117" s="287" t="s">
        <v>81</v>
      </c>
      <c r="D117" s="305"/>
      <c r="E117" s="305"/>
      <c r="F117" s="288"/>
      <c r="G117" s="177" t="s">
        <v>2</v>
      </c>
      <c r="H117" s="177" t="s">
        <v>67</v>
      </c>
      <c r="I117" s="20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31" t="s">
        <v>5</v>
      </c>
      <c r="C118" s="175" t="s">
        <v>19</v>
      </c>
      <c r="D118" s="292" t="s">
        <v>191</v>
      </c>
      <c r="E118" s="293"/>
      <c r="F118" s="294"/>
      <c r="G118" s="103">
        <v>0.05</v>
      </c>
      <c r="H118" s="27">
        <f>TRUNC(H$135*$G118,2)</f>
        <v>451.66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31" t="s">
        <v>6</v>
      </c>
      <c r="C119" s="175" t="s">
        <v>4</v>
      </c>
      <c r="D119" s="292" t="s">
        <v>192</v>
      </c>
      <c r="E119" s="293"/>
      <c r="F119" s="294"/>
      <c r="G119" s="103">
        <v>0.1</v>
      </c>
      <c r="H119" s="27">
        <f>TRUNC((H$135+H$118)*$G119,2)</f>
        <v>948.49</v>
      </c>
      <c r="I119" s="195"/>
      <c r="J119" s="119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31" t="s">
        <v>7</v>
      </c>
      <c r="C120" s="175" t="s">
        <v>143</v>
      </c>
      <c r="D120" s="292" t="s">
        <v>193</v>
      </c>
      <c r="E120" s="293"/>
      <c r="F120" s="294"/>
      <c r="G120" s="105">
        <f>1-(G121+G122+G123)</f>
        <v>0.85749999999999993</v>
      </c>
      <c r="H120" s="34">
        <f>TRUNC(((H$135+H$118+H$119)/$G120),2)</f>
        <v>12167.25</v>
      </c>
      <c r="I120" s="198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31" t="s">
        <v>40</v>
      </c>
      <c r="C121" s="175" t="s">
        <v>37</v>
      </c>
      <c r="D121" s="292" t="s">
        <v>194</v>
      </c>
      <c r="E121" s="293"/>
      <c r="F121" s="294"/>
      <c r="G121" s="104">
        <v>1.6500000000000001E-2</v>
      </c>
      <c r="H121" s="27">
        <f>TRUNC(H$120*$G121,2)</f>
        <v>200.75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31" t="s">
        <v>41</v>
      </c>
      <c r="C122" s="175" t="s">
        <v>38</v>
      </c>
      <c r="D122" s="292" t="s">
        <v>194</v>
      </c>
      <c r="E122" s="293"/>
      <c r="F122" s="294"/>
      <c r="G122" s="104">
        <v>7.5999999999999998E-2</v>
      </c>
      <c r="H122" s="27">
        <f>TRUNC(H$120*$G122,2)</f>
        <v>924.71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31" t="s">
        <v>42</v>
      </c>
      <c r="C123" s="175" t="s">
        <v>39</v>
      </c>
      <c r="D123" s="292" t="s">
        <v>194</v>
      </c>
      <c r="E123" s="293"/>
      <c r="F123" s="294"/>
      <c r="G123" s="104">
        <v>0.05</v>
      </c>
      <c r="H123" s="27">
        <f>TRUNC(H$120*$G123,2)</f>
        <v>608.36</v>
      </c>
      <c r="I123" s="195"/>
      <c r="J123" s="137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31" t="s">
        <v>180</v>
      </c>
      <c r="C124" s="227" t="s">
        <v>78</v>
      </c>
      <c r="D124" s="345" t="s">
        <v>182</v>
      </c>
      <c r="E124" s="345"/>
      <c r="F124" s="345"/>
      <c r="G124" s="346"/>
      <c r="H124" s="23">
        <f>SUM(H118:H123)-H120</f>
        <v>3133.9700000000012</v>
      </c>
      <c r="I124" s="24"/>
      <c r="J124" s="140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124"/>
      <c r="C125" s="124"/>
      <c r="D125" s="124"/>
      <c r="E125" s="124"/>
      <c r="F125" s="124"/>
      <c r="G125" s="124"/>
      <c r="H125" s="152"/>
      <c r="I125" s="35"/>
      <c r="J125" s="119"/>
      <c r="K125" s="119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303" t="s">
        <v>319</v>
      </c>
      <c r="C126" s="303"/>
      <c r="D126" s="303"/>
      <c r="E126" s="303"/>
      <c r="F126" s="303"/>
      <c r="G126" s="303"/>
      <c r="H126" s="303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26"/>
      <c r="C127" s="226"/>
      <c r="D127" s="226"/>
      <c r="E127" s="226"/>
      <c r="F127" s="226"/>
      <c r="G127" s="226"/>
      <c r="H127" s="226"/>
      <c r="I127" s="209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x14ac:dyDescent="0.2">
      <c r="B128" s="304" t="s">
        <v>116</v>
      </c>
      <c r="C128" s="304"/>
      <c r="D128" s="304"/>
      <c r="E128" s="304"/>
      <c r="F128" s="304"/>
      <c r="G128" s="304"/>
      <c r="H128" s="304"/>
      <c r="I128" s="208"/>
      <c r="J128" s="119"/>
      <c r="K128" s="153"/>
      <c r="L128" s="119"/>
      <c r="M128" s="120"/>
      <c r="N128" s="121"/>
      <c r="O128" s="121"/>
      <c r="P128" s="121"/>
      <c r="Q128" s="121"/>
      <c r="R128" s="121"/>
    </row>
    <row r="129" spans="2:18" ht="12.75" customHeight="1" x14ac:dyDescent="0.2">
      <c r="B129" s="36"/>
      <c r="C129" s="347" t="s">
        <v>144</v>
      </c>
      <c r="D129" s="348"/>
      <c r="E129" s="348"/>
      <c r="F129" s="348"/>
      <c r="G129" s="349"/>
      <c r="H129" s="177" t="s">
        <v>67</v>
      </c>
      <c r="I129" s="208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x14ac:dyDescent="0.2">
      <c r="B130" s="231" t="s">
        <v>5</v>
      </c>
      <c r="C130" s="165" t="s">
        <v>97</v>
      </c>
      <c r="D130" s="292" t="s">
        <v>157</v>
      </c>
      <c r="E130" s="293"/>
      <c r="F130" s="293"/>
      <c r="G130" s="294"/>
      <c r="H130" s="27">
        <f>H32</f>
        <v>4245.83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ht="22.5" x14ac:dyDescent="0.2">
      <c r="B131" s="231" t="s">
        <v>6</v>
      </c>
      <c r="C131" s="165" t="s">
        <v>98</v>
      </c>
      <c r="D131" s="292" t="s">
        <v>171</v>
      </c>
      <c r="E131" s="293"/>
      <c r="F131" s="293"/>
      <c r="G131" s="294"/>
      <c r="H131" s="27">
        <f>H73</f>
        <v>3327.8694000000005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31" t="s">
        <v>7</v>
      </c>
      <c r="C132" s="165" t="s">
        <v>99</v>
      </c>
      <c r="D132" s="292" t="s">
        <v>175</v>
      </c>
      <c r="E132" s="293"/>
      <c r="F132" s="293"/>
      <c r="G132" s="294"/>
      <c r="H132" s="27">
        <f>H84</f>
        <v>417.42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ht="22.5" x14ac:dyDescent="0.2">
      <c r="B133" s="231" t="s">
        <v>8</v>
      </c>
      <c r="C133" s="165" t="s">
        <v>61</v>
      </c>
      <c r="D133" s="292" t="s">
        <v>178</v>
      </c>
      <c r="E133" s="293"/>
      <c r="F133" s="293"/>
      <c r="G133" s="294"/>
      <c r="H133" s="27">
        <f>H104</f>
        <v>843.5</v>
      </c>
      <c r="I133" s="195"/>
      <c r="J133" s="119"/>
      <c r="K133" s="153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31" t="s">
        <v>9</v>
      </c>
      <c r="C134" s="165" t="s">
        <v>100</v>
      </c>
      <c r="D134" s="292" t="s">
        <v>179</v>
      </c>
      <c r="E134" s="293"/>
      <c r="F134" s="293"/>
      <c r="G134" s="294"/>
      <c r="H134" s="27">
        <f>H113</f>
        <v>198.65</v>
      </c>
      <c r="I134" s="195"/>
      <c r="J134" s="119"/>
      <c r="K134" s="119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33" t="s">
        <v>10</v>
      </c>
      <c r="C135" s="164" t="s">
        <v>64</v>
      </c>
      <c r="D135" s="357" t="s">
        <v>198</v>
      </c>
      <c r="E135" s="358"/>
      <c r="F135" s="358"/>
      <c r="G135" s="359"/>
      <c r="H135" s="31">
        <f>SUM(H130:H134)</f>
        <v>9033.2693999999992</v>
      </c>
      <c r="I135" s="24"/>
      <c r="J135" s="119"/>
      <c r="K135" s="154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31" t="s">
        <v>11</v>
      </c>
      <c r="C136" s="175" t="s">
        <v>101</v>
      </c>
      <c r="D136" s="292" t="s">
        <v>180</v>
      </c>
      <c r="E136" s="293"/>
      <c r="F136" s="293"/>
      <c r="G136" s="294"/>
      <c r="H136" s="27">
        <f>H124</f>
        <v>3133.9700000000012</v>
      </c>
      <c r="I136" s="195"/>
      <c r="J136" s="119"/>
      <c r="K136" s="119"/>
      <c r="L136" s="119"/>
      <c r="M136" s="120"/>
      <c r="N136" s="121"/>
      <c r="O136" s="121"/>
      <c r="P136" s="121"/>
      <c r="Q136" s="121"/>
      <c r="R136" s="121"/>
    </row>
    <row r="137" spans="2:18" x14ac:dyDescent="0.2">
      <c r="B137" s="231" t="s">
        <v>183</v>
      </c>
      <c r="C137" s="221" t="s">
        <v>96</v>
      </c>
      <c r="D137" s="350" t="s">
        <v>197</v>
      </c>
      <c r="E137" s="345"/>
      <c r="F137" s="345"/>
      <c r="G137" s="346"/>
      <c r="H137" s="37">
        <f>SUM(H135:H136)</f>
        <v>12167.2394</v>
      </c>
      <c r="I137" s="213"/>
      <c r="J137" s="119"/>
      <c r="K137" s="155"/>
      <c r="L137" s="119"/>
      <c r="M137" s="120"/>
      <c r="N137" s="121"/>
      <c r="O137" s="121"/>
      <c r="P137" s="121"/>
      <c r="Q137" s="121"/>
      <c r="R137" s="121"/>
    </row>
    <row r="138" spans="2:18" ht="12.75" hidden="1" customHeight="1" x14ac:dyDescent="0.2">
      <c r="B138" s="14"/>
      <c r="C138" s="14"/>
      <c r="D138" s="14"/>
      <c r="E138" s="14"/>
      <c r="F138" s="14"/>
      <c r="G138" s="14"/>
      <c r="H138" s="38"/>
      <c r="I138" s="214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40.5" hidden="1" customHeight="1" x14ac:dyDescent="0.2">
      <c r="B139" s="39"/>
      <c r="C139" s="39" t="s">
        <v>20</v>
      </c>
      <c r="D139" s="39"/>
      <c r="E139" s="39"/>
      <c r="F139" s="39"/>
      <c r="G139" s="40"/>
      <c r="H139" s="40"/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39" hidden="1" customHeight="1" x14ac:dyDescent="0.2">
      <c r="B140" s="351" t="s">
        <v>22</v>
      </c>
      <c r="C140" s="352"/>
      <c r="D140" s="222"/>
      <c r="E140" s="222"/>
      <c r="F140" s="222"/>
      <c r="G140" s="41" t="s">
        <v>21</v>
      </c>
      <c r="H140" s="42" t="s">
        <v>0</v>
      </c>
      <c r="I140" s="215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53" t="s">
        <v>23</v>
      </c>
      <c r="C141" s="354"/>
      <c r="D141" s="43"/>
      <c r="E141" s="43"/>
      <c r="F141" s="43"/>
      <c r="G141" s="44"/>
      <c r="H141" s="45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55" t="s">
        <v>24</v>
      </c>
      <c r="C142" s="356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55" t="s">
        <v>25</v>
      </c>
      <c r="C143" s="356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355" t="s">
        <v>26</v>
      </c>
      <c r="C144" s="356"/>
      <c r="D144" s="46"/>
      <c r="E144" s="46"/>
      <c r="F144" s="46"/>
      <c r="G144" s="47"/>
      <c r="H144" s="48">
        <v>0</v>
      </c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371"/>
      <c r="C145" s="372"/>
      <c r="D145" s="49"/>
      <c r="E145" s="49"/>
      <c r="F145" s="49"/>
      <c r="G145" s="50"/>
      <c r="H145" s="48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73"/>
      <c r="C146" s="374"/>
      <c r="D146" s="51"/>
      <c r="E146" s="51"/>
      <c r="F146" s="51"/>
      <c r="G146" s="52"/>
      <c r="H146" s="53"/>
      <c r="I146" s="199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4" t="s">
        <v>27</v>
      </c>
      <c r="C147" s="55"/>
      <c r="D147" s="55"/>
      <c r="E147" s="55"/>
      <c r="F147" s="55"/>
      <c r="G147" s="56"/>
      <c r="H147" s="57">
        <f>SUM(H145:H146)</f>
        <v>0</v>
      </c>
      <c r="I147" s="200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14"/>
      <c r="C148" s="14"/>
      <c r="D148" s="14"/>
      <c r="E148" s="14"/>
      <c r="F148" s="14"/>
      <c r="G148" s="14"/>
      <c r="H148" s="14"/>
      <c r="I148" s="18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39" t="s">
        <v>28</v>
      </c>
      <c r="C149" s="39" t="s">
        <v>29</v>
      </c>
      <c r="D149" s="39"/>
      <c r="E149" s="39"/>
      <c r="F149" s="39"/>
      <c r="G149" s="40"/>
      <c r="H149" s="4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58" t="s">
        <v>30</v>
      </c>
      <c r="C150" s="59"/>
      <c r="D150" s="59"/>
      <c r="E150" s="59"/>
      <c r="F150" s="59"/>
      <c r="G150" s="59"/>
      <c r="H150" s="60"/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1"/>
      <c r="C151" s="62" t="s">
        <v>31</v>
      </c>
      <c r="D151" s="63"/>
      <c r="E151" s="63"/>
      <c r="F151" s="63"/>
      <c r="G151" s="64"/>
      <c r="H151" s="42" t="s">
        <v>0</v>
      </c>
      <c r="I151" s="215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2.75" hidden="1" customHeight="1" x14ac:dyDescent="0.2">
      <c r="B152" s="65" t="s">
        <v>5</v>
      </c>
      <c r="C152" s="66" t="s">
        <v>32</v>
      </c>
      <c r="D152" s="67"/>
      <c r="E152" s="67"/>
      <c r="F152" s="67"/>
      <c r="G152" s="68"/>
      <c r="H152" s="69">
        <f>H121</f>
        <v>200.75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6</v>
      </c>
      <c r="C153" s="71" t="s">
        <v>33</v>
      </c>
      <c r="D153" s="72"/>
      <c r="E153" s="72"/>
      <c r="F153" s="72"/>
      <c r="G153" s="73"/>
      <c r="H153" s="74" t="e">
        <f>#REF!</f>
        <v>#REF!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0" t="s">
        <v>7</v>
      </c>
      <c r="C154" s="75" t="s">
        <v>34</v>
      </c>
      <c r="D154" s="76"/>
      <c r="E154" s="76"/>
      <c r="F154" s="76"/>
      <c r="G154" s="77"/>
      <c r="H154" s="74">
        <f>H124</f>
        <v>3133.9700000000012</v>
      </c>
      <c r="I154" s="199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3.5" hidden="1" customHeight="1" x14ac:dyDescent="0.2">
      <c r="B155" s="78" t="s">
        <v>16</v>
      </c>
      <c r="C155" s="79"/>
      <c r="D155" s="79"/>
      <c r="E155" s="79"/>
      <c r="F155" s="79"/>
      <c r="G155" s="80"/>
      <c r="H155" s="57" t="e">
        <f>SUM(H152:H154)</f>
        <v>#REF!</v>
      </c>
      <c r="I155" s="200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81" t="s">
        <v>15</v>
      </c>
      <c r="C156" s="14" t="s">
        <v>35</v>
      </c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ht="12.75" hidden="1" customHeight="1" x14ac:dyDescent="0.2">
      <c r="B157" s="14"/>
      <c r="C157" s="14"/>
      <c r="D157" s="14"/>
      <c r="E157" s="14"/>
      <c r="F157" s="14"/>
      <c r="G157" s="14"/>
      <c r="H157" s="14"/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I158" s="18"/>
      <c r="J158" s="156"/>
      <c r="K158" s="156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375" t="s">
        <v>320</v>
      </c>
      <c r="C159" s="375"/>
      <c r="D159" s="375"/>
      <c r="E159" s="375"/>
      <c r="F159" s="375"/>
      <c r="I159" s="18"/>
      <c r="J159" s="188"/>
      <c r="K159" s="157"/>
      <c r="L159" s="156"/>
      <c r="M159" s="121"/>
      <c r="N159" s="121"/>
      <c r="O159" s="121"/>
      <c r="P159" s="121"/>
      <c r="Q159" s="121"/>
      <c r="R159" s="121"/>
    </row>
    <row r="160" spans="2:18" x14ac:dyDescent="0.2">
      <c r="B160" s="158"/>
      <c r="C160" s="158"/>
      <c r="D160" s="158"/>
      <c r="E160" s="142"/>
      <c r="F160" s="142"/>
      <c r="I160" s="18"/>
    </row>
    <row r="161" spans="2:14" x14ac:dyDescent="0.2">
      <c r="B161" s="299" t="s">
        <v>202</v>
      </c>
      <c r="C161" s="299"/>
      <c r="D161" s="299"/>
      <c r="E161" s="299"/>
      <c r="F161" s="299"/>
      <c r="G161" s="299"/>
      <c r="H161" s="299"/>
      <c r="I161" s="210"/>
      <c r="J161" s="188"/>
    </row>
    <row r="162" spans="2:14" x14ac:dyDescent="0.2">
      <c r="B162" s="231" t="s">
        <v>5</v>
      </c>
      <c r="C162" s="167" t="s">
        <v>127</v>
      </c>
      <c r="D162" s="364" t="s">
        <v>183</v>
      </c>
      <c r="E162" s="365"/>
      <c r="F162" s="365"/>
      <c r="G162" s="366"/>
      <c r="H162" s="12">
        <f>H137</f>
        <v>12167.2394</v>
      </c>
      <c r="I162" s="207"/>
    </row>
    <row r="163" spans="2:14" ht="22.5" x14ac:dyDescent="0.2">
      <c r="B163" s="231" t="s">
        <v>6</v>
      </c>
      <c r="C163" s="166" t="s">
        <v>185</v>
      </c>
      <c r="D163" s="364" t="s">
        <v>186</v>
      </c>
      <c r="E163" s="365"/>
      <c r="F163" s="365"/>
      <c r="G163" s="366"/>
      <c r="H163" s="12">
        <f>H43+H84+H102</f>
        <v>2086.48</v>
      </c>
      <c r="I163" s="201"/>
    </row>
    <row r="164" spans="2:14" ht="22.5" x14ac:dyDescent="0.2">
      <c r="B164" s="231" t="s">
        <v>7</v>
      </c>
      <c r="C164" s="205" t="s">
        <v>203</v>
      </c>
      <c r="D164" s="376" t="s">
        <v>211</v>
      </c>
      <c r="E164" s="377"/>
      <c r="F164" s="377"/>
      <c r="G164" s="378"/>
      <c r="H164" s="206">
        <f>TRUNC((H$43*$G56),2)</f>
        <v>303.8</v>
      </c>
      <c r="I164" s="207"/>
      <c r="J164" s="187"/>
    </row>
    <row r="165" spans="2:14" ht="12.75" customHeight="1" x14ac:dyDescent="0.2">
      <c r="B165" s="231" t="s">
        <v>8</v>
      </c>
      <c r="C165" s="166" t="s">
        <v>19</v>
      </c>
      <c r="D165" s="361" t="s">
        <v>195</v>
      </c>
      <c r="E165" s="362"/>
      <c r="F165" s="363"/>
      <c r="G165" s="13">
        <f>G118</f>
        <v>0.05</v>
      </c>
      <c r="H165" s="12">
        <f>TRUNC((H$163+H$164)*$G165,2)</f>
        <v>119.51</v>
      </c>
      <c r="I165" s="201"/>
      <c r="J165" s="360"/>
      <c r="K165" s="360"/>
      <c r="L165" s="360"/>
      <c r="M165" s="360"/>
      <c r="N165" s="360"/>
    </row>
    <row r="166" spans="2:14" ht="12.75" customHeight="1" x14ac:dyDescent="0.2">
      <c r="B166" s="231" t="s">
        <v>9</v>
      </c>
      <c r="C166" s="166" t="s">
        <v>4</v>
      </c>
      <c r="D166" s="361" t="s">
        <v>196</v>
      </c>
      <c r="E166" s="362"/>
      <c r="F166" s="363"/>
      <c r="G166" s="13">
        <f>G119</f>
        <v>0.1</v>
      </c>
      <c r="H166" s="12">
        <f>TRUNC((H$163+H$164+H$165)*$G166,2)</f>
        <v>250.97</v>
      </c>
      <c r="I166" s="201"/>
      <c r="J166" s="360"/>
      <c r="K166" s="360"/>
      <c r="L166" s="360"/>
      <c r="M166" s="360"/>
      <c r="N166" s="360"/>
    </row>
    <row r="167" spans="2:14" ht="12.75" customHeight="1" x14ac:dyDescent="0.2">
      <c r="B167" s="231" t="s">
        <v>10</v>
      </c>
      <c r="C167" s="166" t="s">
        <v>128</v>
      </c>
      <c r="D167" s="361" t="s">
        <v>205</v>
      </c>
      <c r="E167" s="362"/>
      <c r="F167" s="363"/>
      <c r="G167" s="13">
        <f>G121+G122+G123</f>
        <v>0.14250000000000002</v>
      </c>
      <c r="H167" s="12">
        <f>TRUNC((H$163+H$164+H$165+H$166)/(1-$G167)-(H$163+H$164+H$165+H$166),2)</f>
        <v>458.78</v>
      </c>
      <c r="I167" s="201"/>
      <c r="J167" s="360"/>
      <c r="K167" s="360"/>
      <c r="L167" s="360"/>
      <c r="M167" s="360"/>
      <c r="N167" s="360"/>
    </row>
    <row r="168" spans="2:14" ht="22.5" x14ac:dyDescent="0.2">
      <c r="B168" s="231" t="s">
        <v>11</v>
      </c>
      <c r="C168" s="274" t="s">
        <v>129</v>
      </c>
      <c r="D168" s="364" t="s">
        <v>206</v>
      </c>
      <c r="E168" s="365"/>
      <c r="F168" s="365"/>
      <c r="G168" s="366"/>
      <c r="H168" s="275">
        <f>SUM(H163:H167)</f>
        <v>3219.54</v>
      </c>
      <c r="I168" s="202"/>
    </row>
    <row r="169" spans="2:14" x14ac:dyDescent="0.2">
      <c r="B169" s="272" t="s">
        <v>184</v>
      </c>
      <c r="C169" s="276" t="s">
        <v>154</v>
      </c>
      <c r="D169" s="367" t="s">
        <v>204</v>
      </c>
      <c r="E169" s="368"/>
      <c r="F169" s="368"/>
      <c r="G169" s="369"/>
      <c r="H169" s="277">
        <f>H162-H168</f>
        <v>8947.6994000000013</v>
      </c>
      <c r="I169" s="216"/>
    </row>
    <row r="170" spans="2:14" ht="45" customHeight="1" x14ac:dyDescent="0.2">
      <c r="B170" s="370" t="s">
        <v>153</v>
      </c>
      <c r="C170" s="370"/>
      <c r="D170" s="370"/>
      <c r="E170" s="370"/>
      <c r="F170" s="370"/>
      <c r="G170" s="370"/>
      <c r="H170" s="370"/>
      <c r="I170" s="203"/>
    </row>
  </sheetData>
  <mergeCells count="141">
    <mergeCell ref="D169:G169"/>
    <mergeCell ref="B170:H170"/>
    <mergeCell ref="D164:G164"/>
    <mergeCell ref="D165:F165"/>
    <mergeCell ref="J165:N167"/>
    <mergeCell ref="D166:F166"/>
    <mergeCell ref="D167:F167"/>
    <mergeCell ref="D168:G168"/>
    <mergeCell ref="B145:C145"/>
    <mergeCell ref="B146:C146"/>
    <mergeCell ref="B159:F159"/>
    <mergeCell ref="B161:H161"/>
    <mergeCell ref="D162:G162"/>
    <mergeCell ref="D163:G163"/>
    <mergeCell ref="D137:G137"/>
    <mergeCell ref="B140:C140"/>
    <mergeCell ref="B141:C141"/>
    <mergeCell ref="B142:C142"/>
    <mergeCell ref="B143:C143"/>
    <mergeCell ref="B144:C144"/>
    <mergeCell ref="D131:G131"/>
    <mergeCell ref="D132:G132"/>
    <mergeCell ref="D133:G133"/>
    <mergeCell ref="D134:G134"/>
    <mergeCell ref="D135:G135"/>
    <mergeCell ref="D136:G136"/>
    <mergeCell ref="D123:F123"/>
    <mergeCell ref="D124:G124"/>
    <mergeCell ref="B126:H126"/>
    <mergeCell ref="B128:H128"/>
    <mergeCell ref="C129:G129"/>
    <mergeCell ref="D130:G130"/>
    <mergeCell ref="C117:F117"/>
    <mergeCell ref="D118:F118"/>
    <mergeCell ref="D119:F119"/>
    <mergeCell ref="D120:F120"/>
    <mergeCell ref="D121:F121"/>
    <mergeCell ref="D122:F122"/>
    <mergeCell ref="D102:G102"/>
    <mergeCell ref="D103:G103"/>
    <mergeCell ref="C104:G104"/>
    <mergeCell ref="B107:H107"/>
    <mergeCell ref="C108:G108"/>
    <mergeCell ref="B116:H116"/>
    <mergeCell ref="B95:H95"/>
    <mergeCell ref="C96:F96"/>
    <mergeCell ref="D97:F97"/>
    <mergeCell ref="C98:G98"/>
    <mergeCell ref="B100:H100"/>
    <mergeCell ref="C101:G101"/>
    <mergeCell ref="B88:H88"/>
    <mergeCell ref="C89:F89"/>
    <mergeCell ref="D90:F90"/>
    <mergeCell ref="D91:F91"/>
    <mergeCell ref="D92:G92"/>
    <mergeCell ref="C93:G93"/>
    <mergeCell ref="D80:E80"/>
    <mergeCell ref="D81:F81"/>
    <mergeCell ref="D82:E82"/>
    <mergeCell ref="D83:E83"/>
    <mergeCell ref="C84:G84"/>
    <mergeCell ref="B87:H87"/>
    <mergeCell ref="C73:G73"/>
    <mergeCell ref="B74:H74"/>
    <mergeCell ref="B76:H76"/>
    <mergeCell ref="C77:F77"/>
    <mergeCell ref="D78:F78"/>
    <mergeCell ref="D79:F79"/>
    <mergeCell ref="B67:H67"/>
    <mergeCell ref="B68:H68"/>
    <mergeCell ref="C69:G69"/>
    <mergeCell ref="D70:G70"/>
    <mergeCell ref="D71:G71"/>
    <mergeCell ref="D72:G72"/>
    <mergeCell ref="D61:G61"/>
    <mergeCell ref="D62:G62"/>
    <mergeCell ref="D65:G65"/>
    <mergeCell ref="C66:G66"/>
    <mergeCell ref="D54:F54"/>
    <mergeCell ref="D55:F55"/>
    <mergeCell ref="C56:F56"/>
    <mergeCell ref="B57:H57"/>
    <mergeCell ref="B58:H58"/>
    <mergeCell ref="C59:G59"/>
    <mergeCell ref="J49:J50"/>
    <mergeCell ref="D51:F51"/>
    <mergeCell ref="D52:F52"/>
    <mergeCell ref="D53:F53"/>
    <mergeCell ref="C46:F46"/>
    <mergeCell ref="D47:F47"/>
    <mergeCell ref="D48:F48"/>
    <mergeCell ref="D60:G60"/>
    <mergeCell ref="J60:N60"/>
    <mergeCell ref="B49:B50"/>
    <mergeCell ref="C49:C50"/>
    <mergeCell ref="D49:D50"/>
    <mergeCell ref="C40:F40"/>
    <mergeCell ref="D41:F41"/>
    <mergeCell ref="D42:F42"/>
    <mergeCell ref="C43:F43"/>
    <mergeCell ref="B44:H44"/>
    <mergeCell ref="B45:H45"/>
    <mergeCell ref="G49:G50"/>
    <mergeCell ref="H49:H50"/>
    <mergeCell ref="D31:F31"/>
    <mergeCell ref="C32:F32"/>
    <mergeCell ref="C33:F34"/>
    <mergeCell ref="B37:H37"/>
    <mergeCell ref="B38:H38"/>
    <mergeCell ref="B39:H39"/>
    <mergeCell ref="D26:F26"/>
    <mergeCell ref="D27:F27"/>
    <mergeCell ref="D28:F28"/>
    <mergeCell ref="D29:F29"/>
    <mergeCell ref="D30:F30"/>
    <mergeCell ref="B19:B20"/>
    <mergeCell ref="C19:H19"/>
    <mergeCell ref="C20:H20"/>
    <mergeCell ref="B22:H22"/>
    <mergeCell ref="B24:H24"/>
    <mergeCell ref="C25:F25"/>
    <mergeCell ref="B15:B16"/>
    <mergeCell ref="C15:H15"/>
    <mergeCell ref="C16:H16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</mergeCells>
  <dataValidations count="9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90">
      <formula1>30</formula1>
      <formula2>30</formula2>
    </dataValidation>
    <dataValidation type="list" operator="equal" allowBlank="1" showInputMessage="1" showErrorMessage="1" errorTitle="Valor errado" error="Percentual fixo. Preencher com 40%." sqref="F80 F82">
      <formula1>"40%"</formula1>
    </dataValidation>
    <dataValidation type="custom" allowBlank="1" showInputMessage="1" showErrorMessage="1" sqref="G120">
      <formula1>1-(G121+G122+G123)</formula1>
    </dataValidation>
    <dataValidation type="list" allowBlank="1" showInputMessage="1" showErrorMessage="1" sqref="G83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T170"/>
  <sheetViews>
    <sheetView showGridLines="0" topLeftCell="B91" workbookViewId="0">
      <selection activeCell="G122" sqref="G122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295" t="s">
        <v>68</v>
      </c>
      <c r="C2" s="295"/>
      <c r="D2" s="295"/>
      <c r="E2" s="295"/>
      <c r="F2" s="295"/>
      <c r="G2" s="295"/>
      <c r="H2" s="295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296" t="s">
        <v>321</v>
      </c>
      <c r="C3" s="296"/>
      <c r="D3" s="296"/>
      <c r="E3" s="296"/>
      <c r="F3" s="296"/>
      <c r="G3" s="296"/>
      <c r="H3" s="296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297" t="s">
        <v>155</v>
      </c>
      <c r="C6" s="297"/>
      <c r="D6" s="297"/>
      <c r="E6" s="297"/>
      <c r="F6" s="297"/>
      <c r="G6" s="298" t="s">
        <v>304</v>
      </c>
      <c r="H6" s="29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299" t="s">
        <v>69</v>
      </c>
      <c r="C8" s="299"/>
      <c r="D8" s="299"/>
      <c r="E8" s="299"/>
      <c r="F8" s="299"/>
      <c r="G8" s="299"/>
      <c r="H8" s="299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00">
        <v>1</v>
      </c>
      <c r="C9" s="301" t="s">
        <v>70</v>
      </c>
      <c r="D9" s="301"/>
      <c r="E9" s="301"/>
      <c r="F9" s="301"/>
      <c r="G9" s="301"/>
      <c r="H9" s="301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00"/>
      <c r="C10" s="302"/>
      <c r="D10" s="302"/>
      <c r="E10" s="302"/>
      <c r="F10" s="302"/>
      <c r="G10" s="302"/>
      <c r="H10" s="302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00">
        <v>2</v>
      </c>
      <c r="C11" s="301" t="s">
        <v>72</v>
      </c>
      <c r="D11" s="301"/>
      <c r="E11" s="301"/>
      <c r="F11" s="301"/>
      <c r="G11" s="301"/>
      <c r="H11" s="301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00"/>
      <c r="C12" s="302"/>
      <c r="D12" s="302"/>
      <c r="E12" s="302"/>
      <c r="F12" s="302"/>
      <c r="G12" s="302"/>
      <c r="H12" s="302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00">
        <v>3</v>
      </c>
      <c r="C13" s="301" t="s">
        <v>73</v>
      </c>
      <c r="D13" s="301"/>
      <c r="E13" s="301"/>
      <c r="F13" s="301"/>
      <c r="G13" s="301"/>
      <c r="H13" s="301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00"/>
      <c r="C14" s="302"/>
      <c r="D14" s="302"/>
      <c r="E14" s="302"/>
      <c r="F14" s="302"/>
      <c r="G14" s="302"/>
      <c r="H14" s="302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00">
        <v>4</v>
      </c>
      <c r="C15" s="301" t="s">
        <v>74</v>
      </c>
      <c r="D15" s="301"/>
      <c r="E15" s="301"/>
      <c r="F15" s="301"/>
      <c r="G15" s="301"/>
      <c r="H15" s="301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00"/>
      <c r="C16" s="302"/>
      <c r="D16" s="302"/>
      <c r="E16" s="302"/>
      <c r="F16" s="302"/>
      <c r="G16" s="302"/>
      <c r="H16" s="302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00">
        <v>5</v>
      </c>
      <c r="C17" s="301" t="s">
        <v>75</v>
      </c>
      <c r="D17" s="301"/>
      <c r="E17" s="301"/>
      <c r="F17" s="301"/>
      <c r="G17" s="301"/>
      <c r="H17" s="301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00"/>
      <c r="C18" s="302"/>
      <c r="D18" s="302"/>
      <c r="E18" s="302"/>
      <c r="F18" s="302"/>
      <c r="G18" s="302"/>
      <c r="H18" s="302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00">
        <v>6</v>
      </c>
      <c r="C19" s="301" t="s">
        <v>76</v>
      </c>
      <c r="D19" s="301"/>
      <c r="E19" s="301"/>
      <c r="F19" s="301"/>
      <c r="G19" s="301"/>
      <c r="H19" s="301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00"/>
      <c r="C20" s="302"/>
      <c r="D20" s="302"/>
      <c r="E20" s="302"/>
      <c r="F20" s="302"/>
      <c r="G20" s="302"/>
      <c r="H20" s="302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03" t="s">
        <v>95</v>
      </c>
      <c r="C22" s="303"/>
      <c r="D22" s="303"/>
      <c r="E22" s="303"/>
      <c r="F22" s="303"/>
      <c r="G22" s="303"/>
      <c r="H22" s="30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04" t="s">
        <v>83</v>
      </c>
      <c r="C24" s="304"/>
      <c r="D24" s="304"/>
      <c r="E24" s="304"/>
      <c r="F24" s="304"/>
      <c r="G24" s="304"/>
      <c r="H24" s="30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7" t="s">
        <v>77</v>
      </c>
      <c r="D25" s="305"/>
      <c r="E25" s="305"/>
      <c r="F25" s="288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292" t="s">
        <v>221</v>
      </c>
      <c r="E26" s="293"/>
      <c r="F26" s="294"/>
      <c r="G26" s="21"/>
      <c r="H26" s="82">
        <v>2836.33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292" t="s">
        <v>156</v>
      </c>
      <c r="E27" s="293"/>
      <c r="F27" s="294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292" t="s">
        <v>199</v>
      </c>
      <c r="E28" s="293"/>
      <c r="F28" s="294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292" t="s">
        <v>208</v>
      </c>
      <c r="E29" s="293"/>
      <c r="F29" s="294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8" t="s">
        <v>9</v>
      </c>
      <c r="C30" s="176" t="s">
        <v>130</v>
      </c>
      <c r="D30" s="292" t="s">
        <v>209</v>
      </c>
      <c r="E30" s="293"/>
      <c r="F30" s="294"/>
      <c r="G30" s="261">
        <v>0.5</v>
      </c>
      <c r="H30" s="27">
        <f>TRUNC($G$34*$H34*(1+G$30),2)</f>
        <v>618.72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47" t="s">
        <v>10</v>
      </c>
      <c r="C31" s="176" t="s">
        <v>3</v>
      </c>
      <c r="D31" s="292"/>
      <c r="E31" s="293"/>
      <c r="F31" s="294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47" t="s">
        <v>157</v>
      </c>
      <c r="C32" s="287" t="s">
        <v>78</v>
      </c>
      <c r="D32" s="305"/>
      <c r="E32" s="305"/>
      <c r="F32" s="288"/>
      <c r="G32" s="36"/>
      <c r="H32" s="23">
        <f>SUM(H26:H31)</f>
        <v>3455.05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9"/>
      <c r="C33" s="304" t="s">
        <v>145</v>
      </c>
      <c r="D33" s="304"/>
      <c r="E33" s="304"/>
      <c r="F33" s="304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9"/>
      <c r="C34" s="304"/>
      <c r="D34" s="304"/>
      <c r="E34" s="304"/>
      <c r="F34" s="304"/>
      <c r="G34" s="107">
        <v>32</v>
      </c>
      <c r="H34" s="83">
        <f>IF(G34="",0,TRUNC((H26+H27+H28)/220,2))</f>
        <v>12.89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9"/>
      <c r="C35" s="239"/>
      <c r="D35" s="239"/>
      <c r="E35" s="239"/>
      <c r="F35" s="239"/>
      <c r="G35" s="239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9"/>
      <c r="C36" s="239"/>
      <c r="D36" s="239"/>
      <c r="E36" s="239"/>
      <c r="F36" s="239"/>
      <c r="G36" s="239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04" t="s">
        <v>84</v>
      </c>
      <c r="C37" s="304"/>
      <c r="D37" s="304"/>
      <c r="E37" s="304"/>
      <c r="F37" s="304"/>
      <c r="G37" s="304"/>
      <c r="H37" s="304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21"/>
      <c r="C38" s="322"/>
      <c r="D38" s="322"/>
      <c r="E38" s="322"/>
      <c r="F38" s="322"/>
      <c r="G38" s="322"/>
      <c r="H38" s="323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24" t="s">
        <v>54</v>
      </c>
      <c r="C39" s="324"/>
      <c r="D39" s="324"/>
      <c r="E39" s="324"/>
      <c r="F39" s="324"/>
      <c r="G39" s="324"/>
      <c r="H39" s="324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7" t="s">
        <v>45</v>
      </c>
      <c r="D40" s="305"/>
      <c r="E40" s="305"/>
      <c r="F40" s="288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47" t="s">
        <v>5</v>
      </c>
      <c r="C41" s="175" t="s">
        <v>133</v>
      </c>
      <c r="D41" s="292" t="s">
        <v>158</v>
      </c>
      <c r="E41" s="293"/>
      <c r="F41" s="294"/>
      <c r="G41" s="26">
        <f>1/12</f>
        <v>8.3333333333333329E-2</v>
      </c>
      <c r="H41" s="27">
        <f>TRUNC((H$32*$G41),2)</f>
        <v>287.92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47" t="s">
        <v>6</v>
      </c>
      <c r="C42" s="175" t="s">
        <v>82</v>
      </c>
      <c r="D42" s="292" t="s">
        <v>160</v>
      </c>
      <c r="E42" s="293"/>
      <c r="F42" s="294"/>
      <c r="G42" s="26">
        <f>(1/12)+(1/3/12)</f>
        <v>0.1111111111111111</v>
      </c>
      <c r="H42" s="27">
        <f>TRUNC((H$32*$G42),2)</f>
        <v>383.89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47" t="s">
        <v>159</v>
      </c>
      <c r="C43" s="287" t="s">
        <v>78</v>
      </c>
      <c r="D43" s="305"/>
      <c r="E43" s="305"/>
      <c r="F43" s="288"/>
      <c r="G43" s="28">
        <f>TRUNC(SUM(G41:G42),4)</f>
        <v>0.19439999999999999</v>
      </c>
      <c r="H43" s="23">
        <f>SUM(H41:H42)</f>
        <v>671.81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11"/>
      <c r="C44" s="312"/>
      <c r="D44" s="312"/>
      <c r="E44" s="312"/>
      <c r="F44" s="312"/>
      <c r="G44" s="312"/>
      <c r="H44" s="313"/>
      <c r="I44" s="239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14" t="s">
        <v>85</v>
      </c>
      <c r="C45" s="315"/>
      <c r="D45" s="315"/>
      <c r="E45" s="315"/>
      <c r="F45" s="315"/>
      <c r="G45" s="315"/>
      <c r="H45" s="316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7" t="s">
        <v>86</v>
      </c>
      <c r="D46" s="305"/>
      <c r="E46" s="305"/>
      <c r="F46" s="288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47" t="s">
        <v>5</v>
      </c>
      <c r="C47" s="175" t="s">
        <v>48</v>
      </c>
      <c r="D47" s="292" t="s">
        <v>161</v>
      </c>
      <c r="E47" s="293"/>
      <c r="F47" s="294"/>
      <c r="G47" s="26">
        <v>0.2</v>
      </c>
      <c r="H47" s="27">
        <f>TRUNC((H$32+H$43)*$G47,2)</f>
        <v>825.37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6</v>
      </c>
      <c r="C48" s="160" t="s">
        <v>49</v>
      </c>
      <c r="D48" s="292" t="s">
        <v>162</v>
      </c>
      <c r="E48" s="293"/>
      <c r="F48" s="294"/>
      <c r="G48" s="26">
        <v>2.5000000000000001E-2</v>
      </c>
      <c r="H48" s="27">
        <f>TRUNC((H$32+H$43)*$G48,2)</f>
        <v>103.17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06" t="s">
        <v>7</v>
      </c>
      <c r="C49" s="308" t="s">
        <v>124</v>
      </c>
      <c r="D49" s="310" t="s">
        <v>168</v>
      </c>
      <c r="E49" s="11" t="s">
        <v>125</v>
      </c>
      <c r="F49" s="11" t="s">
        <v>123</v>
      </c>
      <c r="G49" s="317">
        <f>E50*F50</f>
        <v>0.03</v>
      </c>
      <c r="H49" s="319">
        <f>TRUNC((H$32+H$43)*$G49,2)</f>
        <v>123.8</v>
      </c>
      <c r="I49" s="198"/>
      <c r="J49" s="325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07"/>
      <c r="C50" s="309"/>
      <c r="D50" s="310"/>
      <c r="E50" s="84">
        <v>0.03</v>
      </c>
      <c r="F50" s="85">
        <v>1</v>
      </c>
      <c r="G50" s="318"/>
      <c r="H50" s="320"/>
      <c r="I50" s="198"/>
      <c r="J50" s="325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8</v>
      </c>
      <c r="C51" s="175" t="s">
        <v>47</v>
      </c>
      <c r="D51" s="292" t="s">
        <v>163</v>
      </c>
      <c r="E51" s="293"/>
      <c r="F51" s="294"/>
      <c r="G51" s="26">
        <v>1.4999999999999999E-2</v>
      </c>
      <c r="H51" s="27">
        <f>TRUNC((H$32+H$43)*$G51,2)</f>
        <v>61.9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9</v>
      </c>
      <c r="C52" s="175" t="s">
        <v>50</v>
      </c>
      <c r="D52" s="292" t="s">
        <v>164</v>
      </c>
      <c r="E52" s="293"/>
      <c r="F52" s="294"/>
      <c r="G52" s="26">
        <v>0.01</v>
      </c>
      <c r="H52" s="27">
        <f>TRUNC((H$32+H$43)*$G52,2)</f>
        <v>41.26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10</v>
      </c>
      <c r="C53" s="175" t="s">
        <v>51</v>
      </c>
      <c r="D53" s="292" t="s">
        <v>165</v>
      </c>
      <c r="E53" s="293"/>
      <c r="F53" s="294"/>
      <c r="G53" s="26">
        <v>6.0000000000000001E-3</v>
      </c>
      <c r="H53" s="27">
        <f>TRUNC((H$32+H$43)*$G53,2)</f>
        <v>24.76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47" t="s">
        <v>11</v>
      </c>
      <c r="C54" s="175" t="s">
        <v>52</v>
      </c>
      <c r="D54" s="292" t="s">
        <v>166</v>
      </c>
      <c r="E54" s="293"/>
      <c r="F54" s="294"/>
      <c r="G54" s="26">
        <v>2E-3</v>
      </c>
      <c r="H54" s="27">
        <f>TRUNC((H$32+H$43)*$G54,2)</f>
        <v>8.25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47" t="s">
        <v>12</v>
      </c>
      <c r="C55" s="175" t="s">
        <v>53</v>
      </c>
      <c r="D55" s="292" t="s">
        <v>167</v>
      </c>
      <c r="E55" s="293"/>
      <c r="F55" s="294"/>
      <c r="G55" s="26">
        <v>0.08</v>
      </c>
      <c r="H55" s="27">
        <f>TRUNC((H$32+H$43)*$G55,2)</f>
        <v>330.14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47" t="s">
        <v>169</v>
      </c>
      <c r="C56" s="287" t="s">
        <v>78</v>
      </c>
      <c r="D56" s="305"/>
      <c r="E56" s="305"/>
      <c r="F56" s="288"/>
      <c r="G56" s="29">
        <f>SUM(G47:G55)</f>
        <v>0.36800000000000005</v>
      </c>
      <c r="H56" s="30">
        <f>SUM(H47:H55)</f>
        <v>1518.65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27"/>
      <c r="C57" s="328"/>
      <c r="D57" s="328"/>
      <c r="E57" s="328"/>
      <c r="F57" s="328"/>
      <c r="G57" s="328"/>
      <c r="H57" s="329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14" t="s">
        <v>55</v>
      </c>
      <c r="C58" s="315"/>
      <c r="D58" s="315"/>
      <c r="E58" s="315"/>
      <c r="F58" s="315"/>
      <c r="G58" s="315"/>
      <c r="H58" s="316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7" t="s">
        <v>59</v>
      </c>
      <c r="D59" s="305"/>
      <c r="E59" s="305"/>
      <c r="F59" s="305"/>
      <c r="G59" s="288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47" t="s">
        <v>5</v>
      </c>
      <c r="C60" s="175" t="s">
        <v>65</v>
      </c>
      <c r="D60" s="292" t="s">
        <v>172</v>
      </c>
      <c r="E60" s="293"/>
      <c r="F60" s="293"/>
      <c r="G60" s="294"/>
      <c r="H60" s="86">
        <f>(8.55*2*22)-(H26*6%)</f>
        <v>206.02020000000005</v>
      </c>
      <c r="I60" s="212"/>
      <c r="J60" s="326"/>
      <c r="K60" s="326"/>
      <c r="L60" s="326"/>
      <c r="M60" s="326"/>
      <c r="N60" s="326"/>
      <c r="O60" s="121"/>
      <c r="P60" s="121"/>
      <c r="Q60" s="121"/>
      <c r="R60" s="121"/>
    </row>
    <row r="61" spans="2:18" ht="12.75" customHeight="1" x14ac:dyDescent="0.2">
      <c r="B61" s="247" t="s">
        <v>6</v>
      </c>
      <c r="C61" s="175" t="s">
        <v>66</v>
      </c>
      <c r="D61" s="292" t="s">
        <v>173</v>
      </c>
      <c r="E61" s="293"/>
      <c r="F61" s="293"/>
      <c r="G61" s="294"/>
      <c r="H61" s="86">
        <f>16.5*22</f>
        <v>363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47" t="s">
        <v>7</v>
      </c>
      <c r="C62" s="175" t="s">
        <v>228</v>
      </c>
      <c r="D62" s="292" t="s">
        <v>229</v>
      </c>
      <c r="E62" s="293"/>
      <c r="F62" s="293"/>
      <c r="G62" s="294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8</v>
      </c>
      <c r="C63" s="175" t="s">
        <v>223</v>
      </c>
      <c r="D63" s="243"/>
      <c r="E63" s="244"/>
      <c r="F63" s="244"/>
      <c r="G63" s="24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281" t="s">
        <v>9</v>
      </c>
      <c r="C64" s="175" t="s">
        <v>322</v>
      </c>
      <c r="D64" s="278"/>
      <c r="E64" s="279"/>
      <c r="F64" s="279"/>
      <c r="G64" s="280"/>
      <c r="H64" s="86">
        <v>35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s="142" customFormat="1" x14ac:dyDescent="0.2">
      <c r="B65" s="247" t="s">
        <v>10</v>
      </c>
      <c r="C65" s="175" t="s">
        <v>3</v>
      </c>
      <c r="D65" s="292"/>
      <c r="E65" s="293"/>
      <c r="F65" s="293"/>
      <c r="G65" s="294"/>
      <c r="H65" s="86">
        <v>0</v>
      </c>
      <c r="I65" s="212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247" t="s">
        <v>170</v>
      </c>
      <c r="C66" s="287" t="s">
        <v>78</v>
      </c>
      <c r="D66" s="305"/>
      <c r="E66" s="305"/>
      <c r="F66" s="305"/>
      <c r="G66" s="288"/>
      <c r="H66" s="30">
        <f>SUM(H60:H65)</f>
        <v>675.02020000000005</v>
      </c>
      <c r="I66" s="24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11"/>
      <c r="C67" s="312"/>
      <c r="D67" s="312"/>
      <c r="E67" s="312"/>
      <c r="F67" s="312"/>
      <c r="G67" s="312"/>
      <c r="H67" s="313"/>
      <c r="I67" s="239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330" t="s">
        <v>88</v>
      </c>
      <c r="C68" s="330"/>
      <c r="D68" s="330"/>
      <c r="E68" s="330"/>
      <c r="F68" s="330"/>
      <c r="G68" s="330"/>
      <c r="H68" s="330"/>
      <c r="I68" s="239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7">
        <v>2</v>
      </c>
      <c r="C69" s="287" t="s">
        <v>87</v>
      </c>
      <c r="D69" s="305"/>
      <c r="E69" s="305"/>
      <c r="F69" s="305"/>
      <c r="G69" s="288"/>
      <c r="H69" s="177" t="s">
        <v>67</v>
      </c>
      <c r="I69" s="208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56</v>
      </c>
      <c r="C70" s="163" t="s">
        <v>45</v>
      </c>
      <c r="D70" s="292" t="s">
        <v>159</v>
      </c>
      <c r="E70" s="293"/>
      <c r="F70" s="293"/>
      <c r="G70" s="294"/>
      <c r="H70" s="27">
        <f>H43</f>
        <v>671.81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47" t="s">
        <v>57</v>
      </c>
      <c r="C71" s="163" t="s">
        <v>46</v>
      </c>
      <c r="D71" s="292" t="s">
        <v>169</v>
      </c>
      <c r="E71" s="293"/>
      <c r="F71" s="293"/>
      <c r="G71" s="294"/>
      <c r="H71" s="27">
        <f>H56</f>
        <v>1518.65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47" t="s">
        <v>58</v>
      </c>
      <c r="C72" s="163" t="s">
        <v>59</v>
      </c>
      <c r="D72" s="292" t="s">
        <v>170</v>
      </c>
      <c r="E72" s="293"/>
      <c r="F72" s="293"/>
      <c r="G72" s="294"/>
      <c r="H72" s="27">
        <f>H66</f>
        <v>675.02020000000005</v>
      </c>
      <c r="I72" s="195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247" t="s">
        <v>171</v>
      </c>
      <c r="C73" s="287" t="s">
        <v>78</v>
      </c>
      <c r="D73" s="305"/>
      <c r="E73" s="305"/>
      <c r="F73" s="305"/>
      <c r="G73" s="288"/>
      <c r="H73" s="23">
        <f>SUM(H70:H72)</f>
        <v>2865.4802</v>
      </c>
      <c r="I73" s="24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312"/>
      <c r="C74" s="312"/>
      <c r="D74" s="312"/>
      <c r="E74" s="312"/>
      <c r="F74" s="312"/>
      <c r="G74" s="312"/>
      <c r="H74" s="312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39"/>
      <c r="C75" s="239"/>
      <c r="D75" s="239"/>
      <c r="E75" s="239"/>
      <c r="F75" s="239"/>
      <c r="G75" s="239"/>
      <c r="H75" s="239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304" t="s">
        <v>89</v>
      </c>
      <c r="C76" s="304"/>
      <c r="D76" s="304"/>
      <c r="E76" s="304"/>
      <c r="F76" s="304"/>
      <c r="G76" s="304"/>
      <c r="H76" s="304"/>
      <c r="I76" s="208"/>
      <c r="J76" s="137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7">
        <v>3</v>
      </c>
      <c r="C77" s="287" t="s">
        <v>79</v>
      </c>
      <c r="D77" s="305"/>
      <c r="E77" s="305"/>
      <c r="F77" s="288"/>
      <c r="G77" s="177" t="s">
        <v>2</v>
      </c>
      <c r="H77" s="177" t="s">
        <v>67</v>
      </c>
      <c r="I77" s="208"/>
      <c r="J77" s="143"/>
      <c r="K77" s="119"/>
      <c r="L77" s="119"/>
      <c r="M77" s="120"/>
      <c r="N77" s="121"/>
      <c r="O77" s="121"/>
      <c r="P77" s="121"/>
      <c r="Q77" s="121"/>
      <c r="R77" s="121"/>
    </row>
    <row r="78" spans="2:18" x14ac:dyDescent="0.2">
      <c r="B78" s="247" t="s">
        <v>5</v>
      </c>
      <c r="C78" s="164" t="s">
        <v>118</v>
      </c>
      <c r="D78" s="292" t="s">
        <v>188</v>
      </c>
      <c r="E78" s="293"/>
      <c r="F78" s="294"/>
      <c r="G78" s="87">
        <v>0.3</v>
      </c>
      <c r="H78" s="31">
        <f>TRUNC((H$79+H$80)*$G78,2)</f>
        <v>162.76</v>
      </c>
      <c r="I78" s="24"/>
      <c r="J78" s="140"/>
      <c r="K78" s="119"/>
      <c r="L78" s="119"/>
      <c r="M78" s="120"/>
      <c r="N78" s="121"/>
      <c r="O78" s="144"/>
      <c r="P78" s="121"/>
      <c r="Q78" s="121"/>
      <c r="R78" s="121"/>
    </row>
    <row r="79" spans="2:18" x14ac:dyDescent="0.2">
      <c r="B79" s="247" t="s">
        <v>6</v>
      </c>
      <c r="C79" s="175" t="s">
        <v>119</v>
      </c>
      <c r="D79" s="292" t="s">
        <v>210</v>
      </c>
      <c r="E79" s="293"/>
      <c r="F79" s="294"/>
      <c r="G79" s="32"/>
      <c r="H79" s="27">
        <f>TRUNC((H$32+H$43+H$55+H$66-H60)/12,2)</f>
        <v>410.5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47" t="s">
        <v>7</v>
      </c>
      <c r="C80" s="175" t="s">
        <v>120</v>
      </c>
      <c r="D80" s="292" t="s">
        <v>200</v>
      </c>
      <c r="E80" s="294"/>
      <c r="F80" s="89">
        <v>0.4</v>
      </c>
      <c r="G80" s="32"/>
      <c r="H80" s="27">
        <f>TRUNC(H$55*$F80,2)</f>
        <v>132.05000000000001</v>
      </c>
      <c r="I80" s="195"/>
      <c r="J80" s="137"/>
      <c r="K80" s="119"/>
      <c r="L80" s="119"/>
      <c r="M80" s="120"/>
      <c r="N80" s="121"/>
      <c r="O80" s="145"/>
      <c r="P80" s="121"/>
      <c r="Q80" s="121"/>
      <c r="R80" s="121"/>
    </row>
    <row r="81" spans="2:18" x14ac:dyDescent="0.2">
      <c r="B81" s="247" t="s">
        <v>8</v>
      </c>
      <c r="C81" s="164" t="s">
        <v>121</v>
      </c>
      <c r="D81" s="292" t="s">
        <v>189</v>
      </c>
      <c r="E81" s="293"/>
      <c r="F81" s="294"/>
      <c r="G81" s="87">
        <v>1</v>
      </c>
      <c r="H81" s="168">
        <f>IF($G81&gt;=1,(TRUNC(H$82*$G81,2)),"ERRO")</f>
        <v>132.05000000000001</v>
      </c>
      <c r="I81" s="197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47" t="s">
        <v>9</v>
      </c>
      <c r="C82" s="175" t="s">
        <v>122</v>
      </c>
      <c r="D82" s="292" t="s">
        <v>200</v>
      </c>
      <c r="E82" s="294"/>
      <c r="F82" s="89">
        <v>0.4</v>
      </c>
      <c r="G82" s="32"/>
      <c r="H82" s="27">
        <f>TRUNC(H$55*$F82,2)</f>
        <v>132.05000000000001</v>
      </c>
      <c r="I82" s="195"/>
      <c r="J82" s="137"/>
      <c r="K82" s="119"/>
      <c r="L82" s="119"/>
      <c r="M82" s="120"/>
      <c r="N82" s="121"/>
      <c r="O82" s="141"/>
      <c r="P82" s="121"/>
      <c r="Q82" s="121"/>
      <c r="R82" s="121"/>
    </row>
    <row r="83" spans="2:18" x14ac:dyDescent="0.2">
      <c r="B83" s="247" t="s">
        <v>10</v>
      </c>
      <c r="C83" s="164" t="s">
        <v>207</v>
      </c>
      <c r="D83" s="337" t="s">
        <v>201</v>
      </c>
      <c r="E83" s="338"/>
      <c r="F83" s="88">
        <v>12</v>
      </c>
      <c r="G83" s="88">
        <v>3</v>
      </c>
      <c r="H83" s="27">
        <f>TRUNC(((H$32+H$43+H$56)/30)*$G83/$F83,2)</f>
        <v>47.04</v>
      </c>
      <c r="I83" s="195"/>
      <c r="J83" s="190"/>
      <c r="K83" s="120"/>
      <c r="L83" s="120"/>
      <c r="M83" s="120"/>
      <c r="N83" s="121"/>
      <c r="O83" s="141"/>
      <c r="P83" s="121"/>
      <c r="Q83" s="121"/>
      <c r="R83" s="121"/>
    </row>
    <row r="84" spans="2:18" x14ac:dyDescent="0.2">
      <c r="B84" s="247" t="s">
        <v>175</v>
      </c>
      <c r="C84" s="287" t="s">
        <v>78</v>
      </c>
      <c r="D84" s="305"/>
      <c r="E84" s="305"/>
      <c r="F84" s="305"/>
      <c r="G84" s="288"/>
      <c r="H84" s="23">
        <f>H$78+H$81+H$83</f>
        <v>341.85</v>
      </c>
      <c r="I84" s="24"/>
      <c r="J84" s="121"/>
      <c r="K84" s="121"/>
      <c r="L84" s="121"/>
      <c r="M84" s="120"/>
      <c r="N84" s="121"/>
      <c r="O84" s="121"/>
      <c r="P84" s="121"/>
      <c r="Q84" s="121"/>
      <c r="R84" s="121"/>
    </row>
    <row r="85" spans="2:18" x14ac:dyDescent="0.2">
      <c r="B85" s="185"/>
      <c r="C85" s="185"/>
      <c r="D85" s="185"/>
      <c r="E85" s="185"/>
      <c r="F85" s="185"/>
      <c r="G85" s="185"/>
      <c r="H85" s="185"/>
      <c r="I85" s="185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239"/>
      <c r="C86" s="239"/>
      <c r="D86" s="239"/>
      <c r="E86" s="239"/>
      <c r="F86" s="239"/>
      <c r="G86" s="239"/>
      <c r="H86" s="239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04" t="s">
        <v>90</v>
      </c>
      <c r="C87" s="304"/>
      <c r="D87" s="304"/>
      <c r="E87" s="304"/>
      <c r="F87" s="304"/>
      <c r="G87" s="304"/>
      <c r="H87" s="304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331" t="s">
        <v>110</v>
      </c>
      <c r="C88" s="332"/>
      <c r="D88" s="332"/>
      <c r="E88" s="332"/>
      <c r="F88" s="332"/>
      <c r="G88" s="332"/>
      <c r="H88" s="333"/>
      <c r="I88" s="208"/>
      <c r="J88" s="137"/>
      <c r="K88" s="119"/>
      <c r="L88" s="119"/>
      <c r="M88" s="120"/>
      <c r="N88" s="121"/>
      <c r="O88" s="121"/>
      <c r="P88" s="121"/>
      <c r="Q88" s="121"/>
      <c r="R88" s="121"/>
    </row>
    <row r="89" spans="2:18" x14ac:dyDescent="0.2">
      <c r="B89" s="177" t="s">
        <v>17</v>
      </c>
      <c r="C89" s="287" t="s">
        <v>111</v>
      </c>
      <c r="D89" s="305"/>
      <c r="E89" s="305"/>
      <c r="F89" s="288"/>
      <c r="G89" s="177" t="s">
        <v>126</v>
      </c>
      <c r="H89" s="177" t="s">
        <v>67</v>
      </c>
      <c r="I89" s="208"/>
      <c r="J89" s="119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47" t="s">
        <v>5</v>
      </c>
      <c r="C90" s="175" t="s">
        <v>132</v>
      </c>
      <c r="D90" s="292" t="s">
        <v>181</v>
      </c>
      <c r="E90" s="293"/>
      <c r="F90" s="294"/>
      <c r="G90" s="88">
        <v>30</v>
      </c>
      <c r="H90" s="27">
        <f>TRUNC((H$92*$G90)/12,2)</f>
        <v>555.16999999999996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ht="22.5" x14ac:dyDescent="0.2">
      <c r="B91" s="247" t="s">
        <v>6</v>
      </c>
      <c r="C91" s="165" t="s">
        <v>187</v>
      </c>
      <c r="D91" s="334" t="s">
        <v>190</v>
      </c>
      <c r="E91" s="335"/>
      <c r="F91" s="336"/>
      <c r="G91" s="114">
        <v>8</v>
      </c>
      <c r="H91" s="27">
        <f>TRUNC((H$92*$G91)/12,2)</f>
        <v>148.04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47" t="s">
        <v>7</v>
      </c>
      <c r="C92" s="175" t="s">
        <v>134</v>
      </c>
      <c r="D92" s="292" t="s">
        <v>174</v>
      </c>
      <c r="E92" s="293"/>
      <c r="F92" s="293"/>
      <c r="G92" s="294"/>
      <c r="H92" s="27">
        <f>TRUNC((H$32+H$73+H$84)/30,2)</f>
        <v>222.07</v>
      </c>
      <c r="I92" s="195"/>
      <c r="J92" s="140"/>
      <c r="K92" s="119"/>
      <c r="L92" s="119"/>
      <c r="M92" s="120"/>
      <c r="N92" s="146"/>
      <c r="O92" s="121"/>
      <c r="P92" s="121"/>
      <c r="Q92" s="121"/>
      <c r="R92" s="121"/>
    </row>
    <row r="93" spans="2:18" x14ac:dyDescent="0.2">
      <c r="B93" s="247" t="s">
        <v>176</v>
      </c>
      <c r="C93" s="287" t="s">
        <v>78</v>
      </c>
      <c r="D93" s="305"/>
      <c r="E93" s="305"/>
      <c r="F93" s="305"/>
      <c r="G93" s="288"/>
      <c r="H93" s="23">
        <f>TRUNC(H$90+H$91,2)</f>
        <v>703.21</v>
      </c>
      <c r="I93" s="24"/>
      <c r="J93" s="140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147"/>
      <c r="C94" s="148"/>
      <c r="D94" s="148"/>
      <c r="E94" s="148"/>
      <c r="F94" s="148"/>
      <c r="G94" s="148"/>
      <c r="H94" s="149"/>
      <c r="I94" s="33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342" t="s">
        <v>112</v>
      </c>
      <c r="C95" s="343"/>
      <c r="D95" s="343"/>
      <c r="E95" s="343"/>
      <c r="F95" s="343"/>
      <c r="G95" s="343"/>
      <c r="H95" s="344"/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177" t="s">
        <v>18</v>
      </c>
      <c r="C96" s="287" t="s">
        <v>113</v>
      </c>
      <c r="D96" s="305"/>
      <c r="E96" s="305"/>
      <c r="F96" s="288"/>
      <c r="G96" s="177" t="s">
        <v>126</v>
      </c>
      <c r="H96" s="177" t="s">
        <v>67</v>
      </c>
      <c r="I96" s="208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ht="22.5" x14ac:dyDescent="0.2">
      <c r="B97" s="247" t="s">
        <v>5</v>
      </c>
      <c r="C97" s="165" t="s">
        <v>114</v>
      </c>
      <c r="D97" s="292" t="s">
        <v>212</v>
      </c>
      <c r="E97" s="293"/>
      <c r="F97" s="294"/>
      <c r="G97" s="88"/>
      <c r="H97" s="27">
        <f>TRUNC(((H$32+H73+H84)/220)*(1+50%)*G97,2)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47" t="s">
        <v>177</v>
      </c>
      <c r="C98" s="287" t="s">
        <v>78</v>
      </c>
      <c r="D98" s="305"/>
      <c r="E98" s="305"/>
      <c r="F98" s="305"/>
      <c r="G98" s="288"/>
      <c r="H98" s="23">
        <f>H97</f>
        <v>0</v>
      </c>
      <c r="I98" s="195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249"/>
      <c r="C99" s="250"/>
      <c r="D99" s="250"/>
      <c r="E99" s="250"/>
      <c r="F99" s="250"/>
      <c r="G99" s="250"/>
      <c r="H99" s="251"/>
      <c r="I99" s="217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342" t="s">
        <v>91</v>
      </c>
      <c r="C100" s="343"/>
      <c r="D100" s="343"/>
      <c r="E100" s="343"/>
      <c r="F100" s="343"/>
      <c r="G100" s="343"/>
      <c r="H100" s="344"/>
      <c r="I100" s="208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177">
        <v>4</v>
      </c>
      <c r="C101" s="287" t="s">
        <v>92</v>
      </c>
      <c r="D101" s="305"/>
      <c r="E101" s="305"/>
      <c r="F101" s="305"/>
      <c r="G101" s="288"/>
      <c r="H101" s="177" t="s">
        <v>67</v>
      </c>
      <c r="I101" s="208"/>
      <c r="J101" s="137"/>
      <c r="K101" s="119"/>
      <c r="L101" s="119"/>
      <c r="M101" s="120"/>
      <c r="N101" s="150"/>
      <c r="O101" s="121"/>
      <c r="P101" s="121"/>
      <c r="Q101" s="121"/>
      <c r="R101" s="121"/>
    </row>
    <row r="102" spans="2:18" x14ac:dyDescent="0.2">
      <c r="B102" s="247" t="s">
        <v>17</v>
      </c>
      <c r="C102" s="175" t="s">
        <v>60</v>
      </c>
      <c r="D102" s="292" t="s">
        <v>176</v>
      </c>
      <c r="E102" s="293"/>
      <c r="F102" s="293"/>
      <c r="G102" s="294"/>
      <c r="H102" s="27">
        <f>H93</f>
        <v>703.21</v>
      </c>
      <c r="I102" s="195"/>
      <c r="J102" s="137"/>
      <c r="K102" s="137"/>
      <c r="L102" s="137"/>
      <c r="M102" s="137"/>
      <c r="N102" s="121"/>
      <c r="O102" s="121"/>
      <c r="P102" s="121"/>
      <c r="Q102" s="121"/>
      <c r="R102" s="121"/>
    </row>
    <row r="103" spans="2:18" x14ac:dyDescent="0.2">
      <c r="B103" s="247" t="s">
        <v>18</v>
      </c>
      <c r="C103" s="175" t="s">
        <v>62</v>
      </c>
      <c r="D103" s="292" t="s">
        <v>177</v>
      </c>
      <c r="E103" s="293"/>
      <c r="F103" s="293"/>
      <c r="G103" s="294"/>
      <c r="H103" s="27">
        <f>H98</f>
        <v>0</v>
      </c>
      <c r="I103" s="195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47" t="s">
        <v>178</v>
      </c>
      <c r="C104" s="287" t="s">
        <v>78</v>
      </c>
      <c r="D104" s="305"/>
      <c r="E104" s="305"/>
      <c r="F104" s="305"/>
      <c r="G104" s="288"/>
      <c r="H104" s="23">
        <f>SUM(H102:H103)</f>
        <v>703.21</v>
      </c>
      <c r="I104" s="24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9"/>
      <c r="C105" s="239"/>
      <c r="D105" s="239"/>
      <c r="E105" s="239"/>
      <c r="F105" s="239"/>
      <c r="G105" s="239"/>
      <c r="H105" s="239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39"/>
      <c r="C106" s="239"/>
      <c r="D106" s="239"/>
      <c r="E106" s="239"/>
      <c r="F106" s="239"/>
      <c r="G106" s="239"/>
      <c r="H106" s="239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304" t="s">
        <v>93</v>
      </c>
      <c r="C107" s="304"/>
      <c r="D107" s="304"/>
      <c r="E107" s="304"/>
      <c r="F107" s="304"/>
      <c r="G107" s="304"/>
      <c r="H107" s="304"/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7">
        <v>5</v>
      </c>
      <c r="C108" s="339" t="s">
        <v>80</v>
      </c>
      <c r="D108" s="340"/>
      <c r="E108" s="340"/>
      <c r="F108" s="340"/>
      <c r="G108" s="341"/>
      <c r="H108" s="177" t="s">
        <v>67</v>
      </c>
      <c r="I108" s="208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5</v>
      </c>
      <c r="C109" s="126" t="s">
        <v>63</v>
      </c>
      <c r="D109" s="127"/>
      <c r="E109" s="127"/>
      <c r="F109" s="127"/>
      <c r="G109" s="128"/>
      <c r="H109" s="129">
        <f>Insumos!G11</f>
        <v>105.67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6</v>
      </c>
      <c r="C110" s="126" t="s">
        <v>236</v>
      </c>
      <c r="D110" s="127"/>
      <c r="E110" s="127"/>
      <c r="F110" s="127"/>
      <c r="G110" s="128"/>
      <c r="H110" s="129">
        <f>Insumos!G24</f>
        <v>27.6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47" t="s">
        <v>7</v>
      </c>
      <c r="C111" s="126" t="s">
        <v>14</v>
      </c>
      <c r="D111" s="127"/>
      <c r="E111" s="127"/>
      <c r="F111" s="127"/>
      <c r="G111" s="128"/>
      <c r="H111" s="129">
        <f>Insumos!H94</f>
        <v>61.579999999999991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47" t="s">
        <v>8</v>
      </c>
      <c r="C112" s="126" t="s">
        <v>225</v>
      </c>
      <c r="D112" s="127"/>
      <c r="E112" s="127"/>
      <c r="F112" s="127"/>
      <c r="G112" s="128"/>
      <c r="H112" s="129">
        <f>Insumos!H39</f>
        <v>3.8</v>
      </c>
      <c r="I112" s="195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47" t="s">
        <v>179</v>
      </c>
      <c r="C113" s="161" t="s">
        <v>78</v>
      </c>
      <c r="D113" s="161"/>
      <c r="E113" s="161"/>
      <c r="F113" s="161"/>
      <c r="G113" s="162"/>
      <c r="H113" s="23">
        <f>SUM(H109:H112)</f>
        <v>198.65</v>
      </c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9"/>
      <c r="C114" s="239"/>
      <c r="D114" s="239"/>
      <c r="E114" s="239"/>
      <c r="F114" s="239"/>
      <c r="G114" s="151"/>
      <c r="H114" s="136"/>
      <c r="I114" s="24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39"/>
      <c r="C115" s="239"/>
      <c r="D115" s="239"/>
      <c r="E115" s="239"/>
      <c r="F115" s="239"/>
      <c r="G115" s="239"/>
      <c r="H115" s="239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304" t="s">
        <v>94</v>
      </c>
      <c r="C116" s="304"/>
      <c r="D116" s="304"/>
      <c r="E116" s="304"/>
      <c r="F116" s="304"/>
      <c r="G116" s="304"/>
      <c r="H116" s="304"/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7">
        <v>6</v>
      </c>
      <c r="C117" s="287" t="s">
        <v>81</v>
      </c>
      <c r="D117" s="305"/>
      <c r="E117" s="305"/>
      <c r="F117" s="288"/>
      <c r="G117" s="177" t="s">
        <v>2</v>
      </c>
      <c r="H117" s="177" t="s">
        <v>67</v>
      </c>
      <c r="I117" s="20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5</v>
      </c>
      <c r="C118" s="175" t="s">
        <v>19</v>
      </c>
      <c r="D118" s="292" t="s">
        <v>191</v>
      </c>
      <c r="E118" s="293"/>
      <c r="F118" s="294"/>
      <c r="G118" s="103">
        <v>0.05</v>
      </c>
      <c r="H118" s="27">
        <f>TRUNC(H$135*$G118,2)</f>
        <v>378.21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6</v>
      </c>
      <c r="C119" s="175" t="s">
        <v>4</v>
      </c>
      <c r="D119" s="292" t="s">
        <v>192</v>
      </c>
      <c r="E119" s="293"/>
      <c r="F119" s="294"/>
      <c r="G119" s="103">
        <v>0.1</v>
      </c>
      <c r="H119" s="27">
        <f>TRUNC((H$135+H$118)*$G119,2)</f>
        <v>794.24</v>
      </c>
      <c r="I119" s="195"/>
      <c r="J119" s="119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7</v>
      </c>
      <c r="C120" s="175" t="s">
        <v>143</v>
      </c>
      <c r="D120" s="292" t="s">
        <v>193</v>
      </c>
      <c r="E120" s="293"/>
      <c r="F120" s="294"/>
      <c r="G120" s="105">
        <f>1-(G121+G122+G123)</f>
        <v>0.85749999999999993</v>
      </c>
      <c r="H120" s="34">
        <f>TRUNC(((H$135+H$118+H$119)/$G120),2)</f>
        <v>10188.56</v>
      </c>
      <c r="I120" s="198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40</v>
      </c>
      <c r="C121" s="175" t="s">
        <v>37</v>
      </c>
      <c r="D121" s="292" t="s">
        <v>194</v>
      </c>
      <c r="E121" s="293"/>
      <c r="F121" s="294"/>
      <c r="G121" s="104">
        <v>1.6500000000000001E-2</v>
      </c>
      <c r="H121" s="27">
        <f>TRUNC(H$120*$G121,2)</f>
        <v>168.11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47" t="s">
        <v>41</v>
      </c>
      <c r="C122" s="175" t="s">
        <v>38</v>
      </c>
      <c r="D122" s="292" t="s">
        <v>194</v>
      </c>
      <c r="E122" s="293"/>
      <c r="F122" s="294"/>
      <c r="G122" s="104">
        <v>7.5999999999999998E-2</v>
      </c>
      <c r="H122" s="27">
        <f>TRUNC(H$120*$G122,2)</f>
        <v>774.33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47" t="s">
        <v>42</v>
      </c>
      <c r="C123" s="175" t="s">
        <v>39</v>
      </c>
      <c r="D123" s="292" t="s">
        <v>194</v>
      </c>
      <c r="E123" s="293"/>
      <c r="F123" s="294"/>
      <c r="G123" s="104">
        <v>0.05</v>
      </c>
      <c r="H123" s="27">
        <f>TRUNC(H$120*$G123,2)</f>
        <v>509.42</v>
      </c>
      <c r="I123" s="195"/>
      <c r="J123" s="137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47" t="s">
        <v>180</v>
      </c>
      <c r="C124" s="242" t="s">
        <v>78</v>
      </c>
      <c r="D124" s="345" t="s">
        <v>182</v>
      </c>
      <c r="E124" s="345"/>
      <c r="F124" s="345"/>
      <c r="G124" s="346"/>
      <c r="H124" s="23">
        <f>SUM(H118:H123)-H120</f>
        <v>2624.3100000000013</v>
      </c>
      <c r="I124" s="24"/>
      <c r="J124" s="140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124"/>
      <c r="C125" s="124"/>
      <c r="D125" s="124"/>
      <c r="E125" s="124"/>
      <c r="F125" s="124"/>
      <c r="G125" s="124"/>
      <c r="H125" s="152"/>
      <c r="I125" s="35"/>
      <c r="J125" s="119"/>
      <c r="K125" s="119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303" t="s">
        <v>319</v>
      </c>
      <c r="C126" s="303"/>
      <c r="D126" s="303"/>
      <c r="E126" s="303"/>
      <c r="F126" s="303"/>
      <c r="G126" s="303"/>
      <c r="H126" s="303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41"/>
      <c r="C127" s="241"/>
      <c r="D127" s="241"/>
      <c r="E127" s="241"/>
      <c r="F127" s="241"/>
      <c r="G127" s="241"/>
      <c r="H127" s="241"/>
      <c r="I127" s="209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x14ac:dyDescent="0.2">
      <c r="B128" s="304" t="s">
        <v>116</v>
      </c>
      <c r="C128" s="304"/>
      <c r="D128" s="304"/>
      <c r="E128" s="304"/>
      <c r="F128" s="304"/>
      <c r="G128" s="304"/>
      <c r="H128" s="304"/>
      <c r="I128" s="208"/>
      <c r="J128" s="119"/>
      <c r="K128" s="153"/>
      <c r="L128" s="119"/>
      <c r="M128" s="120"/>
      <c r="N128" s="121"/>
      <c r="O128" s="121"/>
      <c r="P128" s="121"/>
      <c r="Q128" s="121"/>
      <c r="R128" s="121"/>
    </row>
    <row r="129" spans="2:18" ht="12.75" customHeight="1" x14ac:dyDescent="0.2">
      <c r="B129" s="36"/>
      <c r="C129" s="347" t="s">
        <v>144</v>
      </c>
      <c r="D129" s="348"/>
      <c r="E129" s="348"/>
      <c r="F129" s="348"/>
      <c r="G129" s="349"/>
      <c r="H129" s="177" t="s">
        <v>67</v>
      </c>
      <c r="I129" s="208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x14ac:dyDescent="0.2">
      <c r="B130" s="247" t="s">
        <v>5</v>
      </c>
      <c r="C130" s="165" t="s">
        <v>97</v>
      </c>
      <c r="D130" s="292" t="s">
        <v>157</v>
      </c>
      <c r="E130" s="293"/>
      <c r="F130" s="293"/>
      <c r="G130" s="294"/>
      <c r="H130" s="27">
        <f>H32</f>
        <v>3455.05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ht="22.5" x14ac:dyDescent="0.2">
      <c r="B131" s="247" t="s">
        <v>6</v>
      </c>
      <c r="C131" s="165" t="s">
        <v>98</v>
      </c>
      <c r="D131" s="292" t="s">
        <v>171</v>
      </c>
      <c r="E131" s="293"/>
      <c r="F131" s="293"/>
      <c r="G131" s="294"/>
      <c r="H131" s="27">
        <f>H73</f>
        <v>2865.4802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7" t="s">
        <v>7</v>
      </c>
      <c r="C132" s="165" t="s">
        <v>99</v>
      </c>
      <c r="D132" s="292" t="s">
        <v>175</v>
      </c>
      <c r="E132" s="293"/>
      <c r="F132" s="293"/>
      <c r="G132" s="294"/>
      <c r="H132" s="27">
        <f>H84</f>
        <v>341.85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ht="22.5" x14ac:dyDescent="0.2">
      <c r="B133" s="247" t="s">
        <v>8</v>
      </c>
      <c r="C133" s="165" t="s">
        <v>61</v>
      </c>
      <c r="D133" s="292" t="s">
        <v>178</v>
      </c>
      <c r="E133" s="293"/>
      <c r="F133" s="293"/>
      <c r="G133" s="294"/>
      <c r="H133" s="27">
        <f>H104</f>
        <v>703.21</v>
      </c>
      <c r="I133" s="195"/>
      <c r="J133" s="119"/>
      <c r="K133" s="153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7" t="s">
        <v>9</v>
      </c>
      <c r="C134" s="165" t="s">
        <v>100</v>
      </c>
      <c r="D134" s="292" t="s">
        <v>179</v>
      </c>
      <c r="E134" s="293"/>
      <c r="F134" s="293"/>
      <c r="G134" s="294"/>
      <c r="H134" s="27">
        <f>H113</f>
        <v>198.65</v>
      </c>
      <c r="I134" s="195"/>
      <c r="J134" s="119"/>
      <c r="K134" s="119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46" t="s">
        <v>10</v>
      </c>
      <c r="C135" s="164" t="s">
        <v>64</v>
      </c>
      <c r="D135" s="357" t="s">
        <v>198</v>
      </c>
      <c r="E135" s="358"/>
      <c r="F135" s="358"/>
      <c r="G135" s="359"/>
      <c r="H135" s="31">
        <f>SUM(H130:H134)</f>
        <v>7564.2402000000002</v>
      </c>
      <c r="I135" s="24"/>
      <c r="J135" s="119"/>
      <c r="K135" s="154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47" t="s">
        <v>11</v>
      </c>
      <c r="C136" s="175" t="s">
        <v>101</v>
      </c>
      <c r="D136" s="292" t="s">
        <v>180</v>
      </c>
      <c r="E136" s="293"/>
      <c r="F136" s="293"/>
      <c r="G136" s="294"/>
      <c r="H136" s="27">
        <f>H124</f>
        <v>2624.3100000000013</v>
      </c>
      <c r="I136" s="195"/>
      <c r="J136" s="119"/>
      <c r="K136" s="119"/>
      <c r="L136" s="119"/>
      <c r="M136" s="120"/>
      <c r="N136" s="121"/>
      <c r="O136" s="121"/>
      <c r="P136" s="121"/>
      <c r="Q136" s="121"/>
      <c r="R136" s="121"/>
    </row>
    <row r="137" spans="2:18" x14ac:dyDescent="0.2">
      <c r="B137" s="247" t="s">
        <v>183</v>
      </c>
      <c r="C137" s="238" t="s">
        <v>96</v>
      </c>
      <c r="D137" s="350" t="s">
        <v>197</v>
      </c>
      <c r="E137" s="345"/>
      <c r="F137" s="345"/>
      <c r="G137" s="346"/>
      <c r="H137" s="37">
        <f>SUM(H135:H136)</f>
        <v>10188.550200000001</v>
      </c>
      <c r="I137" s="213"/>
      <c r="J137" s="119"/>
      <c r="K137" s="155"/>
      <c r="L137" s="119"/>
      <c r="M137" s="120"/>
      <c r="N137" s="121"/>
      <c r="O137" s="121"/>
      <c r="P137" s="121"/>
      <c r="Q137" s="121"/>
      <c r="R137" s="121"/>
    </row>
    <row r="138" spans="2:18" ht="12.75" hidden="1" customHeight="1" x14ac:dyDescent="0.2">
      <c r="B138" s="14"/>
      <c r="C138" s="14"/>
      <c r="D138" s="14"/>
      <c r="E138" s="14"/>
      <c r="F138" s="14"/>
      <c r="G138" s="14"/>
      <c r="H138" s="38"/>
      <c r="I138" s="214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40.5" hidden="1" customHeight="1" x14ac:dyDescent="0.2">
      <c r="B139" s="39"/>
      <c r="C139" s="39" t="s">
        <v>20</v>
      </c>
      <c r="D139" s="39"/>
      <c r="E139" s="39"/>
      <c r="F139" s="39"/>
      <c r="G139" s="40"/>
      <c r="H139" s="40"/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39" hidden="1" customHeight="1" x14ac:dyDescent="0.2">
      <c r="B140" s="351" t="s">
        <v>22</v>
      </c>
      <c r="C140" s="352"/>
      <c r="D140" s="252"/>
      <c r="E140" s="252"/>
      <c r="F140" s="252"/>
      <c r="G140" s="41" t="s">
        <v>21</v>
      </c>
      <c r="H140" s="42" t="s">
        <v>0</v>
      </c>
      <c r="I140" s="215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53" t="s">
        <v>23</v>
      </c>
      <c r="C141" s="354"/>
      <c r="D141" s="43"/>
      <c r="E141" s="43"/>
      <c r="F141" s="43"/>
      <c r="G141" s="44"/>
      <c r="H141" s="45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55" t="s">
        <v>24</v>
      </c>
      <c r="C142" s="356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55" t="s">
        <v>25</v>
      </c>
      <c r="C143" s="356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355" t="s">
        <v>26</v>
      </c>
      <c r="C144" s="356"/>
      <c r="D144" s="46"/>
      <c r="E144" s="46"/>
      <c r="F144" s="46"/>
      <c r="G144" s="47"/>
      <c r="H144" s="48">
        <v>0</v>
      </c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371"/>
      <c r="C145" s="372"/>
      <c r="D145" s="49"/>
      <c r="E145" s="49"/>
      <c r="F145" s="49"/>
      <c r="G145" s="50"/>
      <c r="H145" s="48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73"/>
      <c r="C146" s="374"/>
      <c r="D146" s="51"/>
      <c r="E146" s="51"/>
      <c r="F146" s="51"/>
      <c r="G146" s="52"/>
      <c r="H146" s="53"/>
      <c r="I146" s="199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4" t="s">
        <v>27</v>
      </c>
      <c r="C147" s="55"/>
      <c r="D147" s="55"/>
      <c r="E147" s="55"/>
      <c r="F147" s="55"/>
      <c r="G147" s="56"/>
      <c r="H147" s="57">
        <f>SUM(H145:H146)</f>
        <v>0</v>
      </c>
      <c r="I147" s="200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14"/>
      <c r="C148" s="14"/>
      <c r="D148" s="14"/>
      <c r="E148" s="14"/>
      <c r="F148" s="14"/>
      <c r="G148" s="14"/>
      <c r="H148" s="14"/>
      <c r="I148" s="18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39" t="s">
        <v>28</v>
      </c>
      <c r="C149" s="39" t="s">
        <v>29</v>
      </c>
      <c r="D149" s="39"/>
      <c r="E149" s="39"/>
      <c r="F149" s="39"/>
      <c r="G149" s="40"/>
      <c r="H149" s="4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58" t="s">
        <v>30</v>
      </c>
      <c r="C150" s="59"/>
      <c r="D150" s="59"/>
      <c r="E150" s="59"/>
      <c r="F150" s="59"/>
      <c r="G150" s="59"/>
      <c r="H150" s="60"/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1"/>
      <c r="C151" s="62" t="s">
        <v>31</v>
      </c>
      <c r="D151" s="63"/>
      <c r="E151" s="63"/>
      <c r="F151" s="63"/>
      <c r="G151" s="64"/>
      <c r="H151" s="42" t="s">
        <v>0</v>
      </c>
      <c r="I151" s="215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2.75" hidden="1" customHeight="1" x14ac:dyDescent="0.2">
      <c r="B152" s="65" t="s">
        <v>5</v>
      </c>
      <c r="C152" s="66" t="s">
        <v>32</v>
      </c>
      <c r="D152" s="67"/>
      <c r="E152" s="67"/>
      <c r="F152" s="67"/>
      <c r="G152" s="68"/>
      <c r="H152" s="69">
        <f>H121</f>
        <v>168.11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6</v>
      </c>
      <c r="C153" s="71" t="s">
        <v>33</v>
      </c>
      <c r="D153" s="72"/>
      <c r="E153" s="72"/>
      <c r="F153" s="72"/>
      <c r="G153" s="73"/>
      <c r="H153" s="74" t="e">
        <f>#REF!</f>
        <v>#REF!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0" t="s">
        <v>7</v>
      </c>
      <c r="C154" s="75" t="s">
        <v>34</v>
      </c>
      <c r="D154" s="76"/>
      <c r="E154" s="76"/>
      <c r="F154" s="76"/>
      <c r="G154" s="77"/>
      <c r="H154" s="74">
        <f>H124</f>
        <v>2624.3100000000013</v>
      </c>
      <c r="I154" s="199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3.5" hidden="1" customHeight="1" x14ac:dyDescent="0.2">
      <c r="B155" s="78" t="s">
        <v>16</v>
      </c>
      <c r="C155" s="79"/>
      <c r="D155" s="79"/>
      <c r="E155" s="79"/>
      <c r="F155" s="79"/>
      <c r="G155" s="80"/>
      <c r="H155" s="57" t="e">
        <f>SUM(H152:H154)</f>
        <v>#REF!</v>
      </c>
      <c r="I155" s="200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81" t="s">
        <v>15</v>
      </c>
      <c r="C156" s="14" t="s">
        <v>35</v>
      </c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ht="12.75" hidden="1" customHeight="1" x14ac:dyDescent="0.2">
      <c r="B157" s="14"/>
      <c r="C157" s="14"/>
      <c r="D157" s="14"/>
      <c r="E157" s="14"/>
      <c r="F157" s="14"/>
      <c r="G157" s="14"/>
      <c r="H157" s="14"/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I158" s="18"/>
      <c r="J158" s="156"/>
      <c r="K158" s="156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375" t="s">
        <v>320</v>
      </c>
      <c r="C159" s="375"/>
      <c r="D159" s="375"/>
      <c r="E159" s="375"/>
      <c r="F159" s="375"/>
      <c r="I159" s="18"/>
      <c r="J159" s="188"/>
      <c r="K159" s="157"/>
      <c r="L159" s="156"/>
      <c r="M159" s="121"/>
      <c r="N159" s="121"/>
      <c r="O159" s="121"/>
      <c r="P159" s="121"/>
      <c r="Q159" s="121"/>
      <c r="R159" s="121"/>
    </row>
    <row r="160" spans="2:18" x14ac:dyDescent="0.2">
      <c r="B160" s="158"/>
      <c r="C160" s="158"/>
      <c r="D160" s="158"/>
      <c r="E160" s="142"/>
      <c r="F160" s="142"/>
      <c r="I160" s="18"/>
    </row>
    <row r="161" spans="2:14" x14ac:dyDescent="0.2">
      <c r="B161" s="299" t="s">
        <v>202</v>
      </c>
      <c r="C161" s="299"/>
      <c r="D161" s="299"/>
      <c r="E161" s="299"/>
      <c r="F161" s="299"/>
      <c r="G161" s="299"/>
      <c r="H161" s="299"/>
      <c r="I161" s="210"/>
      <c r="J161" s="188"/>
    </row>
    <row r="162" spans="2:14" x14ac:dyDescent="0.2">
      <c r="B162" s="247" t="s">
        <v>5</v>
      </c>
      <c r="C162" s="167" t="s">
        <v>127</v>
      </c>
      <c r="D162" s="364" t="s">
        <v>183</v>
      </c>
      <c r="E162" s="365"/>
      <c r="F162" s="365"/>
      <c r="G162" s="366"/>
      <c r="H162" s="12">
        <f>H137</f>
        <v>10188.550200000001</v>
      </c>
      <c r="I162" s="207"/>
    </row>
    <row r="163" spans="2:14" ht="22.5" x14ac:dyDescent="0.2">
      <c r="B163" s="247" t="s">
        <v>6</v>
      </c>
      <c r="C163" s="166" t="s">
        <v>185</v>
      </c>
      <c r="D163" s="364" t="s">
        <v>186</v>
      </c>
      <c r="E163" s="365"/>
      <c r="F163" s="365"/>
      <c r="G163" s="366"/>
      <c r="H163" s="12">
        <f>H43+H84+H102</f>
        <v>1716.87</v>
      </c>
      <c r="I163" s="201"/>
    </row>
    <row r="164" spans="2:14" ht="22.5" x14ac:dyDescent="0.2">
      <c r="B164" s="247" t="s">
        <v>7</v>
      </c>
      <c r="C164" s="205" t="s">
        <v>203</v>
      </c>
      <c r="D164" s="376" t="s">
        <v>211</v>
      </c>
      <c r="E164" s="377"/>
      <c r="F164" s="377"/>
      <c r="G164" s="378"/>
      <c r="H164" s="206">
        <f>TRUNC((H$43*$G56),2)</f>
        <v>247.22</v>
      </c>
      <c r="I164" s="207"/>
      <c r="J164" s="187"/>
    </row>
    <row r="165" spans="2:14" ht="12.75" customHeight="1" x14ac:dyDescent="0.2">
      <c r="B165" s="247" t="s">
        <v>8</v>
      </c>
      <c r="C165" s="166" t="s">
        <v>19</v>
      </c>
      <c r="D165" s="361" t="s">
        <v>195</v>
      </c>
      <c r="E165" s="362"/>
      <c r="F165" s="363"/>
      <c r="G165" s="13">
        <f>G118</f>
        <v>0.05</v>
      </c>
      <c r="H165" s="12">
        <f>TRUNC((H$163+H$164)*$G165,2)</f>
        <v>98.2</v>
      </c>
      <c r="I165" s="201"/>
      <c r="J165" s="360"/>
      <c r="K165" s="360"/>
      <c r="L165" s="360"/>
      <c r="M165" s="360"/>
      <c r="N165" s="360"/>
    </row>
    <row r="166" spans="2:14" ht="12.75" customHeight="1" x14ac:dyDescent="0.2">
      <c r="B166" s="247" t="s">
        <v>9</v>
      </c>
      <c r="C166" s="166" t="s">
        <v>4</v>
      </c>
      <c r="D166" s="361" t="s">
        <v>196</v>
      </c>
      <c r="E166" s="362"/>
      <c r="F166" s="363"/>
      <c r="G166" s="13">
        <f>G119</f>
        <v>0.1</v>
      </c>
      <c r="H166" s="12">
        <f>TRUNC((H$163+H$164+H$165)*$G166,2)</f>
        <v>206.22</v>
      </c>
      <c r="I166" s="201"/>
      <c r="J166" s="360"/>
      <c r="K166" s="360"/>
      <c r="L166" s="360"/>
      <c r="M166" s="360"/>
      <c r="N166" s="360"/>
    </row>
    <row r="167" spans="2:14" ht="12.75" customHeight="1" x14ac:dyDescent="0.2">
      <c r="B167" s="247" t="s">
        <v>10</v>
      </c>
      <c r="C167" s="166" t="s">
        <v>128</v>
      </c>
      <c r="D167" s="361" t="s">
        <v>205</v>
      </c>
      <c r="E167" s="362"/>
      <c r="F167" s="363"/>
      <c r="G167" s="13">
        <f>G121+G122+G123</f>
        <v>0.14250000000000002</v>
      </c>
      <c r="H167" s="12">
        <f>TRUNC((H$163+H$164+H$165+H$166)/(1-$G167)-(H$163+H$164+H$165+H$166),2)</f>
        <v>376.98</v>
      </c>
      <c r="I167" s="201"/>
      <c r="J167" s="360"/>
      <c r="K167" s="360"/>
      <c r="L167" s="360"/>
      <c r="M167" s="360"/>
      <c r="N167" s="360"/>
    </row>
    <row r="168" spans="2:14" ht="22.5" x14ac:dyDescent="0.2">
      <c r="B168" s="247" t="s">
        <v>11</v>
      </c>
      <c r="C168" s="274" t="s">
        <v>129</v>
      </c>
      <c r="D168" s="364" t="s">
        <v>206</v>
      </c>
      <c r="E168" s="365"/>
      <c r="F168" s="365"/>
      <c r="G168" s="366"/>
      <c r="H168" s="275">
        <f>SUM(H163:H167)</f>
        <v>2645.49</v>
      </c>
      <c r="I168" s="202"/>
    </row>
    <row r="169" spans="2:14" x14ac:dyDescent="0.2">
      <c r="B169" s="273" t="s">
        <v>184</v>
      </c>
      <c r="C169" s="276" t="s">
        <v>154</v>
      </c>
      <c r="D169" s="367" t="s">
        <v>204</v>
      </c>
      <c r="E169" s="368"/>
      <c r="F169" s="368"/>
      <c r="G169" s="369"/>
      <c r="H169" s="277">
        <f>H162-H168</f>
        <v>7543.0602000000017</v>
      </c>
      <c r="I169" s="216"/>
    </row>
    <row r="170" spans="2:14" ht="45" customHeight="1" x14ac:dyDescent="0.2">
      <c r="B170" s="370" t="s">
        <v>153</v>
      </c>
      <c r="C170" s="370"/>
      <c r="D170" s="370"/>
      <c r="E170" s="370"/>
      <c r="F170" s="370"/>
      <c r="G170" s="370"/>
      <c r="H170" s="370"/>
      <c r="I170" s="203"/>
    </row>
  </sheetData>
  <mergeCells count="141"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D26:F26"/>
    <mergeCell ref="D27:F27"/>
    <mergeCell ref="D28:F28"/>
    <mergeCell ref="D29:F29"/>
    <mergeCell ref="D30:F30"/>
    <mergeCell ref="D31:F31"/>
    <mergeCell ref="B19:B20"/>
    <mergeCell ref="C19:H19"/>
    <mergeCell ref="C20:H20"/>
    <mergeCell ref="B22:H22"/>
    <mergeCell ref="B24:H24"/>
    <mergeCell ref="C25:F25"/>
    <mergeCell ref="D41:F41"/>
    <mergeCell ref="D42:F42"/>
    <mergeCell ref="C43:F43"/>
    <mergeCell ref="B44:H44"/>
    <mergeCell ref="B45:H45"/>
    <mergeCell ref="C46:F46"/>
    <mergeCell ref="C32:F32"/>
    <mergeCell ref="C33:F34"/>
    <mergeCell ref="B37:H37"/>
    <mergeCell ref="B38:H38"/>
    <mergeCell ref="B39:H39"/>
    <mergeCell ref="C40:F40"/>
    <mergeCell ref="H49:H50"/>
    <mergeCell ref="J49:J50"/>
    <mergeCell ref="D51:F51"/>
    <mergeCell ref="D52:F52"/>
    <mergeCell ref="D53:F53"/>
    <mergeCell ref="D54:F54"/>
    <mergeCell ref="D47:F47"/>
    <mergeCell ref="D48:F48"/>
    <mergeCell ref="B49:B50"/>
    <mergeCell ref="C49:C50"/>
    <mergeCell ref="D49:D50"/>
    <mergeCell ref="G49:G50"/>
    <mergeCell ref="J60:N60"/>
    <mergeCell ref="D61:G61"/>
    <mergeCell ref="D62:G62"/>
    <mergeCell ref="D65:G65"/>
    <mergeCell ref="C66:G66"/>
    <mergeCell ref="B67:H67"/>
    <mergeCell ref="D55:F55"/>
    <mergeCell ref="C56:F56"/>
    <mergeCell ref="B57:H57"/>
    <mergeCell ref="B58:H58"/>
    <mergeCell ref="C59:G59"/>
    <mergeCell ref="D60:G60"/>
    <mergeCell ref="B74:H74"/>
    <mergeCell ref="B76:H76"/>
    <mergeCell ref="C77:F77"/>
    <mergeCell ref="D78:F78"/>
    <mergeCell ref="D79:F79"/>
    <mergeCell ref="D80:E80"/>
    <mergeCell ref="B68:H68"/>
    <mergeCell ref="C69:G69"/>
    <mergeCell ref="D70:G70"/>
    <mergeCell ref="D71:G71"/>
    <mergeCell ref="D72:G72"/>
    <mergeCell ref="C73:G73"/>
    <mergeCell ref="C89:F89"/>
    <mergeCell ref="D90:F90"/>
    <mergeCell ref="D91:F91"/>
    <mergeCell ref="D92:G92"/>
    <mergeCell ref="C93:G93"/>
    <mergeCell ref="B95:H95"/>
    <mergeCell ref="D81:F81"/>
    <mergeCell ref="D82:E82"/>
    <mergeCell ref="D83:E83"/>
    <mergeCell ref="C84:G84"/>
    <mergeCell ref="B87:H87"/>
    <mergeCell ref="B88:H88"/>
    <mergeCell ref="D103:G103"/>
    <mergeCell ref="C104:G104"/>
    <mergeCell ref="B107:H107"/>
    <mergeCell ref="C108:G108"/>
    <mergeCell ref="B116:H116"/>
    <mergeCell ref="C117:F117"/>
    <mergeCell ref="C96:F96"/>
    <mergeCell ref="D97:F97"/>
    <mergeCell ref="C98:G98"/>
    <mergeCell ref="B100:H100"/>
    <mergeCell ref="C101:G101"/>
    <mergeCell ref="D102:G102"/>
    <mergeCell ref="D124:G124"/>
    <mergeCell ref="B126:H126"/>
    <mergeCell ref="B128:H128"/>
    <mergeCell ref="C129:G129"/>
    <mergeCell ref="D130:G130"/>
    <mergeCell ref="D131:G131"/>
    <mergeCell ref="D118:F118"/>
    <mergeCell ref="D119:F119"/>
    <mergeCell ref="D120:F120"/>
    <mergeCell ref="D121:F121"/>
    <mergeCell ref="D122:F122"/>
    <mergeCell ref="D123:F123"/>
    <mergeCell ref="B140:C140"/>
    <mergeCell ref="B141:C141"/>
    <mergeCell ref="B142:C142"/>
    <mergeCell ref="B143:C143"/>
    <mergeCell ref="B144:C144"/>
    <mergeCell ref="B145:C145"/>
    <mergeCell ref="D132:G132"/>
    <mergeCell ref="D133:G133"/>
    <mergeCell ref="D134:G134"/>
    <mergeCell ref="D135:G135"/>
    <mergeCell ref="D136:G136"/>
    <mergeCell ref="D137:G137"/>
    <mergeCell ref="B170:H170"/>
    <mergeCell ref="D165:F165"/>
    <mergeCell ref="J165:N167"/>
    <mergeCell ref="D166:F166"/>
    <mergeCell ref="D167:F167"/>
    <mergeCell ref="D168:G168"/>
    <mergeCell ref="D169:G169"/>
    <mergeCell ref="B146:C146"/>
    <mergeCell ref="B159:F159"/>
    <mergeCell ref="B161:H161"/>
    <mergeCell ref="D162:G162"/>
    <mergeCell ref="D163:G163"/>
    <mergeCell ref="D164:G164"/>
  </mergeCells>
  <dataValidations count="9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90">
      <formula1>30</formula1>
      <formula2>30</formula2>
    </dataValidation>
    <dataValidation type="list" operator="equal" allowBlank="1" showInputMessage="1" showErrorMessage="1" errorTitle="Valor errado" error="Percentual fixo. Preencher com 40%." sqref="F80 F82">
      <formula1>"40%"</formula1>
    </dataValidation>
    <dataValidation type="custom" allowBlank="1" showInputMessage="1" showErrorMessage="1" sqref="G120">
      <formula1>1-(G121+G122+G123)</formula1>
    </dataValidation>
    <dataValidation type="list" allowBlank="1" showInputMessage="1" showErrorMessage="1" sqref="G83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T167"/>
  <sheetViews>
    <sheetView showGridLines="0" topLeftCell="B79" workbookViewId="0">
      <selection activeCell="G118" sqref="G118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295" t="s">
        <v>68</v>
      </c>
      <c r="C2" s="295"/>
      <c r="D2" s="295"/>
      <c r="E2" s="295"/>
      <c r="F2" s="295"/>
      <c r="G2" s="295"/>
      <c r="H2" s="295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296" t="s">
        <v>321</v>
      </c>
      <c r="C3" s="296"/>
      <c r="D3" s="296"/>
      <c r="E3" s="296"/>
      <c r="F3" s="296"/>
      <c r="G3" s="296"/>
      <c r="H3" s="296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297" t="s">
        <v>155</v>
      </c>
      <c r="C6" s="297"/>
      <c r="D6" s="297"/>
      <c r="E6" s="297"/>
      <c r="F6" s="297"/>
      <c r="G6" s="298" t="s">
        <v>304</v>
      </c>
      <c r="H6" s="29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299" t="s">
        <v>69</v>
      </c>
      <c r="C8" s="299"/>
      <c r="D8" s="299"/>
      <c r="E8" s="299"/>
      <c r="F8" s="299"/>
      <c r="G8" s="299"/>
      <c r="H8" s="299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00">
        <v>1</v>
      </c>
      <c r="C9" s="301" t="s">
        <v>70</v>
      </c>
      <c r="D9" s="301"/>
      <c r="E9" s="301"/>
      <c r="F9" s="301"/>
      <c r="G9" s="301"/>
      <c r="H9" s="301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00"/>
      <c r="C10" s="302"/>
      <c r="D10" s="302"/>
      <c r="E10" s="302"/>
      <c r="F10" s="302"/>
      <c r="G10" s="302"/>
      <c r="H10" s="302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00">
        <v>2</v>
      </c>
      <c r="C11" s="301" t="s">
        <v>72</v>
      </c>
      <c r="D11" s="301"/>
      <c r="E11" s="301"/>
      <c r="F11" s="301"/>
      <c r="G11" s="301"/>
      <c r="H11" s="301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00"/>
      <c r="C12" s="302"/>
      <c r="D12" s="302"/>
      <c r="E12" s="302"/>
      <c r="F12" s="302"/>
      <c r="G12" s="302"/>
      <c r="H12" s="302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00">
        <v>3</v>
      </c>
      <c r="C13" s="301" t="s">
        <v>73</v>
      </c>
      <c r="D13" s="301"/>
      <c r="E13" s="301"/>
      <c r="F13" s="301"/>
      <c r="G13" s="301"/>
      <c r="H13" s="301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00"/>
      <c r="C14" s="302"/>
      <c r="D14" s="302"/>
      <c r="E14" s="302"/>
      <c r="F14" s="302"/>
      <c r="G14" s="302"/>
      <c r="H14" s="302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00">
        <v>4</v>
      </c>
      <c r="C15" s="301" t="s">
        <v>74</v>
      </c>
      <c r="D15" s="301"/>
      <c r="E15" s="301"/>
      <c r="F15" s="301"/>
      <c r="G15" s="301"/>
      <c r="H15" s="301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00"/>
      <c r="C16" s="302"/>
      <c r="D16" s="302"/>
      <c r="E16" s="302"/>
      <c r="F16" s="302"/>
      <c r="G16" s="302"/>
      <c r="H16" s="302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00">
        <v>5</v>
      </c>
      <c r="C17" s="301" t="s">
        <v>75</v>
      </c>
      <c r="D17" s="301"/>
      <c r="E17" s="301"/>
      <c r="F17" s="301"/>
      <c r="G17" s="301"/>
      <c r="H17" s="301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00"/>
      <c r="C18" s="302"/>
      <c r="D18" s="302"/>
      <c r="E18" s="302"/>
      <c r="F18" s="302"/>
      <c r="G18" s="302"/>
      <c r="H18" s="302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00">
        <v>6</v>
      </c>
      <c r="C19" s="301" t="s">
        <v>76</v>
      </c>
      <c r="D19" s="301"/>
      <c r="E19" s="301"/>
      <c r="F19" s="301"/>
      <c r="G19" s="301"/>
      <c r="H19" s="301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00"/>
      <c r="C20" s="302"/>
      <c r="D20" s="302"/>
      <c r="E20" s="302"/>
      <c r="F20" s="302"/>
      <c r="G20" s="302"/>
      <c r="H20" s="302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03" t="s">
        <v>95</v>
      </c>
      <c r="C22" s="303"/>
      <c r="D22" s="303"/>
      <c r="E22" s="303"/>
      <c r="F22" s="303"/>
      <c r="G22" s="303"/>
      <c r="H22" s="30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04" t="s">
        <v>83</v>
      </c>
      <c r="C24" s="304"/>
      <c r="D24" s="304"/>
      <c r="E24" s="304"/>
      <c r="F24" s="304"/>
      <c r="G24" s="304"/>
      <c r="H24" s="30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7" t="s">
        <v>77</v>
      </c>
      <c r="D25" s="305"/>
      <c r="E25" s="305"/>
      <c r="F25" s="288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292" t="s">
        <v>221</v>
      </c>
      <c r="E26" s="293"/>
      <c r="F26" s="294"/>
      <c r="G26" s="21"/>
      <c r="H26" s="82">
        <v>2836.33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292" t="s">
        <v>156</v>
      </c>
      <c r="E27" s="293"/>
      <c r="F27" s="294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292" t="s">
        <v>199</v>
      </c>
      <c r="E28" s="293"/>
      <c r="F28" s="294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292" t="s">
        <v>208</v>
      </c>
      <c r="E29" s="293"/>
      <c r="F29" s="294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7" t="s">
        <v>9</v>
      </c>
      <c r="C30" s="176" t="s">
        <v>3</v>
      </c>
      <c r="D30" s="292"/>
      <c r="E30" s="293"/>
      <c r="F30" s="294"/>
      <c r="G30" s="261"/>
      <c r="H30" s="106"/>
      <c r="I30" s="193"/>
      <c r="J30" s="119"/>
      <c r="K30" s="119"/>
      <c r="L30" s="135"/>
      <c r="M30" s="120"/>
      <c r="N30" s="121"/>
      <c r="O30" s="121"/>
      <c r="P30" s="121"/>
      <c r="Q30" s="121"/>
      <c r="R30" s="121"/>
    </row>
    <row r="31" spans="2:18" x14ac:dyDescent="0.2">
      <c r="B31" s="247" t="s">
        <v>157</v>
      </c>
      <c r="C31" s="287" t="s">
        <v>78</v>
      </c>
      <c r="D31" s="305"/>
      <c r="E31" s="305"/>
      <c r="F31" s="288"/>
      <c r="G31" s="36"/>
      <c r="H31" s="23">
        <f>SUM(H26:H30)</f>
        <v>2836.33</v>
      </c>
      <c r="I31" s="24"/>
      <c r="J31" s="119"/>
      <c r="K31" s="119"/>
      <c r="L31" s="119"/>
      <c r="M31" s="120"/>
      <c r="N31" s="121"/>
      <c r="O31" s="121"/>
      <c r="P31" s="121"/>
      <c r="Q31" s="121"/>
      <c r="R31" s="121"/>
    </row>
    <row r="32" spans="2:18" x14ac:dyDescent="0.2">
      <c r="B32" s="239"/>
      <c r="C32" s="239"/>
      <c r="D32" s="239"/>
      <c r="E32" s="239"/>
      <c r="F32" s="239"/>
      <c r="G32" s="239"/>
      <c r="H32" s="136"/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x14ac:dyDescent="0.2">
      <c r="B33" s="239"/>
      <c r="C33" s="239"/>
      <c r="D33" s="239"/>
      <c r="E33" s="239"/>
      <c r="F33" s="239"/>
      <c r="G33" s="239"/>
      <c r="H33" s="136"/>
      <c r="I33" s="24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ht="12.75" customHeight="1" x14ac:dyDescent="0.2">
      <c r="B34" s="304" t="s">
        <v>84</v>
      </c>
      <c r="C34" s="304"/>
      <c r="D34" s="304"/>
      <c r="E34" s="304"/>
      <c r="F34" s="304"/>
      <c r="G34" s="304"/>
      <c r="H34" s="304"/>
      <c r="I34" s="208"/>
      <c r="J34" s="137"/>
      <c r="K34" s="119"/>
      <c r="L34" s="135"/>
      <c r="M34" s="134"/>
      <c r="N34" s="121"/>
      <c r="O34" s="121"/>
      <c r="P34" s="121"/>
      <c r="Q34" s="121"/>
      <c r="R34" s="121"/>
    </row>
    <row r="35" spans="2:18" x14ac:dyDescent="0.2">
      <c r="B35" s="321"/>
      <c r="C35" s="322"/>
      <c r="D35" s="322"/>
      <c r="E35" s="322"/>
      <c r="F35" s="322"/>
      <c r="G35" s="322"/>
      <c r="H35" s="323"/>
      <c r="I35" s="208"/>
      <c r="J35" s="137"/>
      <c r="K35" s="119"/>
      <c r="L35" s="135"/>
      <c r="M35" s="134"/>
      <c r="N35" s="121"/>
      <c r="O35" s="121"/>
      <c r="P35" s="121"/>
      <c r="Q35" s="121"/>
      <c r="R35" s="121"/>
    </row>
    <row r="36" spans="2:18" x14ac:dyDescent="0.2">
      <c r="B36" s="324" t="s">
        <v>54</v>
      </c>
      <c r="C36" s="324"/>
      <c r="D36" s="324"/>
      <c r="E36" s="324"/>
      <c r="F36" s="324"/>
      <c r="G36" s="324"/>
      <c r="H36" s="324"/>
      <c r="I36" s="208"/>
      <c r="J36" s="137"/>
      <c r="K36" s="119"/>
      <c r="L36" s="135"/>
      <c r="M36" s="134"/>
      <c r="N36" s="121"/>
      <c r="O36" s="121"/>
      <c r="P36" s="121"/>
      <c r="Q36" s="121"/>
      <c r="R36" s="121"/>
    </row>
    <row r="37" spans="2:18" x14ac:dyDescent="0.2">
      <c r="B37" s="177" t="s">
        <v>56</v>
      </c>
      <c r="C37" s="287" t="s">
        <v>45</v>
      </c>
      <c r="D37" s="305"/>
      <c r="E37" s="305"/>
      <c r="F37" s="288"/>
      <c r="G37" s="177" t="s">
        <v>2</v>
      </c>
      <c r="H37" s="177" t="s">
        <v>67</v>
      </c>
      <c r="I37" s="208"/>
      <c r="J37" s="140"/>
      <c r="K37" s="119"/>
      <c r="L37" s="119"/>
      <c r="M37" s="120"/>
      <c r="N37" s="121"/>
      <c r="O37" s="121"/>
      <c r="P37" s="121"/>
      <c r="Q37" s="121"/>
      <c r="R37" s="121"/>
    </row>
    <row r="38" spans="2:18" x14ac:dyDescent="0.2">
      <c r="B38" s="247" t="s">
        <v>5</v>
      </c>
      <c r="C38" s="175" t="s">
        <v>133</v>
      </c>
      <c r="D38" s="292" t="s">
        <v>158</v>
      </c>
      <c r="E38" s="293"/>
      <c r="F38" s="294"/>
      <c r="G38" s="26">
        <f>1/12</f>
        <v>8.3333333333333329E-2</v>
      </c>
      <c r="H38" s="27">
        <f>TRUNC((H$31*$G38),2)</f>
        <v>236.36</v>
      </c>
      <c r="I38" s="195"/>
      <c r="J38" s="137"/>
      <c r="K38" s="119"/>
      <c r="L38" s="119"/>
      <c r="M38" s="134"/>
      <c r="N38" s="121"/>
      <c r="O38" s="121"/>
      <c r="P38" s="121"/>
      <c r="Q38" s="121"/>
      <c r="R38" s="121"/>
    </row>
    <row r="39" spans="2:18" x14ac:dyDescent="0.2">
      <c r="B39" s="247" t="s">
        <v>6</v>
      </c>
      <c r="C39" s="175" t="s">
        <v>82</v>
      </c>
      <c r="D39" s="292" t="s">
        <v>160</v>
      </c>
      <c r="E39" s="293"/>
      <c r="F39" s="294"/>
      <c r="G39" s="26">
        <f>(1/12)+(1/3/12)</f>
        <v>0.1111111111111111</v>
      </c>
      <c r="H39" s="27">
        <f>TRUNC((H$31*$G39),2)</f>
        <v>315.14</v>
      </c>
      <c r="I39" s="195"/>
      <c r="J39" s="137"/>
      <c r="K39" s="119"/>
      <c r="L39" s="119"/>
      <c r="M39" s="134"/>
      <c r="N39" s="121"/>
      <c r="O39" s="121"/>
      <c r="P39" s="121"/>
      <c r="Q39" s="121"/>
      <c r="R39" s="121"/>
    </row>
    <row r="40" spans="2:18" x14ac:dyDescent="0.2">
      <c r="B40" s="247" t="s">
        <v>159</v>
      </c>
      <c r="C40" s="287" t="s">
        <v>78</v>
      </c>
      <c r="D40" s="305"/>
      <c r="E40" s="305"/>
      <c r="F40" s="288"/>
      <c r="G40" s="28">
        <f>TRUNC(SUM(G38:G39),4)</f>
        <v>0.19439999999999999</v>
      </c>
      <c r="H40" s="23">
        <f>SUM(H38:H39)</f>
        <v>551.5</v>
      </c>
      <c r="I40" s="24"/>
      <c r="J40" s="137"/>
      <c r="K40" s="119"/>
      <c r="L40" s="119"/>
      <c r="M40" s="134"/>
      <c r="N40" s="121"/>
      <c r="O40" s="121"/>
      <c r="P40" s="121"/>
      <c r="Q40" s="121"/>
      <c r="R40" s="121"/>
    </row>
    <row r="41" spans="2:18" x14ac:dyDescent="0.2">
      <c r="B41" s="311"/>
      <c r="C41" s="312"/>
      <c r="D41" s="312"/>
      <c r="E41" s="312"/>
      <c r="F41" s="312"/>
      <c r="G41" s="312"/>
      <c r="H41" s="313"/>
      <c r="I41" s="239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ht="30" customHeight="1" x14ac:dyDescent="0.2">
      <c r="B42" s="314" t="s">
        <v>85</v>
      </c>
      <c r="C42" s="315"/>
      <c r="D42" s="315"/>
      <c r="E42" s="315"/>
      <c r="F42" s="315"/>
      <c r="G42" s="315"/>
      <c r="H42" s="316"/>
      <c r="I42" s="196"/>
      <c r="J42" s="138"/>
      <c r="K42" s="139"/>
      <c r="L42" s="119"/>
      <c r="M42" s="120"/>
      <c r="N42" s="121"/>
      <c r="O42" s="121"/>
      <c r="P42" s="121"/>
      <c r="Q42" s="121"/>
      <c r="R42" s="121"/>
    </row>
    <row r="43" spans="2:18" x14ac:dyDescent="0.2">
      <c r="B43" s="177" t="s">
        <v>57</v>
      </c>
      <c r="C43" s="287" t="s">
        <v>86</v>
      </c>
      <c r="D43" s="305"/>
      <c r="E43" s="305"/>
      <c r="F43" s="288"/>
      <c r="G43" s="177" t="s">
        <v>2</v>
      </c>
      <c r="H43" s="177" t="s">
        <v>67</v>
      </c>
      <c r="I43" s="208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247" t="s">
        <v>5</v>
      </c>
      <c r="C44" s="175" t="s">
        <v>48</v>
      </c>
      <c r="D44" s="292" t="s">
        <v>161</v>
      </c>
      <c r="E44" s="293"/>
      <c r="F44" s="294"/>
      <c r="G44" s="26">
        <v>0.2</v>
      </c>
      <c r="H44" s="27">
        <f>TRUNC((H$31+H$40)*$G44,2)</f>
        <v>677.56</v>
      </c>
      <c r="I44" s="195"/>
      <c r="J44" s="137"/>
      <c r="K44" s="119"/>
      <c r="L44" s="119"/>
      <c r="M44" s="120"/>
      <c r="N44" s="121"/>
      <c r="O44" s="121"/>
      <c r="P44" s="121"/>
      <c r="Q44" s="121"/>
      <c r="R44" s="121"/>
    </row>
    <row r="45" spans="2:18" x14ac:dyDescent="0.2">
      <c r="B45" s="247" t="s">
        <v>6</v>
      </c>
      <c r="C45" s="160" t="s">
        <v>49</v>
      </c>
      <c r="D45" s="292" t="s">
        <v>162</v>
      </c>
      <c r="E45" s="293"/>
      <c r="F45" s="294"/>
      <c r="G45" s="26">
        <v>2.5000000000000001E-2</v>
      </c>
      <c r="H45" s="27">
        <f>TRUNC((H$31+H$40)*$G45,2)</f>
        <v>84.69</v>
      </c>
      <c r="I45" s="195"/>
      <c r="J45" s="137"/>
      <c r="K45" s="119"/>
      <c r="L45" s="119"/>
      <c r="M45" s="120"/>
      <c r="N45" s="121"/>
      <c r="O45" s="121"/>
      <c r="P45" s="121"/>
      <c r="Q45" s="121"/>
      <c r="R45" s="121"/>
    </row>
    <row r="46" spans="2:18" x14ac:dyDescent="0.2">
      <c r="B46" s="306" t="s">
        <v>7</v>
      </c>
      <c r="C46" s="308" t="s">
        <v>124</v>
      </c>
      <c r="D46" s="310" t="s">
        <v>168</v>
      </c>
      <c r="E46" s="11" t="s">
        <v>125</v>
      </c>
      <c r="F46" s="11" t="s">
        <v>123</v>
      </c>
      <c r="G46" s="317">
        <f>E47*F47</f>
        <v>0.03</v>
      </c>
      <c r="H46" s="319">
        <f>TRUNC((H$31+H$40)*$G46,2)</f>
        <v>101.63</v>
      </c>
      <c r="I46" s="198"/>
      <c r="J46" s="325"/>
      <c r="K46" s="119"/>
      <c r="L46" s="119"/>
      <c r="M46" s="120"/>
      <c r="N46" s="121"/>
      <c r="O46" s="121"/>
      <c r="P46" s="121"/>
      <c r="Q46" s="121"/>
      <c r="R46" s="121"/>
    </row>
    <row r="47" spans="2:18" x14ac:dyDescent="0.2">
      <c r="B47" s="307"/>
      <c r="C47" s="309"/>
      <c r="D47" s="310"/>
      <c r="E47" s="84">
        <v>0.03</v>
      </c>
      <c r="F47" s="85">
        <v>1</v>
      </c>
      <c r="G47" s="318"/>
      <c r="H47" s="320"/>
      <c r="I47" s="198"/>
      <c r="J47" s="325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8</v>
      </c>
      <c r="C48" s="175" t="s">
        <v>47</v>
      </c>
      <c r="D48" s="292" t="s">
        <v>163</v>
      </c>
      <c r="E48" s="293"/>
      <c r="F48" s="294"/>
      <c r="G48" s="26">
        <v>1.4999999999999999E-2</v>
      </c>
      <c r="H48" s="27">
        <f>TRUNC((H$31+H$40)*$G48,2)</f>
        <v>50.81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247" t="s">
        <v>9</v>
      </c>
      <c r="C49" s="175" t="s">
        <v>50</v>
      </c>
      <c r="D49" s="292" t="s">
        <v>164</v>
      </c>
      <c r="E49" s="293"/>
      <c r="F49" s="294"/>
      <c r="G49" s="26">
        <v>0.01</v>
      </c>
      <c r="H49" s="27">
        <f>TRUNC((H$31+H$40)*$G49,2)</f>
        <v>33.869999999999997</v>
      </c>
      <c r="I49" s="195"/>
      <c r="J49" s="13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247" t="s">
        <v>10</v>
      </c>
      <c r="C50" s="175" t="s">
        <v>51</v>
      </c>
      <c r="D50" s="292" t="s">
        <v>165</v>
      </c>
      <c r="E50" s="293"/>
      <c r="F50" s="294"/>
      <c r="G50" s="26">
        <v>6.0000000000000001E-3</v>
      </c>
      <c r="H50" s="27">
        <f>TRUNC((H$31+H$40)*$G50,2)</f>
        <v>20.32</v>
      </c>
      <c r="I50" s="195"/>
      <c r="J50" s="13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11</v>
      </c>
      <c r="C51" s="175" t="s">
        <v>52</v>
      </c>
      <c r="D51" s="292" t="s">
        <v>166</v>
      </c>
      <c r="E51" s="293"/>
      <c r="F51" s="294"/>
      <c r="G51" s="26">
        <v>2E-3</v>
      </c>
      <c r="H51" s="27">
        <f>TRUNC((H$31+H$40)*$G51,2)</f>
        <v>6.77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12</v>
      </c>
      <c r="C52" s="175" t="s">
        <v>53</v>
      </c>
      <c r="D52" s="292" t="s">
        <v>167</v>
      </c>
      <c r="E52" s="293"/>
      <c r="F52" s="294"/>
      <c r="G52" s="26">
        <v>0.08</v>
      </c>
      <c r="H52" s="27">
        <f>TRUNC((H$31+H$40)*$G52,2)</f>
        <v>271.02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169</v>
      </c>
      <c r="C53" s="287" t="s">
        <v>78</v>
      </c>
      <c r="D53" s="305"/>
      <c r="E53" s="305"/>
      <c r="F53" s="288"/>
      <c r="G53" s="29">
        <f>SUM(G44:G52)</f>
        <v>0.36800000000000005</v>
      </c>
      <c r="H53" s="30">
        <f>SUM(H44:H52)</f>
        <v>1246.67</v>
      </c>
      <c r="I53" s="24"/>
      <c r="J53" s="140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327"/>
      <c r="C54" s="328"/>
      <c r="D54" s="328"/>
      <c r="E54" s="328"/>
      <c r="F54" s="328"/>
      <c r="G54" s="328"/>
      <c r="H54" s="329"/>
      <c r="I54" s="234"/>
      <c r="J54" s="140"/>
      <c r="K54" s="119"/>
      <c r="L54" s="119"/>
      <c r="M54" s="120"/>
      <c r="N54" s="141"/>
      <c r="O54" s="121"/>
      <c r="P54" s="121"/>
      <c r="Q54" s="121"/>
      <c r="R54" s="121"/>
    </row>
    <row r="55" spans="2:18" ht="12.75" customHeight="1" x14ac:dyDescent="0.2">
      <c r="B55" s="314" t="s">
        <v>55</v>
      </c>
      <c r="C55" s="315"/>
      <c r="D55" s="315"/>
      <c r="E55" s="315"/>
      <c r="F55" s="315"/>
      <c r="G55" s="315"/>
      <c r="H55" s="316"/>
      <c r="I55" s="234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7" t="s">
        <v>58</v>
      </c>
      <c r="C56" s="287" t="s">
        <v>59</v>
      </c>
      <c r="D56" s="305"/>
      <c r="E56" s="305"/>
      <c r="F56" s="305"/>
      <c r="G56" s="288"/>
      <c r="H56" s="177" t="s">
        <v>67</v>
      </c>
      <c r="I56" s="208"/>
      <c r="J56" s="138"/>
      <c r="K56" s="119"/>
      <c r="L56" s="119"/>
      <c r="M56" s="120"/>
      <c r="N56" s="121"/>
      <c r="O56" s="121"/>
      <c r="P56" s="121"/>
      <c r="Q56" s="121"/>
      <c r="R56" s="121"/>
    </row>
    <row r="57" spans="2:18" ht="12.75" customHeight="1" x14ac:dyDescent="0.2">
      <c r="B57" s="247" t="s">
        <v>5</v>
      </c>
      <c r="C57" s="175" t="s">
        <v>65</v>
      </c>
      <c r="D57" s="292" t="s">
        <v>172</v>
      </c>
      <c r="E57" s="293"/>
      <c r="F57" s="293"/>
      <c r="G57" s="294"/>
      <c r="H57" s="86">
        <f>(8.55*2*22)-(H26*6%)</f>
        <v>206.02020000000005</v>
      </c>
      <c r="I57" s="212"/>
      <c r="J57" s="326"/>
      <c r="K57" s="326"/>
      <c r="L57" s="326"/>
      <c r="M57" s="326"/>
      <c r="N57" s="326"/>
      <c r="O57" s="121"/>
      <c r="P57" s="121"/>
      <c r="Q57" s="121"/>
      <c r="R57" s="121"/>
    </row>
    <row r="58" spans="2:18" ht="12.75" customHeight="1" x14ac:dyDescent="0.2">
      <c r="B58" s="247" t="s">
        <v>6</v>
      </c>
      <c r="C58" s="175" t="s">
        <v>66</v>
      </c>
      <c r="D58" s="292" t="s">
        <v>173</v>
      </c>
      <c r="E58" s="293"/>
      <c r="F58" s="293"/>
      <c r="G58" s="294"/>
      <c r="H58" s="86">
        <f>16.5*22</f>
        <v>363</v>
      </c>
      <c r="I58" s="212"/>
      <c r="J58" s="137"/>
      <c r="K58" s="137"/>
      <c r="L58" s="137"/>
      <c r="M58" s="137"/>
      <c r="N58" s="137"/>
      <c r="O58" s="121"/>
      <c r="P58" s="121"/>
      <c r="Q58" s="121"/>
      <c r="R58" s="121"/>
    </row>
    <row r="59" spans="2:18" x14ac:dyDescent="0.2">
      <c r="B59" s="247" t="s">
        <v>7</v>
      </c>
      <c r="C59" s="175" t="s">
        <v>228</v>
      </c>
      <c r="D59" s="292" t="s">
        <v>229</v>
      </c>
      <c r="E59" s="293"/>
      <c r="F59" s="293"/>
      <c r="G59" s="294"/>
      <c r="H59" s="86">
        <v>66</v>
      </c>
      <c r="I59" s="212"/>
      <c r="J59" s="137"/>
      <c r="K59" s="119"/>
      <c r="L59" s="119"/>
      <c r="M59" s="120"/>
      <c r="N59" s="121"/>
      <c r="O59" s="121"/>
      <c r="P59" s="121"/>
      <c r="Q59" s="121"/>
      <c r="R59" s="121"/>
    </row>
    <row r="60" spans="2:18" x14ac:dyDescent="0.2">
      <c r="B60" s="247" t="s">
        <v>8</v>
      </c>
      <c r="C60" s="175" t="s">
        <v>223</v>
      </c>
      <c r="D60" s="243"/>
      <c r="E60" s="244"/>
      <c r="F60" s="244"/>
      <c r="G60" s="245"/>
      <c r="H60" s="86">
        <v>5</v>
      </c>
      <c r="I60" s="212"/>
      <c r="J60" s="137"/>
      <c r="K60" s="119"/>
      <c r="L60" s="119"/>
      <c r="M60" s="120"/>
      <c r="N60" s="121"/>
      <c r="O60" s="121"/>
      <c r="P60" s="121"/>
      <c r="Q60" s="121"/>
      <c r="R60" s="121"/>
    </row>
    <row r="61" spans="2:18" x14ac:dyDescent="0.2">
      <c r="B61" s="281" t="s">
        <v>9</v>
      </c>
      <c r="C61" s="175" t="s">
        <v>322</v>
      </c>
      <c r="D61" s="278"/>
      <c r="E61" s="279"/>
      <c r="F61" s="279"/>
      <c r="G61" s="280"/>
      <c r="H61" s="86">
        <v>35</v>
      </c>
      <c r="I61" s="212"/>
      <c r="J61" s="137"/>
      <c r="K61" s="119"/>
      <c r="L61" s="119"/>
      <c r="M61" s="120"/>
      <c r="N61" s="121"/>
      <c r="O61" s="121"/>
      <c r="P61" s="121"/>
      <c r="Q61" s="121"/>
      <c r="R61" s="121"/>
    </row>
    <row r="62" spans="2:18" s="142" customFormat="1" x14ac:dyDescent="0.2">
      <c r="B62" s="247" t="s">
        <v>10</v>
      </c>
      <c r="C62" s="175" t="s">
        <v>3</v>
      </c>
      <c r="D62" s="292"/>
      <c r="E62" s="293"/>
      <c r="F62" s="293"/>
      <c r="G62" s="294"/>
      <c r="H62" s="86">
        <v>0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170</v>
      </c>
      <c r="C63" s="287" t="s">
        <v>78</v>
      </c>
      <c r="D63" s="305"/>
      <c r="E63" s="305"/>
      <c r="F63" s="305"/>
      <c r="G63" s="288"/>
      <c r="H63" s="30">
        <f>SUM(H57:H62)</f>
        <v>675.02020000000005</v>
      </c>
      <c r="I63" s="24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311"/>
      <c r="C64" s="312"/>
      <c r="D64" s="312"/>
      <c r="E64" s="312"/>
      <c r="F64" s="312"/>
      <c r="G64" s="312"/>
      <c r="H64" s="313"/>
      <c r="I64" s="239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330" t="s">
        <v>88</v>
      </c>
      <c r="C65" s="330"/>
      <c r="D65" s="330"/>
      <c r="E65" s="330"/>
      <c r="F65" s="330"/>
      <c r="G65" s="330"/>
      <c r="H65" s="330"/>
      <c r="I65" s="239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177">
        <v>2</v>
      </c>
      <c r="C66" s="287" t="s">
        <v>87</v>
      </c>
      <c r="D66" s="305"/>
      <c r="E66" s="305"/>
      <c r="F66" s="305"/>
      <c r="G66" s="288"/>
      <c r="H66" s="177" t="s">
        <v>67</v>
      </c>
      <c r="I66" s="208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247" t="s">
        <v>56</v>
      </c>
      <c r="C67" s="163" t="s">
        <v>45</v>
      </c>
      <c r="D67" s="292" t="s">
        <v>159</v>
      </c>
      <c r="E67" s="293"/>
      <c r="F67" s="293"/>
      <c r="G67" s="294"/>
      <c r="H67" s="27">
        <f>H40</f>
        <v>551.5</v>
      </c>
      <c r="I67" s="19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247" t="s">
        <v>57</v>
      </c>
      <c r="C68" s="163" t="s">
        <v>46</v>
      </c>
      <c r="D68" s="292" t="s">
        <v>169</v>
      </c>
      <c r="E68" s="293"/>
      <c r="F68" s="293"/>
      <c r="G68" s="294"/>
      <c r="H68" s="27">
        <f>H53</f>
        <v>1246.67</v>
      </c>
      <c r="I68" s="195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47" t="s">
        <v>58</v>
      </c>
      <c r="C69" s="163" t="s">
        <v>59</v>
      </c>
      <c r="D69" s="292" t="s">
        <v>170</v>
      </c>
      <c r="E69" s="293"/>
      <c r="F69" s="293"/>
      <c r="G69" s="294"/>
      <c r="H69" s="27">
        <f>H63</f>
        <v>675.02020000000005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171</v>
      </c>
      <c r="C70" s="287" t="s">
        <v>78</v>
      </c>
      <c r="D70" s="305"/>
      <c r="E70" s="305"/>
      <c r="F70" s="305"/>
      <c r="G70" s="288"/>
      <c r="H70" s="23">
        <f>SUM(H67:H69)</f>
        <v>2473.1902</v>
      </c>
      <c r="I70" s="24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312"/>
      <c r="C71" s="312"/>
      <c r="D71" s="312"/>
      <c r="E71" s="312"/>
      <c r="F71" s="312"/>
      <c r="G71" s="312"/>
      <c r="H71" s="312"/>
      <c r="I71" s="208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39"/>
      <c r="C72" s="239"/>
      <c r="D72" s="239"/>
      <c r="E72" s="239"/>
      <c r="F72" s="239"/>
      <c r="G72" s="239"/>
      <c r="H72" s="239"/>
      <c r="I72" s="208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04" t="s">
        <v>89</v>
      </c>
      <c r="C73" s="304"/>
      <c r="D73" s="304"/>
      <c r="E73" s="304"/>
      <c r="F73" s="304"/>
      <c r="G73" s="304"/>
      <c r="H73" s="304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177">
        <v>3</v>
      </c>
      <c r="C74" s="287" t="s">
        <v>79</v>
      </c>
      <c r="D74" s="305"/>
      <c r="E74" s="305"/>
      <c r="F74" s="288"/>
      <c r="G74" s="177" t="s">
        <v>2</v>
      </c>
      <c r="H74" s="177" t="s">
        <v>67</v>
      </c>
      <c r="I74" s="208"/>
      <c r="J74" s="143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47" t="s">
        <v>5</v>
      </c>
      <c r="C75" s="164" t="s">
        <v>118</v>
      </c>
      <c r="D75" s="292" t="s">
        <v>188</v>
      </c>
      <c r="E75" s="293"/>
      <c r="F75" s="294"/>
      <c r="G75" s="87">
        <v>0.3</v>
      </c>
      <c r="H75" s="31">
        <f>TRUNC((H$76+H$77)*$G75,2)</f>
        <v>135.71</v>
      </c>
      <c r="I75" s="24"/>
      <c r="J75" s="140"/>
      <c r="K75" s="119"/>
      <c r="L75" s="119"/>
      <c r="M75" s="120"/>
      <c r="N75" s="121"/>
      <c r="O75" s="144"/>
      <c r="P75" s="121"/>
      <c r="Q75" s="121"/>
      <c r="R75" s="121"/>
    </row>
    <row r="76" spans="2:18" x14ac:dyDescent="0.2">
      <c r="B76" s="247" t="s">
        <v>6</v>
      </c>
      <c r="C76" s="175" t="s">
        <v>119</v>
      </c>
      <c r="D76" s="292" t="s">
        <v>210</v>
      </c>
      <c r="E76" s="293"/>
      <c r="F76" s="294"/>
      <c r="G76" s="32"/>
      <c r="H76" s="27">
        <f>TRUNC((H$31+H$40+H$52+H$63-H57)/12,2)</f>
        <v>343.98</v>
      </c>
      <c r="I76" s="195"/>
      <c r="J76" s="137"/>
      <c r="K76" s="119"/>
      <c r="L76" s="119"/>
      <c r="M76" s="120"/>
      <c r="N76" s="121"/>
      <c r="O76" s="145"/>
      <c r="P76" s="121"/>
      <c r="Q76" s="121"/>
      <c r="R76" s="121"/>
    </row>
    <row r="77" spans="2:18" x14ac:dyDescent="0.2">
      <c r="B77" s="247" t="s">
        <v>7</v>
      </c>
      <c r="C77" s="175" t="s">
        <v>120</v>
      </c>
      <c r="D77" s="292" t="s">
        <v>200</v>
      </c>
      <c r="E77" s="294"/>
      <c r="F77" s="89">
        <v>0.4</v>
      </c>
      <c r="G77" s="32"/>
      <c r="H77" s="27">
        <f>TRUNC(H$52*$F77,2)</f>
        <v>108.4</v>
      </c>
      <c r="I77" s="195"/>
      <c r="J77" s="137"/>
      <c r="K77" s="119"/>
      <c r="L77" s="119"/>
      <c r="M77" s="120"/>
      <c r="N77" s="121"/>
      <c r="O77" s="145"/>
      <c r="P77" s="121"/>
      <c r="Q77" s="121"/>
      <c r="R77" s="121"/>
    </row>
    <row r="78" spans="2:18" x14ac:dyDescent="0.2">
      <c r="B78" s="247" t="s">
        <v>8</v>
      </c>
      <c r="C78" s="164" t="s">
        <v>121</v>
      </c>
      <c r="D78" s="292" t="s">
        <v>189</v>
      </c>
      <c r="E78" s="293"/>
      <c r="F78" s="294"/>
      <c r="G78" s="87">
        <v>1</v>
      </c>
      <c r="H78" s="168">
        <f>IF($G78&gt;=1,(TRUNC(H$79*$G78,2)),"ERRO")</f>
        <v>108.4</v>
      </c>
      <c r="I78" s="197"/>
      <c r="J78" s="137"/>
      <c r="K78" s="119"/>
      <c r="L78" s="119"/>
      <c r="M78" s="120"/>
      <c r="N78" s="121"/>
      <c r="O78" s="141"/>
      <c r="P78" s="121"/>
      <c r="Q78" s="121"/>
      <c r="R78" s="121"/>
    </row>
    <row r="79" spans="2:18" x14ac:dyDescent="0.2">
      <c r="B79" s="247" t="s">
        <v>9</v>
      </c>
      <c r="C79" s="175" t="s">
        <v>122</v>
      </c>
      <c r="D79" s="292" t="s">
        <v>200</v>
      </c>
      <c r="E79" s="294"/>
      <c r="F79" s="89">
        <v>0.4</v>
      </c>
      <c r="G79" s="32"/>
      <c r="H79" s="27">
        <f>TRUNC(H$52*$F79,2)</f>
        <v>108.4</v>
      </c>
      <c r="I79" s="195"/>
      <c r="J79" s="137"/>
      <c r="K79" s="119"/>
      <c r="L79" s="119"/>
      <c r="M79" s="120"/>
      <c r="N79" s="121"/>
      <c r="O79" s="141"/>
      <c r="P79" s="121"/>
      <c r="Q79" s="121"/>
      <c r="R79" s="121"/>
    </row>
    <row r="80" spans="2:18" x14ac:dyDescent="0.2">
      <c r="B80" s="247" t="s">
        <v>10</v>
      </c>
      <c r="C80" s="164" t="s">
        <v>207</v>
      </c>
      <c r="D80" s="337" t="s">
        <v>201</v>
      </c>
      <c r="E80" s="338"/>
      <c r="F80" s="88">
        <v>12</v>
      </c>
      <c r="G80" s="88">
        <v>3</v>
      </c>
      <c r="H80" s="27">
        <f>TRUNC(((H$31+H$40+H$53)/30)*$G80/$F80,2)</f>
        <v>38.619999999999997</v>
      </c>
      <c r="I80" s="195"/>
      <c r="J80" s="190"/>
      <c r="K80" s="120"/>
      <c r="L80" s="120"/>
      <c r="M80" s="120"/>
      <c r="N80" s="121"/>
      <c r="O80" s="141"/>
      <c r="P80" s="121"/>
      <c r="Q80" s="121"/>
      <c r="R80" s="121"/>
    </row>
    <row r="81" spans="2:18" x14ac:dyDescent="0.2">
      <c r="B81" s="247" t="s">
        <v>175</v>
      </c>
      <c r="C81" s="287" t="s">
        <v>78</v>
      </c>
      <c r="D81" s="305"/>
      <c r="E81" s="305"/>
      <c r="F81" s="305"/>
      <c r="G81" s="288"/>
      <c r="H81" s="23">
        <f>H$75+H$78+H$80</f>
        <v>282.73</v>
      </c>
      <c r="I81" s="24"/>
      <c r="J81" s="121"/>
      <c r="K81" s="121"/>
      <c r="L81" s="121"/>
      <c r="M81" s="120"/>
      <c r="N81" s="121"/>
      <c r="O81" s="121"/>
      <c r="P81" s="121"/>
      <c r="Q81" s="121"/>
      <c r="R81" s="121"/>
    </row>
    <row r="82" spans="2:18" x14ac:dyDescent="0.2">
      <c r="B82" s="185"/>
      <c r="C82" s="185"/>
      <c r="D82" s="185"/>
      <c r="E82" s="185"/>
      <c r="F82" s="185"/>
      <c r="G82" s="185"/>
      <c r="H82" s="185"/>
      <c r="I82" s="185"/>
      <c r="J82" s="137"/>
      <c r="K82" s="119"/>
      <c r="L82" s="119"/>
      <c r="M82" s="120"/>
      <c r="N82" s="121"/>
      <c r="O82" s="121"/>
      <c r="P82" s="121"/>
      <c r="Q82" s="121"/>
      <c r="R82" s="121"/>
    </row>
    <row r="83" spans="2:18" x14ac:dyDescent="0.2">
      <c r="B83" s="239"/>
      <c r="C83" s="239"/>
      <c r="D83" s="239"/>
      <c r="E83" s="239"/>
      <c r="F83" s="239"/>
      <c r="G83" s="239"/>
      <c r="H83" s="239"/>
      <c r="I83" s="208"/>
      <c r="J83" s="137"/>
      <c r="K83" s="119"/>
      <c r="L83" s="119"/>
      <c r="M83" s="120"/>
      <c r="N83" s="121"/>
      <c r="O83" s="121"/>
      <c r="P83" s="121"/>
      <c r="Q83" s="121"/>
      <c r="R83" s="121"/>
    </row>
    <row r="84" spans="2:18" x14ac:dyDescent="0.2">
      <c r="B84" s="304" t="s">
        <v>90</v>
      </c>
      <c r="C84" s="304"/>
      <c r="D84" s="304"/>
      <c r="E84" s="304"/>
      <c r="F84" s="304"/>
      <c r="G84" s="304"/>
      <c r="H84" s="304"/>
      <c r="I84" s="208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331" t="s">
        <v>110</v>
      </c>
      <c r="C85" s="332"/>
      <c r="D85" s="332"/>
      <c r="E85" s="332"/>
      <c r="F85" s="332"/>
      <c r="G85" s="332"/>
      <c r="H85" s="333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177" t="s">
        <v>17</v>
      </c>
      <c r="C86" s="287" t="s">
        <v>111</v>
      </c>
      <c r="D86" s="305"/>
      <c r="E86" s="305"/>
      <c r="F86" s="288"/>
      <c r="G86" s="177" t="s">
        <v>126</v>
      </c>
      <c r="H86" s="177" t="s">
        <v>67</v>
      </c>
      <c r="I86" s="208"/>
      <c r="J86" s="119"/>
      <c r="K86" s="119"/>
      <c r="L86" s="119"/>
      <c r="M86" s="120"/>
      <c r="N86" s="146"/>
      <c r="O86" s="121"/>
      <c r="P86" s="121"/>
      <c r="Q86" s="121"/>
      <c r="R86" s="121"/>
    </row>
    <row r="87" spans="2:18" x14ac:dyDescent="0.2">
      <c r="B87" s="247" t="s">
        <v>5</v>
      </c>
      <c r="C87" s="175" t="s">
        <v>132</v>
      </c>
      <c r="D87" s="292" t="s">
        <v>181</v>
      </c>
      <c r="E87" s="293"/>
      <c r="F87" s="294"/>
      <c r="G87" s="88">
        <v>30</v>
      </c>
      <c r="H87" s="27">
        <f>TRUNC((H$89*$G87)/12,2)</f>
        <v>466</v>
      </c>
      <c r="I87" s="195"/>
      <c r="J87" s="140"/>
      <c r="K87" s="119"/>
      <c r="L87" s="119"/>
      <c r="M87" s="120"/>
      <c r="N87" s="146"/>
      <c r="O87" s="121"/>
      <c r="P87" s="121"/>
      <c r="Q87" s="121"/>
      <c r="R87" s="121"/>
    </row>
    <row r="88" spans="2:18" ht="22.5" x14ac:dyDescent="0.2">
      <c r="B88" s="247" t="s">
        <v>6</v>
      </c>
      <c r="C88" s="165" t="s">
        <v>187</v>
      </c>
      <c r="D88" s="334" t="s">
        <v>190</v>
      </c>
      <c r="E88" s="335"/>
      <c r="F88" s="336"/>
      <c r="G88" s="114">
        <v>8</v>
      </c>
      <c r="H88" s="27">
        <f>TRUNC((H$89*$G88)/12,2)</f>
        <v>124.26</v>
      </c>
      <c r="I88" s="195"/>
      <c r="J88" s="140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47" t="s">
        <v>7</v>
      </c>
      <c r="C89" s="175" t="s">
        <v>134</v>
      </c>
      <c r="D89" s="292" t="s">
        <v>174</v>
      </c>
      <c r="E89" s="293"/>
      <c r="F89" s="293"/>
      <c r="G89" s="294"/>
      <c r="H89" s="27">
        <f>TRUNC((H$31+H$70+H$81)/30,2)</f>
        <v>186.4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47" t="s">
        <v>176</v>
      </c>
      <c r="C90" s="287" t="s">
        <v>78</v>
      </c>
      <c r="D90" s="305"/>
      <c r="E90" s="305"/>
      <c r="F90" s="305"/>
      <c r="G90" s="288"/>
      <c r="H90" s="23">
        <f>TRUNC(H$87+H$88,2)</f>
        <v>590.26</v>
      </c>
      <c r="I90" s="24"/>
      <c r="J90" s="140"/>
      <c r="K90" s="119"/>
      <c r="L90" s="119"/>
      <c r="M90" s="120"/>
      <c r="N90" s="121"/>
      <c r="O90" s="121"/>
      <c r="P90" s="121"/>
      <c r="Q90" s="121"/>
      <c r="R90" s="121"/>
    </row>
    <row r="91" spans="2:18" x14ac:dyDescent="0.2">
      <c r="B91" s="147"/>
      <c r="C91" s="148"/>
      <c r="D91" s="148"/>
      <c r="E91" s="148"/>
      <c r="F91" s="148"/>
      <c r="G91" s="148"/>
      <c r="H91" s="149"/>
      <c r="I91" s="33"/>
      <c r="J91" s="137"/>
      <c r="K91" s="119"/>
      <c r="L91" s="119"/>
      <c r="M91" s="120"/>
      <c r="N91" s="121"/>
      <c r="O91" s="121"/>
      <c r="P91" s="121"/>
      <c r="Q91" s="121"/>
      <c r="R91" s="121"/>
    </row>
    <row r="92" spans="2:18" x14ac:dyDescent="0.2">
      <c r="B92" s="342" t="s">
        <v>112</v>
      </c>
      <c r="C92" s="343"/>
      <c r="D92" s="343"/>
      <c r="E92" s="343"/>
      <c r="F92" s="343"/>
      <c r="G92" s="343"/>
      <c r="H92" s="344"/>
      <c r="I92" s="208"/>
      <c r="J92" s="137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77" t="s">
        <v>18</v>
      </c>
      <c r="C93" s="287" t="s">
        <v>113</v>
      </c>
      <c r="D93" s="305"/>
      <c r="E93" s="305"/>
      <c r="F93" s="288"/>
      <c r="G93" s="177" t="s">
        <v>126</v>
      </c>
      <c r="H93" s="177" t="s">
        <v>67</v>
      </c>
      <c r="I93" s="208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ht="22.5" x14ac:dyDescent="0.2">
      <c r="B94" s="247" t="s">
        <v>5</v>
      </c>
      <c r="C94" s="165" t="s">
        <v>114</v>
      </c>
      <c r="D94" s="292" t="s">
        <v>212</v>
      </c>
      <c r="E94" s="293"/>
      <c r="F94" s="294"/>
      <c r="G94" s="88"/>
      <c r="H94" s="27">
        <f>TRUNC(((H$31+H70+H81)/220)*(1+50%)*G94,2)</f>
        <v>0</v>
      </c>
      <c r="I94" s="195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247" t="s">
        <v>177</v>
      </c>
      <c r="C95" s="287" t="s">
        <v>78</v>
      </c>
      <c r="D95" s="305"/>
      <c r="E95" s="305"/>
      <c r="F95" s="305"/>
      <c r="G95" s="288"/>
      <c r="H95" s="23">
        <f>H94</f>
        <v>0</v>
      </c>
      <c r="I95" s="195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249"/>
      <c r="C96" s="250"/>
      <c r="D96" s="250"/>
      <c r="E96" s="250"/>
      <c r="F96" s="250"/>
      <c r="G96" s="250"/>
      <c r="H96" s="251"/>
      <c r="I96" s="217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342" t="s">
        <v>91</v>
      </c>
      <c r="C97" s="343"/>
      <c r="D97" s="343"/>
      <c r="E97" s="343"/>
      <c r="F97" s="343"/>
      <c r="G97" s="343"/>
      <c r="H97" s="344"/>
      <c r="I97" s="208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177">
        <v>4</v>
      </c>
      <c r="C98" s="287" t="s">
        <v>92</v>
      </c>
      <c r="D98" s="305"/>
      <c r="E98" s="305"/>
      <c r="F98" s="305"/>
      <c r="G98" s="288"/>
      <c r="H98" s="177" t="s">
        <v>67</v>
      </c>
      <c r="I98" s="208"/>
      <c r="J98" s="137"/>
      <c r="K98" s="119"/>
      <c r="L98" s="119"/>
      <c r="M98" s="120"/>
      <c r="N98" s="150"/>
      <c r="O98" s="121"/>
      <c r="P98" s="121"/>
      <c r="Q98" s="121"/>
      <c r="R98" s="121"/>
    </row>
    <row r="99" spans="2:18" x14ac:dyDescent="0.2">
      <c r="B99" s="247" t="s">
        <v>17</v>
      </c>
      <c r="C99" s="175" t="s">
        <v>60</v>
      </c>
      <c r="D99" s="292" t="s">
        <v>176</v>
      </c>
      <c r="E99" s="293"/>
      <c r="F99" s="293"/>
      <c r="G99" s="294"/>
      <c r="H99" s="27">
        <f>H90</f>
        <v>590.26</v>
      </c>
      <c r="I99" s="195"/>
      <c r="J99" s="137"/>
      <c r="K99" s="137"/>
      <c r="L99" s="137"/>
      <c r="M99" s="137"/>
      <c r="N99" s="121"/>
      <c r="O99" s="121"/>
      <c r="P99" s="121"/>
      <c r="Q99" s="121"/>
      <c r="R99" s="121"/>
    </row>
    <row r="100" spans="2:18" x14ac:dyDescent="0.2">
      <c r="B100" s="247" t="s">
        <v>18</v>
      </c>
      <c r="C100" s="175" t="s">
        <v>62</v>
      </c>
      <c r="D100" s="292" t="s">
        <v>177</v>
      </c>
      <c r="E100" s="293"/>
      <c r="F100" s="293"/>
      <c r="G100" s="294"/>
      <c r="H100" s="27">
        <f>H95</f>
        <v>0</v>
      </c>
      <c r="I100" s="195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247" t="s">
        <v>178</v>
      </c>
      <c r="C101" s="287" t="s">
        <v>78</v>
      </c>
      <c r="D101" s="305"/>
      <c r="E101" s="305"/>
      <c r="F101" s="305"/>
      <c r="G101" s="288"/>
      <c r="H101" s="23">
        <f>SUM(H99:H100)</f>
        <v>590.26</v>
      </c>
      <c r="I101" s="24"/>
      <c r="J101" s="137"/>
      <c r="K101" s="119"/>
      <c r="L101" s="119"/>
      <c r="M101" s="120"/>
      <c r="N101" s="121"/>
      <c r="O101" s="121"/>
      <c r="P101" s="121"/>
      <c r="Q101" s="121"/>
      <c r="R101" s="121"/>
    </row>
    <row r="102" spans="2:18" x14ac:dyDescent="0.2">
      <c r="B102" s="239"/>
      <c r="C102" s="239"/>
      <c r="D102" s="239"/>
      <c r="E102" s="239"/>
      <c r="F102" s="239"/>
      <c r="G102" s="239"/>
      <c r="H102" s="239"/>
      <c r="I102" s="208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239"/>
      <c r="C103" s="239"/>
      <c r="D103" s="239"/>
      <c r="E103" s="239"/>
      <c r="F103" s="239"/>
      <c r="G103" s="239"/>
      <c r="H103" s="239"/>
      <c r="I103" s="208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304" t="s">
        <v>93</v>
      </c>
      <c r="C104" s="304"/>
      <c r="D104" s="304"/>
      <c r="E104" s="304"/>
      <c r="F104" s="304"/>
      <c r="G104" s="304"/>
      <c r="H104" s="304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177">
        <v>5</v>
      </c>
      <c r="C105" s="339" t="s">
        <v>80</v>
      </c>
      <c r="D105" s="340"/>
      <c r="E105" s="340"/>
      <c r="F105" s="340"/>
      <c r="G105" s="341"/>
      <c r="H105" s="177" t="s">
        <v>67</v>
      </c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47" t="s">
        <v>5</v>
      </c>
      <c r="C106" s="126" t="s">
        <v>63</v>
      </c>
      <c r="D106" s="127"/>
      <c r="E106" s="127"/>
      <c r="F106" s="127"/>
      <c r="G106" s="128"/>
      <c r="H106" s="129">
        <f>Insumos!G11</f>
        <v>105.67</v>
      </c>
      <c r="I106" s="195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247" t="s">
        <v>6</v>
      </c>
      <c r="C107" s="126" t="s">
        <v>236</v>
      </c>
      <c r="D107" s="127"/>
      <c r="E107" s="127"/>
      <c r="F107" s="127"/>
      <c r="G107" s="128"/>
      <c r="H107" s="129">
        <f>Insumos!G24</f>
        <v>27.6</v>
      </c>
      <c r="I107" s="195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47" t="s">
        <v>7</v>
      </c>
      <c r="C108" s="126" t="s">
        <v>14</v>
      </c>
      <c r="D108" s="127"/>
      <c r="E108" s="127"/>
      <c r="F108" s="127"/>
      <c r="G108" s="128"/>
      <c r="H108" s="129">
        <f>Insumos!H94</f>
        <v>61.579999999999991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8</v>
      </c>
      <c r="C109" s="126" t="s">
        <v>225</v>
      </c>
      <c r="D109" s="127"/>
      <c r="E109" s="127"/>
      <c r="F109" s="127"/>
      <c r="G109" s="128"/>
      <c r="H109" s="129">
        <f>Insumos!H39</f>
        <v>3.8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179</v>
      </c>
      <c r="C110" s="161" t="s">
        <v>78</v>
      </c>
      <c r="D110" s="161"/>
      <c r="E110" s="161"/>
      <c r="F110" s="161"/>
      <c r="G110" s="162"/>
      <c r="H110" s="23">
        <f>SUM(H106:H109)</f>
        <v>198.65</v>
      </c>
      <c r="I110" s="24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9"/>
      <c r="C111" s="239"/>
      <c r="D111" s="239"/>
      <c r="E111" s="239"/>
      <c r="F111" s="239"/>
      <c r="G111" s="151"/>
      <c r="H111" s="136"/>
      <c r="I111" s="24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39"/>
      <c r="C112" s="239"/>
      <c r="D112" s="239"/>
      <c r="E112" s="239"/>
      <c r="F112" s="239"/>
      <c r="G112" s="239"/>
      <c r="H112" s="239"/>
      <c r="I112" s="208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304" t="s">
        <v>94</v>
      </c>
      <c r="C113" s="304"/>
      <c r="D113" s="304"/>
      <c r="E113" s="304"/>
      <c r="F113" s="304"/>
      <c r="G113" s="304"/>
      <c r="H113" s="304"/>
      <c r="I113" s="208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177">
        <v>6</v>
      </c>
      <c r="C114" s="287" t="s">
        <v>81</v>
      </c>
      <c r="D114" s="305"/>
      <c r="E114" s="305"/>
      <c r="F114" s="288"/>
      <c r="G114" s="177" t="s">
        <v>2</v>
      </c>
      <c r="H114" s="177" t="s">
        <v>67</v>
      </c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47" t="s">
        <v>5</v>
      </c>
      <c r="C115" s="175" t="s">
        <v>19</v>
      </c>
      <c r="D115" s="292" t="s">
        <v>191</v>
      </c>
      <c r="E115" s="293"/>
      <c r="F115" s="294"/>
      <c r="G115" s="103">
        <v>0.05</v>
      </c>
      <c r="H115" s="27">
        <f>TRUNC(H$132*$G115,2)</f>
        <v>319.05</v>
      </c>
      <c r="I115" s="195"/>
      <c r="J115" s="119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247" t="s">
        <v>6</v>
      </c>
      <c r="C116" s="175" t="s">
        <v>4</v>
      </c>
      <c r="D116" s="292" t="s">
        <v>192</v>
      </c>
      <c r="E116" s="293"/>
      <c r="F116" s="294"/>
      <c r="G116" s="103">
        <v>0.1</v>
      </c>
      <c r="H116" s="27">
        <f>TRUNC((H$132+H$115)*$G116,2)</f>
        <v>670.02</v>
      </c>
      <c r="I116" s="195"/>
      <c r="J116" s="119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47" t="s">
        <v>7</v>
      </c>
      <c r="C117" s="175" t="s">
        <v>143</v>
      </c>
      <c r="D117" s="292" t="s">
        <v>193</v>
      </c>
      <c r="E117" s="293"/>
      <c r="F117" s="294"/>
      <c r="G117" s="105">
        <f>1-(G118+G119+G120)</f>
        <v>0.85749999999999993</v>
      </c>
      <c r="H117" s="34">
        <f>TRUNC(((H$132+H$115+H$116)/$G117),2)</f>
        <v>8595.02</v>
      </c>
      <c r="I117" s="19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40</v>
      </c>
      <c r="C118" s="175" t="s">
        <v>37</v>
      </c>
      <c r="D118" s="292" t="s">
        <v>194</v>
      </c>
      <c r="E118" s="293"/>
      <c r="F118" s="294"/>
      <c r="G118" s="104">
        <v>1.6500000000000001E-2</v>
      </c>
      <c r="H118" s="27">
        <f>TRUNC(H$117*$G118,2)</f>
        <v>141.81</v>
      </c>
      <c r="I118" s="195"/>
      <c r="J118" s="137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41</v>
      </c>
      <c r="C119" s="175" t="s">
        <v>38</v>
      </c>
      <c r="D119" s="292" t="s">
        <v>194</v>
      </c>
      <c r="E119" s="293"/>
      <c r="F119" s="294"/>
      <c r="G119" s="104">
        <v>7.5999999999999998E-2</v>
      </c>
      <c r="H119" s="27">
        <f>TRUNC(H$117*$G119,2)</f>
        <v>653.22</v>
      </c>
      <c r="I119" s="195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42</v>
      </c>
      <c r="C120" s="175" t="s">
        <v>39</v>
      </c>
      <c r="D120" s="292" t="s">
        <v>194</v>
      </c>
      <c r="E120" s="293"/>
      <c r="F120" s="294"/>
      <c r="G120" s="104">
        <v>0.05</v>
      </c>
      <c r="H120" s="27">
        <f>TRUNC(H$117*$G120,2)</f>
        <v>429.75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180</v>
      </c>
      <c r="C121" s="242" t="s">
        <v>78</v>
      </c>
      <c r="D121" s="345" t="s">
        <v>182</v>
      </c>
      <c r="E121" s="345"/>
      <c r="F121" s="345"/>
      <c r="G121" s="346"/>
      <c r="H121" s="23">
        <f>SUM(H115:H120)-H117</f>
        <v>2213.8499999999985</v>
      </c>
      <c r="I121" s="24"/>
      <c r="J121" s="140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124"/>
      <c r="C122" s="124"/>
      <c r="D122" s="124"/>
      <c r="E122" s="124"/>
      <c r="F122" s="124"/>
      <c r="G122" s="124"/>
      <c r="H122" s="152"/>
      <c r="I122" s="35"/>
      <c r="J122" s="119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303" t="s">
        <v>319</v>
      </c>
      <c r="C123" s="303"/>
      <c r="D123" s="303"/>
      <c r="E123" s="303"/>
      <c r="F123" s="303"/>
      <c r="G123" s="303"/>
      <c r="H123" s="303"/>
      <c r="I123" s="209"/>
      <c r="J123" s="119"/>
      <c r="K123" s="153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41"/>
      <c r="C124" s="241"/>
      <c r="D124" s="241"/>
      <c r="E124" s="241"/>
      <c r="F124" s="241"/>
      <c r="G124" s="241"/>
      <c r="H124" s="241"/>
      <c r="I124" s="209"/>
      <c r="J124" s="119"/>
      <c r="K124" s="153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04" t="s">
        <v>116</v>
      </c>
      <c r="C125" s="304"/>
      <c r="D125" s="304"/>
      <c r="E125" s="304"/>
      <c r="F125" s="304"/>
      <c r="G125" s="304"/>
      <c r="H125" s="304"/>
      <c r="I125" s="208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ht="12.75" customHeight="1" x14ac:dyDescent="0.2">
      <c r="B126" s="36"/>
      <c r="C126" s="347" t="s">
        <v>144</v>
      </c>
      <c r="D126" s="348"/>
      <c r="E126" s="348"/>
      <c r="F126" s="348"/>
      <c r="G126" s="349"/>
      <c r="H126" s="177" t="s">
        <v>67</v>
      </c>
      <c r="I126" s="208"/>
      <c r="J126" s="119"/>
      <c r="K126" s="119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47" t="s">
        <v>5</v>
      </c>
      <c r="C127" s="165" t="s">
        <v>97</v>
      </c>
      <c r="D127" s="292" t="s">
        <v>157</v>
      </c>
      <c r="E127" s="293"/>
      <c r="F127" s="293"/>
      <c r="G127" s="294"/>
      <c r="H127" s="27">
        <f>H31</f>
        <v>2836.33</v>
      </c>
      <c r="I127" s="195"/>
      <c r="J127" s="119"/>
      <c r="K127" s="119"/>
      <c r="L127" s="119"/>
      <c r="M127" s="120"/>
      <c r="N127" s="121"/>
      <c r="O127" s="121"/>
      <c r="P127" s="121"/>
      <c r="Q127" s="121"/>
      <c r="R127" s="121"/>
    </row>
    <row r="128" spans="2:18" ht="22.5" x14ac:dyDescent="0.2">
      <c r="B128" s="247" t="s">
        <v>6</v>
      </c>
      <c r="C128" s="165" t="s">
        <v>98</v>
      </c>
      <c r="D128" s="292" t="s">
        <v>171</v>
      </c>
      <c r="E128" s="293"/>
      <c r="F128" s="293"/>
      <c r="G128" s="294"/>
      <c r="H128" s="27">
        <f>H70</f>
        <v>2473.1902</v>
      </c>
      <c r="I128" s="195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247" t="s">
        <v>7</v>
      </c>
      <c r="C129" s="165" t="s">
        <v>99</v>
      </c>
      <c r="D129" s="292" t="s">
        <v>175</v>
      </c>
      <c r="E129" s="293"/>
      <c r="F129" s="293"/>
      <c r="G129" s="294"/>
      <c r="H129" s="27">
        <f>H81</f>
        <v>282.73</v>
      </c>
      <c r="I129" s="195"/>
      <c r="J129" s="119"/>
      <c r="K129" s="153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247" t="s">
        <v>8</v>
      </c>
      <c r="C130" s="165" t="s">
        <v>61</v>
      </c>
      <c r="D130" s="292" t="s">
        <v>178</v>
      </c>
      <c r="E130" s="293"/>
      <c r="F130" s="293"/>
      <c r="G130" s="294"/>
      <c r="H130" s="27">
        <f>H101</f>
        <v>590.26</v>
      </c>
      <c r="I130" s="195"/>
      <c r="J130" s="119"/>
      <c r="K130" s="153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47" t="s">
        <v>9</v>
      </c>
      <c r="C131" s="165" t="s">
        <v>100</v>
      </c>
      <c r="D131" s="292" t="s">
        <v>179</v>
      </c>
      <c r="E131" s="293"/>
      <c r="F131" s="293"/>
      <c r="G131" s="294"/>
      <c r="H131" s="27">
        <f>H110</f>
        <v>198.65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6" t="s">
        <v>10</v>
      </c>
      <c r="C132" s="164" t="s">
        <v>64</v>
      </c>
      <c r="D132" s="357" t="s">
        <v>198</v>
      </c>
      <c r="E132" s="358"/>
      <c r="F132" s="358"/>
      <c r="G132" s="359"/>
      <c r="H132" s="31">
        <f>SUM(H127:H131)</f>
        <v>6381.1602000000003</v>
      </c>
      <c r="I132" s="24"/>
      <c r="J132" s="119"/>
      <c r="K132" s="154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47" t="s">
        <v>11</v>
      </c>
      <c r="C133" s="175" t="s">
        <v>101</v>
      </c>
      <c r="D133" s="292" t="s">
        <v>180</v>
      </c>
      <c r="E133" s="293"/>
      <c r="F133" s="293"/>
      <c r="G133" s="294"/>
      <c r="H133" s="27">
        <f>H121</f>
        <v>2213.8499999999985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7" t="s">
        <v>183</v>
      </c>
      <c r="C134" s="238" t="s">
        <v>96</v>
      </c>
      <c r="D134" s="350" t="s">
        <v>197</v>
      </c>
      <c r="E134" s="345"/>
      <c r="F134" s="345"/>
      <c r="G134" s="346"/>
      <c r="H134" s="37">
        <f>SUM(H132:H133)</f>
        <v>8595.0101999999988</v>
      </c>
      <c r="I134" s="213"/>
      <c r="J134" s="119"/>
      <c r="K134" s="155"/>
      <c r="L134" s="119"/>
      <c r="M134" s="120"/>
      <c r="N134" s="121"/>
      <c r="O134" s="121"/>
      <c r="P134" s="121"/>
      <c r="Q134" s="121"/>
      <c r="R134" s="121"/>
    </row>
    <row r="135" spans="2:18" ht="12.75" hidden="1" customHeight="1" x14ac:dyDescent="0.2">
      <c r="B135" s="14"/>
      <c r="C135" s="14"/>
      <c r="D135" s="14"/>
      <c r="E135" s="14"/>
      <c r="F135" s="14"/>
      <c r="G135" s="14"/>
      <c r="H135" s="38"/>
      <c r="I135" s="214"/>
      <c r="J135" s="156"/>
      <c r="K135" s="156"/>
      <c r="L135" s="156"/>
      <c r="M135" s="121"/>
      <c r="N135" s="121"/>
      <c r="O135" s="121"/>
      <c r="P135" s="121"/>
      <c r="Q135" s="121"/>
      <c r="R135" s="121"/>
    </row>
    <row r="136" spans="2:18" ht="40.5" hidden="1" customHeight="1" x14ac:dyDescent="0.2">
      <c r="B136" s="39"/>
      <c r="C136" s="39" t="s">
        <v>20</v>
      </c>
      <c r="D136" s="39"/>
      <c r="E136" s="39"/>
      <c r="F136" s="39"/>
      <c r="G136" s="40"/>
      <c r="H136" s="40"/>
      <c r="I136" s="215"/>
      <c r="J136" s="156"/>
      <c r="K136" s="156"/>
      <c r="L136" s="156"/>
      <c r="M136" s="121"/>
      <c r="N136" s="121"/>
      <c r="O136" s="121"/>
      <c r="P136" s="121"/>
      <c r="Q136" s="121"/>
      <c r="R136" s="121"/>
    </row>
    <row r="137" spans="2:18" ht="39" hidden="1" customHeight="1" x14ac:dyDescent="0.2">
      <c r="B137" s="351" t="s">
        <v>22</v>
      </c>
      <c r="C137" s="352"/>
      <c r="D137" s="252"/>
      <c r="E137" s="252"/>
      <c r="F137" s="252"/>
      <c r="G137" s="41" t="s">
        <v>21</v>
      </c>
      <c r="H137" s="42" t="s">
        <v>0</v>
      </c>
      <c r="I137" s="215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12.75" hidden="1" customHeight="1" x14ac:dyDescent="0.2">
      <c r="B138" s="353" t="s">
        <v>23</v>
      </c>
      <c r="C138" s="354"/>
      <c r="D138" s="43"/>
      <c r="E138" s="43"/>
      <c r="F138" s="43"/>
      <c r="G138" s="44"/>
      <c r="H138" s="45">
        <v>0</v>
      </c>
      <c r="I138" s="199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12.75" hidden="1" customHeight="1" x14ac:dyDescent="0.2">
      <c r="B139" s="355" t="s">
        <v>24</v>
      </c>
      <c r="C139" s="356"/>
      <c r="D139" s="46"/>
      <c r="E139" s="46"/>
      <c r="F139" s="46"/>
      <c r="G139" s="47"/>
      <c r="H139" s="48">
        <v>0</v>
      </c>
      <c r="I139" s="199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55" t="s">
        <v>25</v>
      </c>
      <c r="C140" s="356"/>
      <c r="D140" s="46"/>
      <c r="E140" s="46"/>
      <c r="F140" s="46"/>
      <c r="G140" s="47"/>
      <c r="H140" s="48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55" t="s">
        <v>26</v>
      </c>
      <c r="C141" s="356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71"/>
      <c r="C142" s="372"/>
      <c r="D142" s="49"/>
      <c r="E142" s="49"/>
      <c r="F142" s="49"/>
      <c r="G142" s="50"/>
      <c r="H142" s="48"/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3.5" hidden="1" customHeight="1" x14ac:dyDescent="0.2">
      <c r="B143" s="373"/>
      <c r="C143" s="374"/>
      <c r="D143" s="51"/>
      <c r="E143" s="51"/>
      <c r="F143" s="51"/>
      <c r="G143" s="52"/>
      <c r="H143" s="53"/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3.5" hidden="1" customHeight="1" x14ac:dyDescent="0.2">
      <c r="B144" s="54" t="s">
        <v>27</v>
      </c>
      <c r="C144" s="55"/>
      <c r="D144" s="55"/>
      <c r="E144" s="55"/>
      <c r="F144" s="55"/>
      <c r="G144" s="56"/>
      <c r="H144" s="57">
        <f>SUM(H142:H143)</f>
        <v>0</v>
      </c>
      <c r="I144" s="200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14"/>
      <c r="C145" s="14"/>
      <c r="D145" s="14"/>
      <c r="E145" s="14"/>
      <c r="F145" s="14"/>
      <c r="G145" s="14"/>
      <c r="H145" s="14"/>
      <c r="I145" s="18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9" t="s">
        <v>28</v>
      </c>
      <c r="C146" s="39" t="s">
        <v>29</v>
      </c>
      <c r="D146" s="39"/>
      <c r="E146" s="39"/>
      <c r="F146" s="39"/>
      <c r="G146" s="40"/>
      <c r="H146" s="40"/>
      <c r="I146" s="215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8" t="s">
        <v>30</v>
      </c>
      <c r="C147" s="59"/>
      <c r="D147" s="59"/>
      <c r="E147" s="59"/>
      <c r="F147" s="59"/>
      <c r="G147" s="59"/>
      <c r="H147" s="60"/>
      <c r="I147" s="215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61"/>
      <c r="C148" s="62" t="s">
        <v>31</v>
      </c>
      <c r="D148" s="63"/>
      <c r="E148" s="63"/>
      <c r="F148" s="63"/>
      <c r="G148" s="64"/>
      <c r="H148" s="42" t="s">
        <v>0</v>
      </c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2.75" hidden="1" customHeight="1" x14ac:dyDescent="0.2">
      <c r="B149" s="65" t="s">
        <v>5</v>
      </c>
      <c r="C149" s="66" t="s">
        <v>32</v>
      </c>
      <c r="D149" s="67"/>
      <c r="E149" s="67"/>
      <c r="F149" s="67"/>
      <c r="G149" s="68"/>
      <c r="H149" s="69">
        <f>H118</f>
        <v>141.81</v>
      </c>
      <c r="I149" s="199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70" t="s">
        <v>6</v>
      </c>
      <c r="C150" s="71" t="s">
        <v>33</v>
      </c>
      <c r="D150" s="72"/>
      <c r="E150" s="72"/>
      <c r="F150" s="72"/>
      <c r="G150" s="73"/>
      <c r="H150" s="74" t="e">
        <f>#REF!</f>
        <v>#REF!</v>
      </c>
      <c r="I150" s="199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3.5" hidden="1" customHeight="1" x14ac:dyDescent="0.2">
      <c r="B151" s="70" t="s">
        <v>7</v>
      </c>
      <c r="C151" s="75" t="s">
        <v>34</v>
      </c>
      <c r="D151" s="76"/>
      <c r="E151" s="76"/>
      <c r="F151" s="76"/>
      <c r="G151" s="77"/>
      <c r="H151" s="74">
        <f>H121</f>
        <v>2213.8499999999985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8" t="s">
        <v>16</v>
      </c>
      <c r="C152" s="79"/>
      <c r="D152" s="79"/>
      <c r="E152" s="79"/>
      <c r="F152" s="79"/>
      <c r="G152" s="80"/>
      <c r="H152" s="57" t="e">
        <f>SUM(H149:H151)</f>
        <v>#REF!</v>
      </c>
      <c r="I152" s="200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2.75" hidden="1" customHeight="1" x14ac:dyDescent="0.2">
      <c r="B153" s="81" t="s">
        <v>15</v>
      </c>
      <c r="C153" s="14" t="s">
        <v>35</v>
      </c>
      <c r="D153" s="14"/>
      <c r="E153" s="14"/>
      <c r="F153" s="14"/>
      <c r="G153" s="14"/>
      <c r="H153" s="14"/>
      <c r="I153" s="18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2.75" hidden="1" customHeight="1" x14ac:dyDescent="0.2">
      <c r="B154" s="14"/>
      <c r="C154" s="14"/>
      <c r="D154" s="14"/>
      <c r="E154" s="14"/>
      <c r="F154" s="14"/>
      <c r="G154" s="14"/>
      <c r="H154" s="14"/>
      <c r="I154" s="18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x14ac:dyDescent="0.2"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x14ac:dyDescent="0.2">
      <c r="B156" s="375" t="s">
        <v>320</v>
      </c>
      <c r="C156" s="375"/>
      <c r="D156" s="375"/>
      <c r="E156" s="375"/>
      <c r="F156" s="375"/>
      <c r="I156" s="18"/>
      <c r="J156" s="188"/>
      <c r="K156" s="157"/>
      <c r="L156" s="156"/>
      <c r="M156" s="121"/>
      <c r="N156" s="121"/>
      <c r="O156" s="121"/>
      <c r="P156" s="121"/>
      <c r="Q156" s="121"/>
      <c r="R156" s="121"/>
    </row>
    <row r="157" spans="2:18" x14ac:dyDescent="0.2">
      <c r="B157" s="158"/>
      <c r="C157" s="158"/>
      <c r="D157" s="158"/>
      <c r="E157" s="142"/>
      <c r="F157" s="142"/>
      <c r="I157" s="18"/>
    </row>
    <row r="158" spans="2:18" x14ac:dyDescent="0.2">
      <c r="B158" s="299" t="s">
        <v>202</v>
      </c>
      <c r="C158" s="299"/>
      <c r="D158" s="299"/>
      <c r="E158" s="299"/>
      <c r="F158" s="299"/>
      <c r="G158" s="299"/>
      <c r="H158" s="299"/>
      <c r="I158" s="210"/>
      <c r="J158" s="188"/>
    </row>
    <row r="159" spans="2:18" x14ac:dyDescent="0.2">
      <c r="B159" s="247" t="s">
        <v>5</v>
      </c>
      <c r="C159" s="167" t="s">
        <v>127</v>
      </c>
      <c r="D159" s="364" t="s">
        <v>183</v>
      </c>
      <c r="E159" s="365"/>
      <c r="F159" s="365"/>
      <c r="G159" s="366"/>
      <c r="H159" s="12">
        <f>H134</f>
        <v>8595.0101999999988</v>
      </c>
      <c r="I159" s="207"/>
    </row>
    <row r="160" spans="2:18" ht="22.5" x14ac:dyDescent="0.2">
      <c r="B160" s="247" t="s">
        <v>6</v>
      </c>
      <c r="C160" s="166" t="s">
        <v>185</v>
      </c>
      <c r="D160" s="364" t="s">
        <v>186</v>
      </c>
      <c r="E160" s="365"/>
      <c r="F160" s="365"/>
      <c r="G160" s="366"/>
      <c r="H160" s="12">
        <f>H40+H81+H99</f>
        <v>1424.49</v>
      </c>
      <c r="I160" s="201"/>
    </row>
    <row r="161" spans="2:14" ht="22.5" x14ac:dyDescent="0.2">
      <c r="B161" s="247" t="s">
        <v>7</v>
      </c>
      <c r="C161" s="205" t="s">
        <v>203</v>
      </c>
      <c r="D161" s="376" t="s">
        <v>211</v>
      </c>
      <c r="E161" s="377"/>
      <c r="F161" s="377"/>
      <c r="G161" s="378"/>
      <c r="H161" s="206">
        <f>TRUNC((H$40*$G53),2)</f>
        <v>202.95</v>
      </c>
      <c r="I161" s="207"/>
      <c r="J161" s="187"/>
    </row>
    <row r="162" spans="2:14" ht="12.75" customHeight="1" x14ac:dyDescent="0.2">
      <c r="B162" s="247" t="s">
        <v>8</v>
      </c>
      <c r="C162" s="166" t="s">
        <v>19</v>
      </c>
      <c r="D162" s="361" t="s">
        <v>195</v>
      </c>
      <c r="E162" s="362"/>
      <c r="F162" s="363"/>
      <c r="G162" s="13">
        <f>G115</f>
        <v>0.05</v>
      </c>
      <c r="H162" s="12">
        <f>TRUNC((H$160+H$161)*$G162,2)</f>
        <v>81.37</v>
      </c>
      <c r="I162" s="201"/>
      <c r="J162" s="360"/>
      <c r="K162" s="360"/>
      <c r="L162" s="360"/>
      <c r="M162" s="360"/>
      <c r="N162" s="360"/>
    </row>
    <row r="163" spans="2:14" ht="12.75" customHeight="1" x14ac:dyDescent="0.2">
      <c r="B163" s="247" t="s">
        <v>9</v>
      </c>
      <c r="C163" s="166" t="s">
        <v>4</v>
      </c>
      <c r="D163" s="361" t="s">
        <v>196</v>
      </c>
      <c r="E163" s="362"/>
      <c r="F163" s="363"/>
      <c r="G163" s="13">
        <f>G116</f>
        <v>0.1</v>
      </c>
      <c r="H163" s="12">
        <f>TRUNC((H$160+H$161+H$162)*$G163,2)</f>
        <v>170.88</v>
      </c>
      <c r="I163" s="201"/>
      <c r="J163" s="360"/>
      <c r="K163" s="360"/>
      <c r="L163" s="360"/>
      <c r="M163" s="360"/>
      <c r="N163" s="360"/>
    </row>
    <row r="164" spans="2:14" ht="12.75" customHeight="1" x14ac:dyDescent="0.2">
      <c r="B164" s="247" t="s">
        <v>10</v>
      </c>
      <c r="C164" s="166" t="s">
        <v>128</v>
      </c>
      <c r="D164" s="361" t="s">
        <v>205</v>
      </c>
      <c r="E164" s="362"/>
      <c r="F164" s="363"/>
      <c r="G164" s="13">
        <f>G118+G119+G120</f>
        <v>0.14250000000000002</v>
      </c>
      <c r="H164" s="12">
        <f>TRUNC((H$160+H$161+H$162+H$163)/(1-$G164)-(H$160+H$161+H$162+H$163),2)</f>
        <v>312.36</v>
      </c>
      <c r="I164" s="201"/>
      <c r="J164" s="360"/>
      <c r="K164" s="360"/>
      <c r="L164" s="360"/>
      <c r="M164" s="360"/>
      <c r="N164" s="360"/>
    </row>
    <row r="165" spans="2:14" ht="22.5" x14ac:dyDescent="0.2">
      <c r="B165" s="247" t="s">
        <v>11</v>
      </c>
      <c r="C165" s="274" t="s">
        <v>129</v>
      </c>
      <c r="D165" s="364" t="s">
        <v>206</v>
      </c>
      <c r="E165" s="365"/>
      <c r="F165" s="365"/>
      <c r="G165" s="366"/>
      <c r="H165" s="275">
        <f>SUM(H160:H164)</f>
        <v>2192.0500000000002</v>
      </c>
      <c r="I165" s="202"/>
    </row>
    <row r="166" spans="2:14" x14ac:dyDescent="0.2">
      <c r="B166" s="273" t="s">
        <v>184</v>
      </c>
      <c r="C166" s="276" t="s">
        <v>154</v>
      </c>
      <c r="D166" s="367" t="s">
        <v>204</v>
      </c>
      <c r="E166" s="368"/>
      <c r="F166" s="368"/>
      <c r="G166" s="369"/>
      <c r="H166" s="277">
        <f>H159-H165</f>
        <v>6402.9601999999986</v>
      </c>
      <c r="I166" s="216"/>
    </row>
    <row r="167" spans="2:14" ht="45" customHeight="1" x14ac:dyDescent="0.2">
      <c r="B167" s="370" t="s">
        <v>153</v>
      </c>
      <c r="C167" s="370"/>
      <c r="D167" s="370"/>
      <c r="E167" s="370"/>
      <c r="F167" s="370"/>
      <c r="G167" s="370"/>
      <c r="H167" s="370"/>
      <c r="I167" s="203"/>
    </row>
  </sheetData>
  <mergeCells count="139"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D26:F26"/>
    <mergeCell ref="D27:F27"/>
    <mergeCell ref="D28:F28"/>
    <mergeCell ref="D29:F29"/>
    <mergeCell ref="D30:F30"/>
    <mergeCell ref="B19:B20"/>
    <mergeCell ref="C19:H19"/>
    <mergeCell ref="C20:H20"/>
    <mergeCell ref="B22:H22"/>
    <mergeCell ref="B24:H24"/>
    <mergeCell ref="C25:F25"/>
    <mergeCell ref="D38:F38"/>
    <mergeCell ref="D39:F39"/>
    <mergeCell ref="C40:F40"/>
    <mergeCell ref="B41:H41"/>
    <mergeCell ref="B42:H42"/>
    <mergeCell ref="C43:F43"/>
    <mergeCell ref="C31:F31"/>
    <mergeCell ref="B34:H34"/>
    <mergeCell ref="B35:H35"/>
    <mergeCell ref="B36:H36"/>
    <mergeCell ref="C37:F37"/>
    <mergeCell ref="H46:H47"/>
    <mergeCell ref="J46:J47"/>
    <mergeCell ref="D48:F48"/>
    <mergeCell ref="D49:F49"/>
    <mergeCell ref="D50:F50"/>
    <mergeCell ref="D51:F51"/>
    <mergeCell ref="D44:F44"/>
    <mergeCell ref="D45:F45"/>
    <mergeCell ref="B46:B47"/>
    <mergeCell ref="C46:C47"/>
    <mergeCell ref="D46:D47"/>
    <mergeCell ref="G46:G47"/>
    <mergeCell ref="J57:N57"/>
    <mergeCell ref="D58:G58"/>
    <mergeCell ref="D59:G59"/>
    <mergeCell ref="D62:G62"/>
    <mergeCell ref="C63:G63"/>
    <mergeCell ref="B64:H64"/>
    <mergeCell ref="D52:F52"/>
    <mergeCell ref="C53:F53"/>
    <mergeCell ref="B54:H54"/>
    <mergeCell ref="B55:H55"/>
    <mergeCell ref="C56:G56"/>
    <mergeCell ref="D57:G57"/>
    <mergeCell ref="B71:H71"/>
    <mergeCell ref="B73:H73"/>
    <mergeCell ref="C74:F74"/>
    <mergeCell ref="D75:F75"/>
    <mergeCell ref="D76:F76"/>
    <mergeCell ref="D77:E77"/>
    <mergeCell ref="B65:H65"/>
    <mergeCell ref="C66:G66"/>
    <mergeCell ref="D67:G67"/>
    <mergeCell ref="D68:G68"/>
    <mergeCell ref="D69:G69"/>
    <mergeCell ref="C70:G70"/>
    <mergeCell ref="C86:F86"/>
    <mergeCell ref="D87:F87"/>
    <mergeCell ref="D88:F88"/>
    <mergeCell ref="D89:G89"/>
    <mergeCell ref="C90:G90"/>
    <mergeCell ref="B92:H92"/>
    <mergeCell ref="D78:F78"/>
    <mergeCell ref="D79:E79"/>
    <mergeCell ref="D80:E80"/>
    <mergeCell ref="C81:G81"/>
    <mergeCell ref="B84:H84"/>
    <mergeCell ref="B85:H85"/>
    <mergeCell ref="D100:G100"/>
    <mergeCell ref="C101:G101"/>
    <mergeCell ref="B104:H104"/>
    <mergeCell ref="C105:G105"/>
    <mergeCell ref="B113:H113"/>
    <mergeCell ref="C114:F114"/>
    <mergeCell ref="C93:F93"/>
    <mergeCell ref="D94:F94"/>
    <mergeCell ref="C95:G95"/>
    <mergeCell ref="B97:H97"/>
    <mergeCell ref="C98:G98"/>
    <mergeCell ref="D99:G99"/>
    <mergeCell ref="D121:G121"/>
    <mergeCell ref="B123:H123"/>
    <mergeCell ref="B125:H125"/>
    <mergeCell ref="C126:G126"/>
    <mergeCell ref="D127:G127"/>
    <mergeCell ref="D128:G128"/>
    <mergeCell ref="D115:F115"/>
    <mergeCell ref="D116:F116"/>
    <mergeCell ref="D117:F117"/>
    <mergeCell ref="D118:F118"/>
    <mergeCell ref="D119:F119"/>
    <mergeCell ref="D120:F120"/>
    <mergeCell ref="B137:C137"/>
    <mergeCell ref="B138:C138"/>
    <mergeCell ref="B139:C139"/>
    <mergeCell ref="B140:C140"/>
    <mergeCell ref="B141:C141"/>
    <mergeCell ref="B142:C142"/>
    <mergeCell ref="D129:G129"/>
    <mergeCell ref="D130:G130"/>
    <mergeCell ref="D131:G131"/>
    <mergeCell ref="D132:G132"/>
    <mergeCell ref="D133:G133"/>
    <mergeCell ref="D134:G134"/>
    <mergeCell ref="B167:H167"/>
    <mergeCell ref="D162:F162"/>
    <mergeCell ref="J162:N164"/>
    <mergeCell ref="D163:F163"/>
    <mergeCell ref="D164:F164"/>
    <mergeCell ref="D165:G165"/>
    <mergeCell ref="D166:G166"/>
    <mergeCell ref="B143:C143"/>
    <mergeCell ref="B156:F156"/>
    <mergeCell ref="B158:H158"/>
    <mergeCell ref="D159:G159"/>
    <mergeCell ref="D160:G160"/>
    <mergeCell ref="D161:G161"/>
  </mergeCells>
  <dataValidations count="8">
    <dataValidation type="list" allowBlank="1" showInputMessage="1" showErrorMessage="1" sqref="G80">
      <formula1>"3,6,9,12,15"</formula1>
    </dataValidation>
    <dataValidation type="custom" allowBlank="1" showInputMessage="1" showErrorMessage="1" sqref="G117">
      <formula1>1-(G118+G119+G120)</formula1>
    </dataValidation>
    <dataValidation type="list" operator="equal" allowBlank="1" showInputMessage="1" showErrorMessage="1" errorTitle="Valor errado" error="Percentual fixo. Preencher com 40%." sqref="F77 F79">
      <formula1>"40%"</formula1>
    </dataValidation>
    <dataValidation type="whole" allowBlank="1" showInputMessage="1" showErrorMessage="1" errorTitle="Valor errado" error="Quantidade fixa de dias. Prencher com 30" sqref="G87">
      <formula1>30</formula1>
      <formula2>30</formula2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47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T170"/>
  <sheetViews>
    <sheetView showGridLines="0" topLeftCell="B85" workbookViewId="0">
      <selection activeCell="G122" sqref="G122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295" t="s">
        <v>68</v>
      </c>
      <c r="C2" s="295"/>
      <c r="D2" s="295"/>
      <c r="E2" s="295"/>
      <c r="F2" s="295"/>
      <c r="G2" s="295"/>
      <c r="H2" s="295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296" t="s">
        <v>321</v>
      </c>
      <c r="C3" s="296"/>
      <c r="D3" s="296"/>
      <c r="E3" s="296"/>
      <c r="F3" s="296"/>
      <c r="G3" s="296"/>
      <c r="H3" s="296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297" t="s">
        <v>155</v>
      </c>
      <c r="C6" s="297"/>
      <c r="D6" s="297"/>
      <c r="E6" s="297"/>
      <c r="F6" s="297"/>
      <c r="G6" s="298" t="s">
        <v>305</v>
      </c>
      <c r="H6" s="29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299" t="s">
        <v>69</v>
      </c>
      <c r="C8" s="299"/>
      <c r="D8" s="299"/>
      <c r="E8" s="299"/>
      <c r="F8" s="299"/>
      <c r="G8" s="299"/>
      <c r="H8" s="299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00">
        <v>1</v>
      </c>
      <c r="C9" s="301" t="s">
        <v>70</v>
      </c>
      <c r="D9" s="301"/>
      <c r="E9" s="301"/>
      <c r="F9" s="301"/>
      <c r="G9" s="301"/>
      <c r="H9" s="301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00"/>
      <c r="C10" s="302"/>
      <c r="D10" s="302"/>
      <c r="E10" s="302"/>
      <c r="F10" s="302"/>
      <c r="G10" s="302"/>
      <c r="H10" s="302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00">
        <v>2</v>
      </c>
      <c r="C11" s="301" t="s">
        <v>72</v>
      </c>
      <c r="D11" s="301"/>
      <c r="E11" s="301"/>
      <c r="F11" s="301"/>
      <c r="G11" s="301"/>
      <c r="H11" s="301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00"/>
      <c r="C12" s="302"/>
      <c r="D12" s="302"/>
      <c r="E12" s="302"/>
      <c r="F12" s="302"/>
      <c r="G12" s="302"/>
      <c r="H12" s="302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00">
        <v>3</v>
      </c>
      <c r="C13" s="301" t="s">
        <v>73</v>
      </c>
      <c r="D13" s="301"/>
      <c r="E13" s="301"/>
      <c r="F13" s="301"/>
      <c r="G13" s="301"/>
      <c r="H13" s="301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00"/>
      <c r="C14" s="302"/>
      <c r="D14" s="302"/>
      <c r="E14" s="302"/>
      <c r="F14" s="302"/>
      <c r="G14" s="302"/>
      <c r="H14" s="302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00">
        <v>4</v>
      </c>
      <c r="C15" s="301" t="s">
        <v>74</v>
      </c>
      <c r="D15" s="301"/>
      <c r="E15" s="301"/>
      <c r="F15" s="301"/>
      <c r="G15" s="301"/>
      <c r="H15" s="301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00"/>
      <c r="C16" s="302"/>
      <c r="D16" s="302"/>
      <c r="E16" s="302"/>
      <c r="F16" s="302"/>
      <c r="G16" s="302"/>
      <c r="H16" s="302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00">
        <v>5</v>
      </c>
      <c r="C17" s="301" t="s">
        <v>75</v>
      </c>
      <c r="D17" s="301"/>
      <c r="E17" s="301"/>
      <c r="F17" s="301"/>
      <c r="G17" s="301"/>
      <c r="H17" s="301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00"/>
      <c r="C18" s="302"/>
      <c r="D18" s="302"/>
      <c r="E18" s="302"/>
      <c r="F18" s="302"/>
      <c r="G18" s="302"/>
      <c r="H18" s="302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00">
        <v>6</v>
      </c>
      <c r="C19" s="301" t="s">
        <v>76</v>
      </c>
      <c r="D19" s="301"/>
      <c r="E19" s="301"/>
      <c r="F19" s="301"/>
      <c r="G19" s="301"/>
      <c r="H19" s="301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00"/>
      <c r="C20" s="302"/>
      <c r="D20" s="302"/>
      <c r="E20" s="302"/>
      <c r="F20" s="302"/>
      <c r="G20" s="302"/>
      <c r="H20" s="302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03" t="s">
        <v>95</v>
      </c>
      <c r="C22" s="303"/>
      <c r="D22" s="303"/>
      <c r="E22" s="303"/>
      <c r="F22" s="303"/>
      <c r="G22" s="303"/>
      <c r="H22" s="30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04" t="s">
        <v>83</v>
      </c>
      <c r="C24" s="304"/>
      <c r="D24" s="304"/>
      <c r="E24" s="304"/>
      <c r="F24" s="304"/>
      <c r="G24" s="304"/>
      <c r="H24" s="30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7" t="s">
        <v>77</v>
      </c>
      <c r="D25" s="305"/>
      <c r="E25" s="305"/>
      <c r="F25" s="288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292" t="s">
        <v>221</v>
      </c>
      <c r="E26" s="293"/>
      <c r="F26" s="294"/>
      <c r="G26" s="21"/>
      <c r="H26" s="82">
        <v>2836.33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292" t="s">
        <v>156</v>
      </c>
      <c r="E27" s="293"/>
      <c r="F27" s="294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292" t="s">
        <v>199</v>
      </c>
      <c r="E28" s="293"/>
      <c r="F28" s="294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292" t="s">
        <v>208</v>
      </c>
      <c r="E29" s="293"/>
      <c r="F29" s="294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8" t="s">
        <v>9</v>
      </c>
      <c r="C30" s="176" t="s">
        <v>130</v>
      </c>
      <c r="D30" s="292" t="s">
        <v>209</v>
      </c>
      <c r="E30" s="293"/>
      <c r="F30" s="294"/>
      <c r="G30" s="261">
        <v>0.5</v>
      </c>
      <c r="H30" s="27">
        <f>TRUNC($G$34*$H34*(1+G$30),2)</f>
        <v>618.72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47" t="s">
        <v>10</v>
      </c>
      <c r="C31" s="176" t="s">
        <v>3</v>
      </c>
      <c r="D31" s="292"/>
      <c r="E31" s="293"/>
      <c r="F31" s="294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47" t="s">
        <v>157</v>
      </c>
      <c r="C32" s="287" t="s">
        <v>78</v>
      </c>
      <c r="D32" s="305"/>
      <c r="E32" s="305"/>
      <c r="F32" s="288"/>
      <c r="G32" s="36"/>
      <c r="H32" s="23">
        <f>SUM(H26:H31)</f>
        <v>3455.05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9"/>
      <c r="C33" s="304" t="s">
        <v>145</v>
      </c>
      <c r="D33" s="304"/>
      <c r="E33" s="304"/>
      <c r="F33" s="304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9"/>
      <c r="C34" s="304"/>
      <c r="D34" s="304"/>
      <c r="E34" s="304"/>
      <c r="F34" s="304"/>
      <c r="G34" s="107">
        <v>32</v>
      </c>
      <c r="H34" s="83">
        <f>IF(G34="",0,TRUNC((H26+H27+H28)/220,2))</f>
        <v>12.89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9"/>
      <c r="C35" s="239"/>
      <c r="D35" s="239"/>
      <c r="E35" s="239"/>
      <c r="F35" s="239"/>
      <c r="G35" s="239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9"/>
      <c r="C36" s="239"/>
      <c r="D36" s="239"/>
      <c r="E36" s="239"/>
      <c r="F36" s="239"/>
      <c r="G36" s="239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04" t="s">
        <v>84</v>
      </c>
      <c r="C37" s="304"/>
      <c r="D37" s="304"/>
      <c r="E37" s="304"/>
      <c r="F37" s="304"/>
      <c r="G37" s="304"/>
      <c r="H37" s="304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21"/>
      <c r="C38" s="322"/>
      <c r="D38" s="322"/>
      <c r="E38" s="322"/>
      <c r="F38" s="322"/>
      <c r="G38" s="322"/>
      <c r="H38" s="323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24" t="s">
        <v>54</v>
      </c>
      <c r="C39" s="324"/>
      <c r="D39" s="324"/>
      <c r="E39" s="324"/>
      <c r="F39" s="324"/>
      <c r="G39" s="324"/>
      <c r="H39" s="324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7" t="s">
        <v>45</v>
      </c>
      <c r="D40" s="305"/>
      <c r="E40" s="305"/>
      <c r="F40" s="288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47" t="s">
        <v>5</v>
      </c>
      <c r="C41" s="175" t="s">
        <v>133</v>
      </c>
      <c r="D41" s="292" t="s">
        <v>158</v>
      </c>
      <c r="E41" s="293"/>
      <c r="F41" s="294"/>
      <c r="G41" s="26">
        <f>1/12</f>
        <v>8.3333333333333329E-2</v>
      </c>
      <c r="H41" s="27">
        <f>TRUNC((H$32*$G41),2)</f>
        <v>287.92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47" t="s">
        <v>6</v>
      </c>
      <c r="C42" s="175" t="s">
        <v>82</v>
      </c>
      <c r="D42" s="292" t="s">
        <v>160</v>
      </c>
      <c r="E42" s="293"/>
      <c r="F42" s="294"/>
      <c r="G42" s="26">
        <f>(1/12)+(1/3/12)</f>
        <v>0.1111111111111111</v>
      </c>
      <c r="H42" s="27">
        <f>TRUNC((H$32*$G42),2)</f>
        <v>383.89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47" t="s">
        <v>159</v>
      </c>
      <c r="C43" s="287" t="s">
        <v>78</v>
      </c>
      <c r="D43" s="305"/>
      <c r="E43" s="305"/>
      <c r="F43" s="288"/>
      <c r="G43" s="28">
        <f>TRUNC(SUM(G41:G42),4)</f>
        <v>0.19439999999999999</v>
      </c>
      <c r="H43" s="23">
        <f>SUM(H41:H42)</f>
        <v>671.81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11"/>
      <c r="C44" s="312"/>
      <c r="D44" s="312"/>
      <c r="E44" s="312"/>
      <c r="F44" s="312"/>
      <c r="G44" s="312"/>
      <c r="H44" s="313"/>
      <c r="I44" s="239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14" t="s">
        <v>85</v>
      </c>
      <c r="C45" s="315"/>
      <c r="D45" s="315"/>
      <c r="E45" s="315"/>
      <c r="F45" s="315"/>
      <c r="G45" s="315"/>
      <c r="H45" s="316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7" t="s">
        <v>86</v>
      </c>
      <c r="D46" s="305"/>
      <c r="E46" s="305"/>
      <c r="F46" s="288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47" t="s">
        <v>5</v>
      </c>
      <c r="C47" s="175" t="s">
        <v>48</v>
      </c>
      <c r="D47" s="292" t="s">
        <v>161</v>
      </c>
      <c r="E47" s="293"/>
      <c r="F47" s="294"/>
      <c r="G47" s="26">
        <v>0.2</v>
      </c>
      <c r="H47" s="27">
        <f>TRUNC((H$32+H$43)*$G47,2)</f>
        <v>825.37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6</v>
      </c>
      <c r="C48" s="160" t="s">
        <v>49</v>
      </c>
      <c r="D48" s="292" t="s">
        <v>162</v>
      </c>
      <c r="E48" s="293"/>
      <c r="F48" s="294"/>
      <c r="G48" s="26">
        <v>2.5000000000000001E-2</v>
      </c>
      <c r="H48" s="27">
        <f>TRUNC((H$32+H$43)*$G48,2)</f>
        <v>103.17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06" t="s">
        <v>7</v>
      </c>
      <c r="C49" s="308" t="s">
        <v>124</v>
      </c>
      <c r="D49" s="310" t="s">
        <v>168</v>
      </c>
      <c r="E49" s="11" t="s">
        <v>125</v>
      </c>
      <c r="F49" s="11" t="s">
        <v>123</v>
      </c>
      <c r="G49" s="317">
        <f>E50*F50</f>
        <v>0.03</v>
      </c>
      <c r="H49" s="319">
        <f>TRUNC((H$32+H$43)*$G49,2)</f>
        <v>123.8</v>
      </c>
      <c r="I49" s="198"/>
      <c r="J49" s="325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07"/>
      <c r="C50" s="309"/>
      <c r="D50" s="310"/>
      <c r="E50" s="84">
        <v>0.03</v>
      </c>
      <c r="F50" s="85">
        <v>1</v>
      </c>
      <c r="G50" s="318"/>
      <c r="H50" s="320"/>
      <c r="I50" s="198"/>
      <c r="J50" s="325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8</v>
      </c>
      <c r="C51" s="175" t="s">
        <v>47</v>
      </c>
      <c r="D51" s="292" t="s">
        <v>163</v>
      </c>
      <c r="E51" s="293"/>
      <c r="F51" s="294"/>
      <c r="G51" s="26">
        <v>1.4999999999999999E-2</v>
      </c>
      <c r="H51" s="27">
        <f>TRUNC((H$32+H$43)*$G51,2)</f>
        <v>61.9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9</v>
      </c>
      <c r="C52" s="175" t="s">
        <v>50</v>
      </c>
      <c r="D52" s="292" t="s">
        <v>164</v>
      </c>
      <c r="E52" s="293"/>
      <c r="F52" s="294"/>
      <c r="G52" s="26">
        <v>0.01</v>
      </c>
      <c r="H52" s="27">
        <f>TRUNC((H$32+H$43)*$G52,2)</f>
        <v>41.26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10</v>
      </c>
      <c r="C53" s="175" t="s">
        <v>51</v>
      </c>
      <c r="D53" s="292" t="s">
        <v>165</v>
      </c>
      <c r="E53" s="293"/>
      <c r="F53" s="294"/>
      <c r="G53" s="26">
        <v>6.0000000000000001E-3</v>
      </c>
      <c r="H53" s="27">
        <f>TRUNC((H$32+H$43)*$G53,2)</f>
        <v>24.76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47" t="s">
        <v>11</v>
      </c>
      <c r="C54" s="175" t="s">
        <v>52</v>
      </c>
      <c r="D54" s="292" t="s">
        <v>166</v>
      </c>
      <c r="E54" s="293"/>
      <c r="F54" s="294"/>
      <c r="G54" s="26">
        <v>2E-3</v>
      </c>
      <c r="H54" s="27">
        <f>TRUNC((H$32+H$43)*$G54,2)</f>
        <v>8.25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47" t="s">
        <v>12</v>
      </c>
      <c r="C55" s="175" t="s">
        <v>53</v>
      </c>
      <c r="D55" s="292" t="s">
        <v>167</v>
      </c>
      <c r="E55" s="293"/>
      <c r="F55" s="294"/>
      <c r="G55" s="26">
        <v>0.08</v>
      </c>
      <c r="H55" s="27">
        <f>TRUNC((H$32+H$43)*$G55,2)</f>
        <v>330.14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47" t="s">
        <v>169</v>
      </c>
      <c r="C56" s="287" t="s">
        <v>78</v>
      </c>
      <c r="D56" s="305"/>
      <c r="E56" s="305"/>
      <c r="F56" s="288"/>
      <c r="G56" s="29">
        <f>SUM(G47:G55)</f>
        <v>0.36800000000000005</v>
      </c>
      <c r="H56" s="30">
        <f>SUM(H47:H55)</f>
        <v>1518.65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27"/>
      <c r="C57" s="328"/>
      <c r="D57" s="328"/>
      <c r="E57" s="328"/>
      <c r="F57" s="328"/>
      <c r="G57" s="328"/>
      <c r="H57" s="329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14" t="s">
        <v>55</v>
      </c>
      <c r="C58" s="315"/>
      <c r="D58" s="315"/>
      <c r="E58" s="315"/>
      <c r="F58" s="315"/>
      <c r="G58" s="315"/>
      <c r="H58" s="316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7" t="s">
        <v>59</v>
      </c>
      <c r="D59" s="305"/>
      <c r="E59" s="305"/>
      <c r="F59" s="305"/>
      <c r="G59" s="288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47" t="s">
        <v>5</v>
      </c>
      <c r="C60" s="175" t="s">
        <v>65</v>
      </c>
      <c r="D60" s="292" t="s">
        <v>172</v>
      </c>
      <c r="E60" s="293"/>
      <c r="F60" s="293"/>
      <c r="G60" s="294"/>
      <c r="H60" s="86">
        <f>(8.55*2*22)-(H26*6%)</f>
        <v>206.02020000000005</v>
      </c>
      <c r="I60" s="212"/>
      <c r="J60" s="326"/>
      <c r="K60" s="326"/>
      <c r="L60" s="326"/>
      <c r="M60" s="326"/>
      <c r="N60" s="326"/>
      <c r="O60" s="121"/>
      <c r="P60" s="121"/>
      <c r="Q60" s="121"/>
      <c r="R60" s="121"/>
    </row>
    <row r="61" spans="2:18" ht="12.75" customHeight="1" x14ac:dyDescent="0.2">
      <c r="B61" s="247" t="s">
        <v>6</v>
      </c>
      <c r="C61" s="175" t="s">
        <v>66</v>
      </c>
      <c r="D61" s="292" t="s">
        <v>173</v>
      </c>
      <c r="E61" s="293"/>
      <c r="F61" s="293"/>
      <c r="G61" s="294"/>
      <c r="H61" s="86">
        <f>16.5*22</f>
        <v>363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47" t="s">
        <v>7</v>
      </c>
      <c r="C62" s="175" t="s">
        <v>228</v>
      </c>
      <c r="D62" s="292" t="s">
        <v>229</v>
      </c>
      <c r="E62" s="293"/>
      <c r="F62" s="293"/>
      <c r="G62" s="294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8</v>
      </c>
      <c r="C63" s="175" t="s">
        <v>223</v>
      </c>
      <c r="D63" s="243"/>
      <c r="E63" s="244"/>
      <c r="F63" s="244"/>
      <c r="G63" s="24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281" t="s">
        <v>9</v>
      </c>
      <c r="C64" s="175" t="s">
        <v>322</v>
      </c>
      <c r="D64" s="278"/>
      <c r="E64" s="279"/>
      <c r="F64" s="279"/>
      <c r="G64" s="280"/>
      <c r="H64" s="86">
        <v>35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s="142" customFormat="1" x14ac:dyDescent="0.2">
      <c r="B65" s="247" t="s">
        <v>10</v>
      </c>
      <c r="C65" s="175" t="s">
        <v>3</v>
      </c>
      <c r="D65" s="292"/>
      <c r="E65" s="293"/>
      <c r="F65" s="293"/>
      <c r="G65" s="294"/>
      <c r="H65" s="86">
        <v>0</v>
      </c>
      <c r="I65" s="212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247" t="s">
        <v>170</v>
      </c>
      <c r="C66" s="287" t="s">
        <v>78</v>
      </c>
      <c r="D66" s="305"/>
      <c r="E66" s="305"/>
      <c r="F66" s="305"/>
      <c r="G66" s="288"/>
      <c r="H66" s="30">
        <f>SUM(H60:H65)</f>
        <v>675.02020000000005</v>
      </c>
      <c r="I66" s="24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11"/>
      <c r="C67" s="312"/>
      <c r="D67" s="312"/>
      <c r="E67" s="312"/>
      <c r="F67" s="312"/>
      <c r="G67" s="312"/>
      <c r="H67" s="313"/>
      <c r="I67" s="239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330" t="s">
        <v>88</v>
      </c>
      <c r="C68" s="330"/>
      <c r="D68" s="330"/>
      <c r="E68" s="330"/>
      <c r="F68" s="330"/>
      <c r="G68" s="330"/>
      <c r="H68" s="330"/>
      <c r="I68" s="239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7">
        <v>2</v>
      </c>
      <c r="C69" s="287" t="s">
        <v>87</v>
      </c>
      <c r="D69" s="305"/>
      <c r="E69" s="305"/>
      <c r="F69" s="305"/>
      <c r="G69" s="288"/>
      <c r="H69" s="177" t="s">
        <v>67</v>
      </c>
      <c r="I69" s="208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56</v>
      </c>
      <c r="C70" s="163" t="s">
        <v>45</v>
      </c>
      <c r="D70" s="292" t="s">
        <v>159</v>
      </c>
      <c r="E70" s="293"/>
      <c r="F70" s="293"/>
      <c r="G70" s="294"/>
      <c r="H70" s="27">
        <f>H43</f>
        <v>671.81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47" t="s">
        <v>57</v>
      </c>
      <c r="C71" s="163" t="s">
        <v>46</v>
      </c>
      <c r="D71" s="292" t="s">
        <v>169</v>
      </c>
      <c r="E71" s="293"/>
      <c r="F71" s="293"/>
      <c r="G71" s="294"/>
      <c r="H71" s="27">
        <f>H56</f>
        <v>1518.65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47" t="s">
        <v>58</v>
      </c>
      <c r="C72" s="163" t="s">
        <v>59</v>
      </c>
      <c r="D72" s="292" t="s">
        <v>170</v>
      </c>
      <c r="E72" s="293"/>
      <c r="F72" s="293"/>
      <c r="G72" s="294"/>
      <c r="H72" s="27">
        <f>H66</f>
        <v>675.02020000000005</v>
      </c>
      <c r="I72" s="195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247" t="s">
        <v>171</v>
      </c>
      <c r="C73" s="287" t="s">
        <v>78</v>
      </c>
      <c r="D73" s="305"/>
      <c r="E73" s="305"/>
      <c r="F73" s="305"/>
      <c r="G73" s="288"/>
      <c r="H73" s="23">
        <f>SUM(H70:H72)</f>
        <v>2865.4802</v>
      </c>
      <c r="I73" s="24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312"/>
      <c r="C74" s="312"/>
      <c r="D74" s="312"/>
      <c r="E74" s="312"/>
      <c r="F74" s="312"/>
      <c r="G74" s="312"/>
      <c r="H74" s="312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39"/>
      <c r="C75" s="239"/>
      <c r="D75" s="239"/>
      <c r="E75" s="239"/>
      <c r="F75" s="239"/>
      <c r="G75" s="239"/>
      <c r="H75" s="239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304" t="s">
        <v>89</v>
      </c>
      <c r="C76" s="304"/>
      <c r="D76" s="304"/>
      <c r="E76" s="304"/>
      <c r="F76" s="304"/>
      <c r="G76" s="304"/>
      <c r="H76" s="304"/>
      <c r="I76" s="208"/>
      <c r="J76" s="137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7">
        <v>3</v>
      </c>
      <c r="C77" s="287" t="s">
        <v>79</v>
      </c>
      <c r="D77" s="305"/>
      <c r="E77" s="305"/>
      <c r="F77" s="288"/>
      <c r="G77" s="177" t="s">
        <v>2</v>
      </c>
      <c r="H77" s="177" t="s">
        <v>67</v>
      </c>
      <c r="I77" s="208"/>
      <c r="J77" s="143"/>
      <c r="K77" s="119"/>
      <c r="L77" s="119"/>
      <c r="M77" s="120"/>
      <c r="N77" s="121"/>
      <c r="O77" s="121"/>
      <c r="P77" s="121"/>
      <c r="Q77" s="121"/>
      <c r="R77" s="121"/>
    </row>
    <row r="78" spans="2:18" x14ac:dyDescent="0.2">
      <c r="B78" s="247" t="s">
        <v>5</v>
      </c>
      <c r="C78" s="164" t="s">
        <v>118</v>
      </c>
      <c r="D78" s="292" t="s">
        <v>188</v>
      </c>
      <c r="E78" s="293"/>
      <c r="F78" s="294"/>
      <c r="G78" s="87">
        <v>0.3</v>
      </c>
      <c r="H78" s="31">
        <f>TRUNC((H$79+H$80)*$G78,2)</f>
        <v>162.76</v>
      </c>
      <c r="I78" s="24"/>
      <c r="J78" s="140"/>
      <c r="K78" s="119"/>
      <c r="L78" s="119"/>
      <c r="M78" s="120"/>
      <c r="N78" s="121"/>
      <c r="O78" s="144"/>
      <c r="P78" s="121"/>
      <c r="Q78" s="121"/>
      <c r="R78" s="121"/>
    </row>
    <row r="79" spans="2:18" x14ac:dyDescent="0.2">
      <c r="B79" s="247" t="s">
        <v>6</v>
      </c>
      <c r="C79" s="175" t="s">
        <v>119</v>
      </c>
      <c r="D79" s="292" t="s">
        <v>210</v>
      </c>
      <c r="E79" s="293"/>
      <c r="F79" s="294"/>
      <c r="G79" s="32"/>
      <c r="H79" s="27">
        <f>TRUNC((H$32+H$43+H$55+H$66-H60)/12,2)</f>
        <v>410.5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47" t="s">
        <v>7</v>
      </c>
      <c r="C80" s="175" t="s">
        <v>120</v>
      </c>
      <c r="D80" s="292" t="s">
        <v>200</v>
      </c>
      <c r="E80" s="294"/>
      <c r="F80" s="89">
        <v>0.4</v>
      </c>
      <c r="G80" s="32"/>
      <c r="H80" s="27">
        <f>TRUNC(H$55*$F80,2)</f>
        <v>132.05000000000001</v>
      </c>
      <c r="I80" s="195"/>
      <c r="J80" s="137"/>
      <c r="K80" s="119"/>
      <c r="L80" s="119"/>
      <c r="M80" s="120"/>
      <c r="N80" s="121"/>
      <c r="O80" s="145"/>
      <c r="P80" s="121"/>
      <c r="Q80" s="121"/>
      <c r="R80" s="121"/>
    </row>
    <row r="81" spans="2:18" x14ac:dyDescent="0.2">
      <c r="B81" s="247" t="s">
        <v>8</v>
      </c>
      <c r="C81" s="164" t="s">
        <v>121</v>
      </c>
      <c r="D81" s="292" t="s">
        <v>189</v>
      </c>
      <c r="E81" s="293"/>
      <c r="F81" s="294"/>
      <c r="G81" s="87">
        <v>1</v>
      </c>
      <c r="H81" s="168">
        <f>IF($G81&gt;=1,(TRUNC(H$82*$G81,2)),"ERRO")</f>
        <v>132.05000000000001</v>
      </c>
      <c r="I81" s="197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47" t="s">
        <v>9</v>
      </c>
      <c r="C82" s="175" t="s">
        <v>122</v>
      </c>
      <c r="D82" s="292" t="s">
        <v>200</v>
      </c>
      <c r="E82" s="294"/>
      <c r="F82" s="89">
        <v>0.4</v>
      </c>
      <c r="G82" s="32"/>
      <c r="H82" s="27">
        <f>TRUNC(H$55*$F82,2)</f>
        <v>132.05000000000001</v>
      </c>
      <c r="I82" s="195"/>
      <c r="J82" s="137"/>
      <c r="K82" s="119"/>
      <c r="L82" s="119"/>
      <c r="M82" s="120"/>
      <c r="N82" s="121"/>
      <c r="O82" s="141"/>
      <c r="P82" s="121"/>
      <c r="Q82" s="121"/>
      <c r="R82" s="121"/>
    </row>
    <row r="83" spans="2:18" x14ac:dyDescent="0.2">
      <c r="B83" s="247" t="s">
        <v>10</v>
      </c>
      <c r="C83" s="164" t="s">
        <v>207</v>
      </c>
      <c r="D83" s="337" t="s">
        <v>201</v>
      </c>
      <c r="E83" s="338"/>
      <c r="F83" s="88">
        <v>12</v>
      </c>
      <c r="G83" s="88">
        <v>3</v>
      </c>
      <c r="H83" s="27">
        <f>TRUNC(((H$32+H$43+H$56)/30)*$G83/$F83,2)</f>
        <v>47.04</v>
      </c>
      <c r="I83" s="195"/>
      <c r="J83" s="190"/>
      <c r="K83" s="120"/>
      <c r="L83" s="120"/>
      <c r="M83" s="120"/>
      <c r="N83" s="121"/>
      <c r="O83" s="141"/>
      <c r="P83" s="121"/>
      <c r="Q83" s="121"/>
      <c r="R83" s="121"/>
    </row>
    <row r="84" spans="2:18" x14ac:dyDescent="0.2">
      <c r="B84" s="247" t="s">
        <v>175</v>
      </c>
      <c r="C84" s="287" t="s">
        <v>78</v>
      </c>
      <c r="D84" s="305"/>
      <c r="E84" s="305"/>
      <c r="F84" s="305"/>
      <c r="G84" s="288"/>
      <c r="H84" s="23">
        <f>H$78+H$81+H$83</f>
        <v>341.85</v>
      </c>
      <c r="I84" s="24"/>
      <c r="J84" s="121"/>
      <c r="K84" s="121"/>
      <c r="L84" s="121"/>
      <c r="M84" s="120"/>
      <c r="N84" s="121"/>
      <c r="O84" s="121"/>
      <c r="P84" s="121"/>
      <c r="Q84" s="121"/>
      <c r="R84" s="121"/>
    </row>
    <row r="85" spans="2:18" x14ac:dyDescent="0.2">
      <c r="B85" s="185"/>
      <c r="C85" s="185"/>
      <c r="D85" s="185"/>
      <c r="E85" s="185"/>
      <c r="F85" s="185"/>
      <c r="G85" s="185"/>
      <c r="H85" s="185"/>
      <c r="I85" s="185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239"/>
      <c r="C86" s="239"/>
      <c r="D86" s="239"/>
      <c r="E86" s="239"/>
      <c r="F86" s="239"/>
      <c r="G86" s="239"/>
      <c r="H86" s="239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04" t="s">
        <v>90</v>
      </c>
      <c r="C87" s="304"/>
      <c r="D87" s="304"/>
      <c r="E87" s="304"/>
      <c r="F87" s="304"/>
      <c r="G87" s="304"/>
      <c r="H87" s="304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331" t="s">
        <v>110</v>
      </c>
      <c r="C88" s="332"/>
      <c r="D88" s="332"/>
      <c r="E88" s="332"/>
      <c r="F88" s="332"/>
      <c r="G88" s="332"/>
      <c r="H88" s="333"/>
      <c r="I88" s="208"/>
      <c r="J88" s="137"/>
      <c r="K88" s="119"/>
      <c r="L88" s="119"/>
      <c r="M88" s="120"/>
      <c r="N88" s="121"/>
      <c r="O88" s="121"/>
      <c r="P88" s="121"/>
      <c r="Q88" s="121"/>
      <c r="R88" s="121"/>
    </row>
    <row r="89" spans="2:18" x14ac:dyDescent="0.2">
      <c r="B89" s="177" t="s">
        <v>17</v>
      </c>
      <c r="C89" s="287" t="s">
        <v>111</v>
      </c>
      <c r="D89" s="305"/>
      <c r="E89" s="305"/>
      <c r="F89" s="288"/>
      <c r="G89" s="177" t="s">
        <v>126</v>
      </c>
      <c r="H89" s="177" t="s">
        <v>67</v>
      </c>
      <c r="I89" s="208"/>
      <c r="J89" s="119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47" t="s">
        <v>5</v>
      </c>
      <c r="C90" s="175" t="s">
        <v>132</v>
      </c>
      <c r="D90" s="292" t="s">
        <v>181</v>
      </c>
      <c r="E90" s="293"/>
      <c r="F90" s="294"/>
      <c r="G90" s="88">
        <v>30</v>
      </c>
      <c r="H90" s="27">
        <f>TRUNC((H$92*$G90)/12,2)</f>
        <v>555.16999999999996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ht="22.5" x14ac:dyDescent="0.2">
      <c r="B91" s="247" t="s">
        <v>6</v>
      </c>
      <c r="C91" s="165" t="s">
        <v>187</v>
      </c>
      <c r="D91" s="334" t="s">
        <v>190</v>
      </c>
      <c r="E91" s="335"/>
      <c r="F91" s="336"/>
      <c r="G91" s="114">
        <v>8</v>
      </c>
      <c r="H91" s="27">
        <f>TRUNC((H$92*$G91)/12,2)</f>
        <v>148.04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47" t="s">
        <v>7</v>
      </c>
      <c r="C92" s="175" t="s">
        <v>134</v>
      </c>
      <c r="D92" s="292" t="s">
        <v>174</v>
      </c>
      <c r="E92" s="293"/>
      <c r="F92" s="293"/>
      <c r="G92" s="294"/>
      <c r="H92" s="27">
        <f>TRUNC((H$32+H$73+H$84)/30,2)</f>
        <v>222.07</v>
      </c>
      <c r="I92" s="195"/>
      <c r="J92" s="140"/>
      <c r="K92" s="119"/>
      <c r="L92" s="119"/>
      <c r="M92" s="120"/>
      <c r="N92" s="146"/>
      <c r="O92" s="121"/>
      <c r="P92" s="121"/>
      <c r="Q92" s="121"/>
      <c r="R92" s="121"/>
    </row>
    <row r="93" spans="2:18" x14ac:dyDescent="0.2">
      <c r="B93" s="247" t="s">
        <v>176</v>
      </c>
      <c r="C93" s="287" t="s">
        <v>78</v>
      </c>
      <c r="D93" s="305"/>
      <c r="E93" s="305"/>
      <c r="F93" s="305"/>
      <c r="G93" s="288"/>
      <c r="H93" s="23">
        <f>TRUNC(H$90+H$91,2)</f>
        <v>703.21</v>
      </c>
      <c r="I93" s="24"/>
      <c r="J93" s="140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147"/>
      <c r="C94" s="148"/>
      <c r="D94" s="148"/>
      <c r="E94" s="148"/>
      <c r="F94" s="148"/>
      <c r="G94" s="148"/>
      <c r="H94" s="149"/>
      <c r="I94" s="33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342" t="s">
        <v>112</v>
      </c>
      <c r="C95" s="343"/>
      <c r="D95" s="343"/>
      <c r="E95" s="343"/>
      <c r="F95" s="343"/>
      <c r="G95" s="343"/>
      <c r="H95" s="344"/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177" t="s">
        <v>18</v>
      </c>
      <c r="C96" s="287" t="s">
        <v>113</v>
      </c>
      <c r="D96" s="305"/>
      <c r="E96" s="305"/>
      <c r="F96" s="288"/>
      <c r="G96" s="177" t="s">
        <v>126</v>
      </c>
      <c r="H96" s="177" t="s">
        <v>67</v>
      </c>
      <c r="I96" s="208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ht="22.5" x14ac:dyDescent="0.2">
      <c r="B97" s="247" t="s">
        <v>5</v>
      </c>
      <c r="C97" s="165" t="s">
        <v>114</v>
      </c>
      <c r="D97" s="292" t="s">
        <v>212</v>
      </c>
      <c r="E97" s="293"/>
      <c r="F97" s="294"/>
      <c r="G97" s="88"/>
      <c r="H97" s="27">
        <f>TRUNC(((H$32+H73+H84)/220)*(1+50%)*G97,2)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47" t="s">
        <v>177</v>
      </c>
      <c r="C98" s="287" t="s">
        <v>78</v>
      </c>
      <c r="D98" s="305"/>
      <c r="E98" s="305"/>
      <c r="F98" s="305"/>
      <c r="G98" s="288"/>
      <c r="H98" s="23">
        <f>H97</f>
        <v>0</v>
      </c>
      <c r="I98" s="195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249"/>
      <c r="C99" s="250"/>
      <c r="D99" s="250"/>
      <c r="E99" s="250"/>
      <c r="F99" s="250"/>
      <c r="G99" s="250"/>
      <c r="H99" s="251"/>
      <c r="I99" s="217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342" t="s">
        <v>91</v>
      </c>
      <c r="C100" s="343"/>
      <c r="D100" s="343"/>
      <c r="E100" s="343"/>
      <c r="F100" s="343"/>
      <c r="G100" s="343"/>
      <c r="H100" s="344"/>
      <c r="I100" s="208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177">
        <v>4</v>
      </c>
      <c r="C101" s="287" t="s">
        <v>92</v>
      </c>
      <c r="D101" s="305"/>
      <c r="E101" s="305"/>
      <c r="F101" s="305"/>
      <c r="G101" s="288"/>
      <c r="H101" s="177" t="s">
        <v>67</v>
      </c>
      <c r="I101" s="208"/>
      <c r="J101" s="137"/>
      <c r="K101" s="119"/>
      <c r="L101" s="119"/>
      <c r="M101" s="120"/>
      <c r="N101" s="150"/>
      <c r="O101" s="121"/>
      <c r="P101" s="121"/>
      <c r="Q101" s="121"/>
      <c r="R101" s="121"/>
    </row>
    <row r="102" spans="2:18" x14ac:dyDescent="0.2">
      <c r="B102" s="247" t="s">
        <v>17</v>
      </c>
      <c r="C102" s="175" t="s">
        <v>60</v>
      </c>
      <c r="D102" s="292" t="s">
        <v>176</v>
      </c>
      <c r="E102" s="293"/>
      <c r="F102" s="293"/>
      <c r="G102" s="294"/>
      <c r="H102" s="27">
        <f>H93</f>
        <v>703.21</v>
      </c>
      <c r="I102" s="195"/>
      <c r="J102" s="137"/>
      <c r="K102" s="137"/>
      <c r="L102" s="137"/>
      <c r="M102" s="137"/>
      <c r="N102" s="121"/>
      <c r="O102" s="121"/>
      <c r="P102" s="121"/>
      <c r="Q102" s="121"/>
      <c r="R102" s="121"/>
    </row>
    <row r="103" spans="2:18" x14ac:dyDescent="0.2">
      <c r="B103" s="247" t="s">
        <v>18</v>
      </c>
      <c r="C103" s="175" t="s">
        <v>62</v>
      </c>
      <c r="D103" s="292" t="s">
        <v>177</v>
      </c>
      <c r="E103" s="293"/>
      <c r="F103" s="293"/>
      <c r="G103" s="294"/>
      <c r="H103" s="27">
        <f>H98</f>
        <v>0</v>
      </c>
      <c r="I103" s="195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47" t="s">
        <v>178</v>
      </c>
      <c r="C104" s="287" t="s">
        <v>78</v>
      </c>
      <c r="D104" s="305"/>
      <c r="E104" s="305"/>
      <c r="F104" s="305"/>
      <c r="G104" s="288"/>
      <c r="H104" s="23">
        <f>SUM(H102:H103)</f>
        <v>703.21</v>
      </c>
      <c r="I104" s="24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9"/>
      <c r="C105" s="239"/>
      <c r="D105" s="239"/>
      <c r="E105" s="239"/>
      <c r="F105" s="239"/>
      <c r="G105" s="239"/>
      <c r="H105" s="239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39"/>
      <c r="C106" s="239"/>
      <c r="D106" s="239"/>
      <c r="E106" s="239"/>
      <c r="F106" s="239"/>
      <c r="G106" s="239"/>
      <c r="H106" s="239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304" t="s">
        <v>93</v>
      </c>
      <c r="C107" s="304"/>
      <c r="D107" s="304"/>
      <c r="E107" s="304"/>
      <c r="F107" s="304"/>
      <c r="G107" s="304"/>
      <c r="H107" s="304"/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7">
        <v>5</v>
      </c>
      <c r="C108" s="339" t="s">
        <v>80</v>
      </c>
      <c r="D108" s="340"/>
      <c r="E108" s="340"/>
      <c r="F108" s="340"/>
      <c r="G108" s="341"/>
      <c r="H108" s="177" t="s">
        <v>67</v>
      </c>
      <c r="I108" s="208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5</v>
      </c>
      <c r="C109" s="126" t="s">
        <v>63</v>
      </c>
      <c r="D109" s="127"/>
      <c r="E109" s="127"/>
      <c r="F109" s="127"/>
      <c r="G109" s="128"/>
      <c r="H109" s="129">
        <f>Insumos!G11</f>
        <v>105.67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6</v>
      </c>
      <c r="C110" s="126" t="s">
        <v>236</v>
      </c>
      <c r="D110" s="127"/>
      <c r="E110" s="127"/>
      <c r="F110" s="127"/>
      <c r="G110" s="128"/>
      <c r="H110" s="129">
        <f>Insumos!G24</f>
        <v>27.6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47" t="s">
        <v>7</v>
      </c>
      <c r="C111" s="126" t="s">
        <v>14</v>
      </c>
      <c r="D111" s="127"/>
      <c r="E111" s="127"/>
      <c r="F111" s="127"/>
      <c r="G111" s="128"/>
      <c r="H111" s="129">
        <f>Insumos!H94</f>
        <v>61.579999999999991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47" t="s">
        <v>8</v>
      </c>
      <c r="C112" s="126" t="s">
        <v>225</v>
      </c>
      <c r="D112" s="127"/>
      <c r="E112" s="127"/>
      <c r="F112" s="127"/>
      <c r="G112" s="128"/>
      <c r="H112" s="129">
        <f>Insumos!H39</f>
        <v>3.8</v>
      </c>
      <c r="I112" s="195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47" t="s">
        <v>179</v>
      </c>
      <c r="C113" s="161" t="s">
        <v>78</v>
      </c>
      <c r="D113" s="161"/>
      <c r="E113" s="161"/>
      <c r="F113" s="161"/>
      <c r="G113" s="162"/>
      <c r="H113" s="23">
        <f>SUM(H109:H112)</f>
        <v>198.65</v>
      </c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9"/>
      <c r="C114" s="239"/>
      <c r="D114" s="239"/>
      <c r="E114" s="239"/>
      <c r="F114" s="239"/>
      <c r="G114" s="151"/>
      <c r="H114" s="136"/>
      <c r="I114" s="24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39"/>
      <c r="C115" s="239"/>
      <c r="D115" s="239"/>
      <c r="E115" s="239"/>
      <c r="F115" s="239"/>
      <c r="G115" s="239"/>
      <c r="H115" s="239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304" t="s">
        <v>94</v>
      </c>
      <c r="C116" s="304"/>
      <c r="D116" s="304"/>
      <c r="E116" s="304"/>
      <c r="F116" s="304"/>
      <c r="G116" s="304"/>
      <c r="H116" s="304"/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7">
        <v>6</v>
      </c>
      <c r="C117" s="287" t="s">
        <v>81</v>
      </c>
      <c r="D117" s="305"/>
      <c r="E117" s="305"/>
      <c r="F117" s="288"/>
      <c r="G117" s="177" t="s">
        <v>2</v>
      </c>
      <c r="H117" s="177" t="s">
        <v>67</v>
      </c>
      <c r="I117" s="20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5</v>
      </c>
      <c r="C118" s="175" t="s">
        <v>19</v>
      </c>
      <c r="D118" s="292" t="s">
        <v>191</v>
      </c>
      <c r="E118" s="293"/>
      <c r="F118" s="294"/>
      <c r="G118" s="103">
        <v>0.05</v>
      </c>
      <c r="H118" s="27">
        <f>TRUNC(H$135*$G118,2)</f>
        <v>378.21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6</v>
      </c>
      <c r="C119" s="175" t="s">
        <v>4</v>
      </c>
      <c r="D119" s="292" t="s">
        <v>192</v>
      </c>
      <c r="E119" s="293"/>
      <c r="F119" s="294"/>
      <c r="G119" s="103">
        <v>0.1</v>
      </c>
      <c r="H119" s="27">
        <f>TRUNC((H$135+H$118)*$G119,2)</f>
        <v>794.24</v>
      </c>
      <c r="I119" s="195"/>
      <c r="J119" s="119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7</v>
      </c>
      <c r="C120" s="175" t="s">
        <v>143</v>
      </c>
      <c r="D120" s="292" t="s">
        <v>193</v>
      </c>
      <c r="E120" s="293"/>
      <c r="F120" s="294"/>
      <c r="G120" s="105">
        <f>1-(G121+G122+G123)</f>
        <v>0.85749999999999993</v>
      </c>
      <c r="H120" s="34">
        <f>TRUNC(((H$135+H$118+H$119)/$G120),2)</f>
        <v>10188.56</v>
      </c>
      <c r="I120" s="198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40</v>
      </c>
      <c r="C121" s="175" t="s">
        <v>37</v>
      </c>
      <c r="D121" s="292" t="s">
        <v>194</v>
      </c>
      <c r="E121" s="293"/>
      <c r="F121" s="294"/>
      <c r="G121" s="104">
        <v>1.6500000000000001E-2</v>
      </c>
      <c r="H121" s="27">
        <f>TRUNC(H$120*$G121,2)</f>
        <v>168.11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47" t="s">
        <v>41</v>
      </c>
      <c r="C122" s="175" t="s">
        <v>38</v>
      </c>
      <c r="D122" s="292" t="s">
        <v>194</v>
      </c>
      <c r="E122" s="293"/>
      <c r="F122" s="294"/>
      <c r="G122" s="104">
        <v>7.5999999999999998E-2</v>
      </c>
      <c r="H122" s="27">
        <f>TRUNC(H$120*$G122,2)</f>
        <v>774.33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47" t="s">
        <v>42</v>
      </c>
      <c r="C123" s="175" t="s">
        <v>39</v>
      </c>
      <c r="D123" s="292" t="s">
        <v>194</v>
      </c>
      <c r="E123" s="293"/>
      <c r="F123" s="294"/>
      <c r="G123" s="104">
        <v>0.05</v>
      </c>
      <c r="H123" s="27">
        <f>TRUNC(H$120*$G123,2)</f>
        <v>509.42</v>
      </c>
      <c r="I123" s="195"/>
      <c r="J123" s="137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47" t="s">
        <v>180</v>
      </c>
      <c r="C124" s="242" t="s">
        <v>78</v>
      </c>
      <c r="D124" s="345" t="s">
        <v>182</v>
      </c>
      <c r="E124" s="345"/>
      <c r="F124" s="345"/>
      <c r="G124" s="346"/>
      <c r="H124" s="23">
        <f>SUM(H118:H123)-H120</f>
        <v>2624.3100000000013</v>
      </c>
      <c r="I124" s="24"/>
      <c r="J124" s="140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124"/>
      <c r="C125" s="124"/>
      <c r="D125" s="124"/>
      <c r="E125" s="124"/>
      <c r="F125" s="124"/>
      <c r="G125" s="124"/>
      <c r="H125" s="152"/>
      <c r="I125" s="35"/>
      <c r="J125" s="119"/>
      <c r="K125" s="119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303" t="s">
        <v>319</v>
      </c>
      <c r="C126" s="303"/>
      <c r="D126" s="303"/>
      <c r="E126" s="303"/>
      <c r="F126" s="303"/>
      <c r="G126" s="303"/>
      <c r="H126" s="303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41"/>
      <c r="C127" s="241"/>
      <c r="D127" s="241"/>
      <c r="E127" s="241"/>
      <c r="F127" s="241"/>
      <c r="G127" s="241"/>
      <c r="H127" s="241"/>
      <c r="I127" s="209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x14ac:dyDescent="0.2">
      <c r="B128" s="304" t="s">
        <v>116</v>
      </c>
      <c r="C128" s="304"/>
      <c r="D128" s="304"/>
      <c r="E128" s="304"/>
      <c r="F128" s="304"/>
      <c r="G128" s="304"/>
      <c r="H128" s="304"/>
      <c r="I128" s="208"/>
      <c r="J128" s="119"/>
      <c r="K128" s="153"/>
      <c r="L128" s="119"/>
      <c r="M128" s="120"/>
      <c r="N128" s="121"/>
      <c r="O128" s="121"/>
      <c r="P128" s="121"/>
      <c r="Q128" s="121"/>
      <c r="R128" s="121"/>
    </row>
    <row r="129" spans="2:18" ht="12.75" customHeight="1" x14ac:dyDescent="0.2">
      <c r="B129" s="36"/>
      <c r="C129" s="347" t="s">
        <v>144</v>
      </c>
      <c r="D129" s="348"/>
      <c r="E129" s="348"/>
      <c r="F129" s="348"/>
      <c r="G129" s="349"/>
      <c r="H129" s="177" t="s">
        <v>67</v>
      </c>
      <c r="I129" s="208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x14ac:dyDescent="0.2">
      <c r="B130" s="247" t="s">
        <v>5</v>
      </c>
      <c r="C130" s="165" t="s">
        <v>97</v>
      </c>
      <c r="D130" s="292" t="s">
        <v>157</v>
      </c>
      <c r="E130" s="293"/>
      <c r="F130" s="293"/>
      <c r="G130" s="294"/>
      <c r="H130" s="27">
        <f>H32</f>
        <v>3455.05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ht="22.5" x14ac:dyDescent="0.2">
      <c r="B131" s="247" t="s">
        <v>6</v>
      </c>
      <c r="C131" s="165" t="s">
        <v>98</v>
      </c>
      <c r="D131" s="292" t="s">
        <v>171</v>
      </c>
      <c r="E131" s="293"/>
      <c r="F131" s="293"/>
      <c r="G131" s="294"/>
      <c r="H131" s="27">
        <f>H73</f>
        <v>2865.4802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7" t="s">
        <v>7</v>
      </c>
      <c r="C132" s="165" t="s">
        <v>99</v>
      </c>
      <c r="D132" s="292" t="s">
        <v>175</v>
      </c>
      <c r="E132" s="293"/>
      <c r="F132" s="293"/>
      <c r="G132" s="294"/>
      <c r="H132" s="27">
        <f>H84</f>
        <v>341.85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ht="22.5" x14ac:dyDescent="0.2">
      <c r="B133" s="247" t="s">
        <v>8</v>
      </c>
      <c r="C133" s="165" t="s">
        <v>61</v>
      </c>
      <c r="D133" s="292" t="s">
        <v>178</v>
      </c>
      <c r="E133" s="293"/>
      <c r="F133" s="293"/>
      <c r="G133" s="294"/>
      <c r="H133" s="27">
        <f>H104</f>
        <v>703.21</v>
      </c>
      <c r="I133" s="195"/>
      <c r="J133" s="119"/>
      <c r="K133" s="153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7" t="s">
        <v>9</v>
      </c>
      <c r="C134" s="165" t="s">
        <v>100</v>
      </c>
      <c r="D134" s="292" t="s">
        <v>179</v>
      </c>
      <c r="E134" s="293"/>
      <c r="F134" s="293"/>
      <c r="G134" s="294"/>
      <c r="H134" s="27">
        <f>H113</f>
        <v>198.65</v>
      </c>
      <c r="I134" s="195"/>
      <c r="J134" s="119"/>
      <c r="K134" s="119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46" t="s">
        <v>10</v>
      </c>
      <c r="C135" s="164" t="s">
        <v>64</v>
      </c>
      <c r="D135" s="357" t="s">
        <v>198</v>
      </c>
      <c r="E135" s="358"/>
      <c r="F135" s="358"/>
      <c r="G135" s="359"/>
      <c r="H135" s="31">
        <f>SUM(H130:H134)</f>
        <v>7564.2402000000002</v>
      </c>
      <c r="I135" s="24"/>
      <c r="J135" s="119"/>
      <c r="K135" s="154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47" t="s">
        <v>11</v>
      </c>
      <c r="C136" s="175" t="s">
        <v>101</v>
      </c>
      <c r="D136" s="292" t="s">
        <v>180</v>
      </c>
      <c r="E136" s="293"/>
      <c r="F136" s="293"/>
      <c r="G136" s="294"/>
      <c r="H136" s="27">
        <f>H124</f>
        <v>2624.3100000000013</v>
      </c>
      <c r="I136" s="195"/>
      <c r="J136" s="119"/>
      <c r="K136" s="119"/>
      <c r="L136" s="119"/>
      <c r="M136" s="120"/>
      <c r="N136" s="121"/>
      <c r="O136" s="121"/>
      <c r="P136" s="121"/>
      <c r="Q136" s="121"/>
      <c r="R136" s="121"/>
    </row>
    <row r="137" spans="2:18" x14ac:dyDescent="0.2">
      <c r="B137" s="247" t="s">
        <v>183</v>
      </c>
      <c r="C137" s="238" t="s">
        <v>96</v>
      </c>
      <c r="D137" s="350" t="s">
        <v>197</v>
      </c>
      <c r="E137" s="345"/>
      <c r="F137" s="345"/>
      <c r="G137" s="346"/>
      <c r="H137" s="37">
        <f>SUM(H135:H136)</f>
        <v>10188.550200000001</v>
      </c>
      <c r="I137" s="213"/>
      <c r="J137" s="119"/>
      <c r="K137" s="155"/>
      <c r="L137" s="119"/>
      <c r="M137" s="120"/>
      <c r="N137" s="121"/>
      <c r="O137" s="121"/>
      <c r="P137" s="121"/>
      <c r="Q137" s="121"/>
      <c r="R137" s="121"/>
    </row>
    <row r="138" spans="2:18" ht="12.75" hidden="1" customHeight="1" x14ac:dyDescent="0.2">
      <c r="B138" s="14"/>
      <c r="C138" s="14"/>
      <c r="D138" s="14"/>
      <c r="E138" s="14"/>
      <c r="F138" s="14"/>
      <c r="G138" s="14"/>
      <c r="H138" s="38"/>
      <c r="I138" s="214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40.5" hidden="1" customHeight="1" x14ac:dyDescent="0.2">
      <c r="B139" s="39"/>
      <c r="C139" s="39" t="s">
        <v>20</v>
      </c>
      <c r="D139" s="39"/>
      <c r="E139" s="39"/>
      <c r="F139" s="39"/>
      <c r="G139" s="40"/>
      <c r="H139" s="40"/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39" hidden="1" customHeight="1" x14ac:dyDescent="0.2">
      <c r="B140" s="351" t="s">
        <v>22</v>
      </c>
      <c r="C140" s="352"/>
      <c r="D140" s="252"/>
      <c r="E140" s="252"/>
      <c r="F140" s="252"/>
      <c r="G140" s="41" t="s">
        <v>21</v>
      </c>
      <c r="H140" s="42" t="s">
        <v>0</v>
      </c>
      <c r="I140" s="215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53" t="s">
        <v>23</v>
      </c>
      <c r="C141" s="354"/>
      <c r="D141" s="43"/>
      <c r="E141" s="43"/>
      <c r="F141" s="43"/>
      <c r="G141" s="44"/>
      <c r="H141" s="45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55" t="s">
        <v>24</v>
      </c>
      <c r="C142" s="356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55" t="s">
        <v>25</v>
      </c>
      <c r="C143" s="356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355" t="s">
        <v>26</v>
      </c>
      <c r="C144" s="356"/>
      <c r="D144" s="46"/>
      <c r="E144" s="46"/>
      <c r="F144" s="46"/>
      <c r="G144" s="47"/>
      <c r="H144" s="48">
        <v>0</v>
      </c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371"/>
      <c r="C145" s="372"/>
      <c r="D145" s="49"/>
      <c r="E145" s="49"/>
      <c r="F145" s="49"/>
      <c r="G145" s="50"/>
      <c r="H145" s="48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73"/>
      <c r="C146" s="374"/>
      <c r="D146" s="51"/>
      <c r="E146" s="51"/>
      <c r="F146" s="51"/>
      <c r="G146" s="52"/>
      <c r="H146" s="53"/>
      <c r="I146" s="199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4" t="s">
        <v>27</v>
      </c>
      <c r="C147" s="55"/>
      <c r="D147" s="55"/>
      <c r="E147" s="55"/>
      <c r="F147" s="55"/>
      <c r="G147" s="56"/>
      <c r="H147" s="57">
        <f>SUM(H145:H146)</f>
        <v>0</v>
      </c>
      <c r="I147" s="200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14"/>
      <c r="C148" s="14"/>
      <c r="D148" s="14"/>
      <c r="E148" s="14"/>
      <c r="F148" s="14"/>
      <c r="G148" s="14"/>
      <c r="H148" s="14"/>
      <c r="I148" s="18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39" t="s">
        <v>28</v>
      </c>
      <c r="C149" s="39" t="s">
        <v>29</v>
      </c>
      <c r="D149" s="39"/>
      <c r="E149" s="39"/>
      <c r="F149" s="39"/>
      <c r="G149" s="40"/>
      <c r="H149" s="4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58" t="s">
        <v>30</v>
      </c>
      <c r="C150" s="59"/>
      <c r="D150" s="59"/>
      <c r="E150" s="59"/>
      <c r="F150" s="59"/>
      <c r="G150" s="59"/>
      <c r="H150" s="60"/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1"/>
      <c r="C151" s="62" t="s">
        <v>31</v>
      </c>
      <c r="D151" s="63"/>
      <c r="E151" s="63"/>
      <c r="F151" s="63"/>
      <c r="G151" s="64"/>
      <c r="H151" s="42" t="s">
        <v>0</v>
      </c>
      <c r="I151" s="215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2.75" hidden="1" customHeight="1" x14ac:dyDescent="0.2">
      <c r="B152" s="65" t="s">
        <v>5</v>
      </c>
      <c r="C152" s="66" t="s">
        <v>32</v>
      </c>
      <c r="D152" s="67"/>
      <c r="E152" s="67"/>
      <c r="F152" s="67"/>
      <c r="G152" s="68"/>
      <c r="H152" s="69">
        <f>H121</f>
        <v>168.11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6</v>
      </c>
      <c r="C153" s="71" t="s">
        <v>33</v>
      </c>
      <c r="D153" s="72"/>
      <c r="E153" s="72"/>
      <c r="F153" s="72"/>
      <c r="G153" s="73"/>
      <c r="H153" s="74" t="e">
        <f>#REF!</f>
        <v>#REF!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0" t="s">
        <v>7</v>
      </c>
      <c r="C154" s="75" t="s">
        <v>34</v>
      </c>
      <c r="D154" s="76"/>
      <c r="E154" s="76"/>
      <c r="F154" s="76"/>
      <c r="G154" s="77"/>
      <c r="H154" s="74">
        <f>H124</f>
        <v>2624.3100000000013</v>
      </c>
      <c r="I154" s="199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3.5" hidden="1" customHeight="1" x14ac:dyDescent="0.2">
      <c r="B155" s="78" t="s">
        <v>16</v>
      </c>
      <c r="C155" s="79"/>
      <c r="D155" s="79"/>
      <c r="E155" s="79"/>
      <c r="F155" s="79"/>
      <c r="G155" s="80"/>
      <c r="H155" s="57" t="e">
        <f>SUM(H152:H154)</f>
        <v>#REF!</v>
      </c>
      <c r="I155" s="200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81" t="s">
        <v>15</v>
      </c>
      <c r="C156" s="14" t="s">
        <v>35</v>
      </c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ht="12.75" hidden="1" customHeight="1" x14ac:dyDescent="0.2">
      <c r="B157" s="14"/>
      <c r="C157" s="14"/>
      <c r="D157" s="14"/>
      <c r="E157" s="14"/>
      <c r="F157" s="14"/>
      <c r="G157" s="14"/>
      <c r="H157" s="14"/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I158" s="18"/>
      <c r="J158" s="156"/>
      <c r="K158" s="156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375" t="s">
        <v>320</v>
      </c>
      <c r="C159" s="375"/>
      <c r="D159" s="375"/>
      <c r="E159" s="375"/>
      <c r="F159" s="375"/>
      <c r="I159" s="18"/>
      <c r="J159" s="188"/>
      <c r="K159" s="157"/>
      <c r="L159" s="156"/>
      <c r="M159" s="121"/>
      <c r="N159" s="121"/>
      <c r="O159" s="121"/>
      <c r="P159" s="121"/>
      <c r="Q159" s="121"/>
      <c r="R159" s="121"/>
    </row>
    <row r="160" spans="2:18" x14ac:dyDescent="0.2">
      <c r="B160" s="158"/>
      <c r="C160" s="158"/>
      <c r="D160" s="158"/>
      <c r="E160" s="142"/>
      <c r="F160" s="142"/>
      <c r="I160" s="18"/>
    </row>
    <row r="161" spans="2:14" x14ac:dyDescent="0.2">
      <c r="B161" s="299" t="s">
        <v>202</v>
      </c>
      <c r="C161" s="299"/>
      <c r="D161" s="299"/>
      <c r="E161" s="299"/>
      <c r="F161" s="299"/>
      <c r="G161" s="299"/>
      <c r="H161" s="299"/>
      <c r="I161" s="210"/>
      <c r="J161" s="188"/>
    </row>
    <row r="162" spans="2:14" x14ac:dyDescent="0.2">
      <c r="B162" s="247" t="s">
        <v>5</v>
      </c>
      <c r="C162" s="167" t="s">
        <v>127</v>
      </c>
      <c r="D162" s="364" t="s">
        <v>183</v>
      </c>
      <c r="E162" s="365"/>
      <c r="F162" s="365"/>
      <c r="G162" s="366"/>
      <c r="H162" s="12">
        <f>H137</f>
        <v>10188.550200000001</v>
      </c>
      <c r="I162" s="207"/>
    </row>
    <row r="163" spans="2:14" ht="22.5" x14ac:dyDescent="0.2">
      <c r="B163" s="247" t="s">
        <v>6</v>
      </c>
      <c r="C163" s="166" t="s">
        <v>185</v>
      </c>
      <c r="D163" s="364" t="s">
        <v>186</v>
      </c>
      <c r="E163" s="365"/>
      <c r="F163" s="365"/>
      <c r="G163" s="366"/>
      <c r="H163" s="12">
        <f>H43+H84+H102</f>
        <v>1716.87</v>
      </c>
      <c r="I163" s="201"/>
    </row>
    <row r="164" spans="2:14" ht="22.5" x14ac:dyDescent="0.2">
      <c r="B164" s="247" t="s">
        <v>7</v>
      </c>
      <c r="C164" s="205" t="s">
        <v>203</v>
      </c>
      <c r="D164" s="376" t="s">
        <v>211</v>
      </c>
      <c r="E164" s="377"/>
      <c r="F164" s="377"/>
      <c r="G164" s="378"/>
      <c r="H164" s="206">
        <f>TRUNC((H$43*$G56),2)</f>
        <v>247.22</v>
      </c>
      <c r="I164" s="207"/>
      <c r="J164" s="187"/>
    </row>
    <row r="165" spans="2:14" ht="12.75" customHeight="1" x14ac:dyDescent="0.2">
      <c r="B165" s="247" t="s">
        <v>8</v>
      </c>
      <c r="C165" s="166" t="s">
        <v>19</v>
      </c>
      <c r="D165" s="361" t="s">
        <v>195</v>
      </c>
      <c r="E165" s="362"/>
      <c r="F165" s="363"/>
      <c r="G165" s="13">
        <f>G118</f>
        <v>0.05</v>
      </c>
      <c r="H165" s="12">
        <f>TRUNC((H$163+H$164)*$G165,2)</f>
        <v>98.2</v>
      </c>
      <c r="I165" s="201"/>
      <c r="J165" s="360"/>
      <c r="K165" s="360"/>
      <c r="L165" s="360"/>
      <c r="M165" s="360"/>
      <c r="N165" s="360"/>
    </row>
    <row r="166" spans="2:14" ht="12.75" customHeight="1" x14ac:dyDescent="0.2">
      <c r="B166" s="247" t="s">
        <v>9</v>
      </c>
      <c r="C166" s="166" t="s">
        <v>4</v>
      </c>
      <c r="D166" s="361" t="s">
        <v>196</v>
      </c>
      <c r="E166" s="362"/>
      <c r="F166" s="363"/>
      <c r="G166" s="13">
        <f>G119</f>
        <v>0.1</v>
      </c>
      <c r="H166" s="12">
        <f>TRUNC((H$163+H$164+H$165)*$G166,2)</f>
        <v>206.22</v>
      </c>
      <c r="I166" s="201"/>
      <c r="J166" s="360"/>
      <c r="K166" s="360"/>
      <c r="L166" s="360"/>
      <c r="M166" s="360"/>
      <c r="N166" s="360"/>
    </row>
    <row r="167" spans="2:14" ht="12.75" customHeight="1" x14ac:dyDescent="0.2">
      <c r="B167" s="247" t="s">
        <v>10</v>
      </c>
      <c r="C167" s="166" t="s">
        <v>128</v>
      </c>
      <c r="D167" s="361" t="s">
        <v>205</v>
      </c>
      <c r="E167" s="362"/>
      <c r="F167" s="363"/>
      <c r="G167" s="13">
        <f>G121+G122+G123</f>
        <v>0.14250000000000002</v>
      </c>
      <c r="H167" s="12">
        <f>TRUNC((H$163+H$164+H$165+H$166)/(1-$G167)-(H$163+H$164+H$165+H$166),2)</f>
        <v>376.98</v>
      </c>
      <c r="I167" s="201"/>
      <c r="J167" s="360"/>
      <c r="K167" s="360"/>
      <c r="L167" s="360"/>
      <c r="M167" s="360"/>
      <c r="N167" s="360"/>
    </row>
    <row r="168" spans="2:14" ht="22.5" x14ac:dyDescent="0.2">
      <c r="B168" s="247" t="s">
        <v>11</v>
      </c>
      <c r="C168" s="274" t="s">
        <v>129</v>
      </c>
      <c r="D168" s="364" t="s">
        <v>206</v>
      </c>
      <c r="E168" s="365"/>
      <c r="F168" s="365"/>
      <c r="G168" s="366"/>
      <c r="H168" s="275">
        <f>SUM(H163:H167)</f>
        <v>2645.49</v>
      </c>
      <c r="I168" s="202"/>
    </row>
    <row r="169" spans="2:14" x14ac:dyDescent="0.2">
      <c r="B169" s="273" t="s">
        <v>184</v>
      </c>
      <c r="C169" s="276" t="s">
        <v>154</v>
      </c>
      <c r="D169" s="367" t="s">
        <v>204</v>
      </c>
      <c r="E169" s="368"/>
      <c r="F169" s="368"/>
      <c r="G169" s="369"/>
      <c r="H169" s="277">
        <f>H162-H168</f>
        <v>7543.0602000000017</v>
      </c>
      <c r="I169" s="216"/>
    </row>
    <row r="170" spans="2:14" ht="45" customHeight="1" x14ac:dyDescent="0.2">
      <c r="B170" s="370" t="s">
        <v>153</v>
      </c>
      <c r="C170" s="370"/>
      <c r="D170" s="370"/>
      <c r="E170" s="370"/>
      <c r="F170" s="370"/>
      <c r="G170" s="370"/>
      <c r="H170" s="370"/>
      <c r="I170" s="203"/>
    </row>
  </sheetData>
  <mergeCells count="141"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D26:F26"/>
    <mergeCell ref="D27:F27"/>
    <mergeCell ref="D28:F28"/>
    <mergeCell ref="D29:F29"/>
    <mergeCell ref="D30:F30"/>
    <mergeCell ref="D31:F31"/>
    <mergeCell ref="B19:B20"/>
    <mergeCell ref="C19:H19"/>
    <mergeCell ref="C20:H20"/>
    <mergeCell ref="B22:H22"/>
    <mergeCell ref="B24:H24"/>
    <mergeCell ref="C25:F25"/>
    <mergeCell ref="D41:F41"/>
    <mergeCell ref="D42:F42"/>
    <mergeCell ref="C43:F43"/>
    <mergeCell ref="B44:H44"/>
    <mergeCell ref="B45:H45"/>
    <mergeCell ref="C46:F46"/>
    <mergeCell ref="C32:F32"/>
    <mergeCell ref="C33:F34"/>
    <mergeCell ref="B37:H37"/>
    <mergeCell ref="B38:H38"/>
    <mergeCell ref="B39:H39"/>
    <mergeCell ref="C40:F40"/>
    <mergeCell ref="H49:H50"/>
    <mergeCell ref="J49:J50"/>
    <mergeCell ref="D51:F51"/>
    <mergeCell ref="D52:F52"/>
    <mergeCell ref="D53:F53"/>
    <mergeCell ref="D54:F54"/>
    <mergeCell ref="D47:F47"/>
    <mergeCell ref="D48:F48"/>
    <mergeCell ref="B49:B50"/>
    <mergeCell ref="C49:C50"/>
    <mergeCell ref="D49:D50"/>
    <mergeCell ref="G49:G50"/>
    <mergeCell ref="J60:N60"/>
    <mergeCell ref="D61:G61"/>
    <mergeCell ref="D62:G62"/>
    <mergeCell ref="D65:G65"/>
    <mergeCell ref="C66:G66"/>
    <mergeCell ref="B67:H67"/>
    <mergeCell ref="D55:F55"/>
    <mergeCell ref="C56:F56"/>
    <mergeCell ref="B57:H57"/>
    <mergeCell ref="B58:H58"/>
    <mergeCell ref="C59:G59"/>
    <mergeCell ref="D60:G60"/>
    <mergeCell ref="B74:H74"/>
    <mergeCell ref="B76:H76"/>
    <mergeCell ref="C77:F77"/>
    <mergeCell ref="D78:F78"/>
    <mergeCell ref="D79:F79"/>
    <mergeCell ref="D80:E80"/>
    <mergeCell ref="B68:H68"/>
    <mergeCell ref="C69:G69"/>
    <mergeCell ref="D70:G70"/>
    <mergeCell ref="D71:G71"/>
    <mergeCell ref="D72:G72"/>
    <mergeCell ref="C73:G73"/>
    <mergeCell ref="C89:F89"/>
    <mergeCell ref="D90:F90"/>
    <mergeCell ref="D91:F91"/>
    <mergeCell ref="D92:G92"/>
    <mergeCell ref="C93:G93"/>
    <mergeCell ref="B95:H95"/>
    <mergeCell ref="D81:F81"/>
    <mergeCell ref="D82:E82"/>
    <mergeCell ref="D83:E83"/>
    <mergeCell ref="C84:G84"/>
    <mergeCell ref="B87:H87"/>
    <mergeCell ref="B88:H88"/>
    <mergeCell ref="D103:G103"/>
    <mergeCell ref="C104:G104"/>
    <mergeCell ref="B107:H107"/>
    <mergeCell ref="C108:G108"/>
    <mergeCell ref="B116:H116"/>
    <mergeCell ref="C117:F117"/>
    <mergeCell ref="C96:F96"/>
    <mergeCell ref="D97:F97"/>
    <mergeCell ref="C98:G98"/>
    <mergeCell ref="B100:H100"/>
    <mergeCell ref="C101:G101"/>
    <mergeCell ref="D102:G102"/>
    <mergeCell ref="D124:G124"/>
    <mergeCell ref="B126:H126"/>
    <mergeCell ref="B128:H128"/>
    <mergeCell ref="C129:G129"/>
    <mergeCell ref="D130:G130"/>
    <mergeCell ref="D131:G131"/>
    <mergeCell ref="D118:F118"/>
    <mergeCell ref="D119:F119"/>
    <mergeCell ref="D120:F120"/>
    <mergeCell ref="D121:F121"/>
    <mergeCell ref="D122:F122"/>
    <mergeCell ref="D123:F123"/>
    <mergeCell ref="B140:C140"/>
    <mergeCell ref="B141:C141"/>
    <mergeCell ref="B142:C142"/>
    <mergeCell ref="B143:C143"/>
    <mergeCell ref="B144:C144"/>
    <mergeCell ref="B145:C145"/>
    <mergeCell ref="D132:G132"/>
    <mergeCell ref="D133:G133"/>
    <mergeCell ref="D134:G134"/>
    <mergeCell ref="D135:G135"/>
    <mergeCell ref="D136:G136"/>
    <mergeCell ref="D137:G137"/>
    <mergeCell ref="B170:H170"/>
    <mergeCell ref="D165:F165"/>
    <mergeCell ref="J165:N167"/>
    <mergeCell ref="D166:F166"/>
    <mergeCell ref="D167:F167"/>
    <mergeCell ref="D168:G168"/>
    <mergeCell ref="D169:G169"/>
    <mergeCell ref="B146:C146"/>
    <mergeCell ref="B159:F159"/>
    <mergeCell ref="B161:H161"/>
    <mergeCell ref="D162:G162"/>
    <mergeCell ref="D163:G163"/>
    <mergeCell ref="D164:G164"/>
  </mergeCells>
  <dataValidations count="9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90">
      <formula1>30</formula1>
      <formula2>30</formula2>
    </dataValidation>
    <dataValidation type="list" operator="equal" allowBlank="1" showInputMessage="1" showErrorMessage="1" errorTitle="Valor errado" error="Percentual fixo. Preencher com 40%." sqref="F80 F82">
      <formula1>"40%"</formula1>
    </dataValidation>
    <dataValidation type="custom" allowBlank="1" showInputMessage="1" showErrorMessage="1" sqref="G120">
      <formula1>1-(G121+G122+G123)</formula1>
    </dataValidation>
    <dataValidation type="list" allowBlank="1" showInputMessage="1" showErrorMessage="1" sqref="G83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T167"/>
  <sheetViews>
    <sheetView showGridLines="0" tabSelected="1" topLeftCell="B91" workbookViewId="0">
      <selection activeCell="G119" sqref="G119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295" t="s">
        <v>68</v>
      </c>
      <c r="C2" s="295"/>
      <c r="D2" s="295"/>
      <c r="E2" s="295"/>
      <c r="F2" s="295"/>
      <c r="G2" s="295"/>
      <c r="H2" s="295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296" t="s">
        <v>321</v>
      </c>
      <c r="C3" s="296"/>
      <c r="D3" s="296"/>
      <c r="E3" s="296"/>
      <c r="F3" s="296"/>
      <c r="G3" s="296"/>
      <c r="H3" s="296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297" t="s">
        <v>155</v>
      </c>
      <c r="C6" s="297"/>
      <c r="D6" s="297"/>
      <c r="E6" s="297"/>
      <c r="F6" s="297"/>
      <c r="G6" s="298" t="s">
        <v>305</v>
      </c>
      <c r="H6" s="29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299" t="s">
        <v>69</v>
      </c>
      <c r="C8" s="299"/>
      <c r="D8" s="299"/>
      <c r="E8" s="299"/>
      <c r="F8" s="299"/>
      <c r="G8" s="299"/>
      <c r="H8" s="299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00">
        <v>1</v>
      </c>
      <c r="C9" s="301" t="s">
        <v>70</v>
      </c>
      <c r="D9" s="301"/>
      <c r="E9" s="301"/>
      <c r="F9" s="301"/>
      <c r="G9" s="301"/>
      <c r="H9" s="301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00"/>
      <c r="C10" s="302"/>
      <c r="D10" s="302"/>
      <c r="E10" s="302"/>
      <c r="F10" s="302"/>
      <c r="G10" s="302"/>
      <c r="H10" s="302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00">
        <v>2</v>
      </c>
      <c r="C11" s="301" t="s">
        <v>72</v>
      </c>
      <c r="D11" s="301"/>
      <c r="E11" s="301"/>
      <c r="F11" s="301"/>
      <c r="G11" s="301"/>
      <c r="H11" s="301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00"/>
      <c r="C12" s="302"/>
      <c r="D12" s="302"/>
      <c r="E12" s="302"/>
      <c r="F12" s="302"/>
      <c r="G12" s="302"/>
      <c r="H12" s="302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00">
        <v>3</v>
      </c>
      <c r="C13" s="301" t="s">
        <v>73</v>
      </c>
      <c r="D13" s="301"/>
      <c r="E13" s="301"/>
      <c r="F13" s="301"/>
      <c r="G13" s="301"/>
      <c r="H13" s="301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00"/>
      <c r="C14" s="302"/>
      <c r="D14" s="302"/>
      <c r="E14" s="302"/>
      <c r="F14" s="302"/>
      <c r="G14" s="302"/>
      <c r="H14" s="302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00">
        <v>4</v>
      </c>
      <c r="C15" s="301" t="s">
        <v>74</v>
      </c>
      <c r="D15" s="301"/>
      <c r="E15" s="301"/>
      <c r="F15" s="301"/>
      <c r="G15" s="301"/>
      <c r="H15" s="301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00"/>
      <c r="C16" s="302"/>
      <c r="D16" s="302"/>
      <c r="E16" s="302"/>
      <c r="F16" s="302"/>
      <c r="G16" s="302"/>
      <c r="H16" s="302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00">
        <v>5</v>
      </c>
      <c r="C17" s="301" t="s">
        <v>75</v>
      </c>
      <c r="D17" s="301"/>
      <c r="E17" s="301"/>
      <c r="F17" s="301"/>
      <c r="G17" s="301"/>
      <c r="H17" s="301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00"/>
      <c r="C18" s="302"/>
      <c r="D18" s="302"/>
      <c r="E18" s="302"/>
      <c r="F18" s="302"/>
      <c r="G18" s="302"/>
      <c r="H18" s="302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00">
        <v>6</v>
      </c>
      <c r="C19" s="301" t="s">
        <v>76</v>
      </c>
      <c r="D19" s="301"/>
      <c r="E19" s="301"/>
      <c r="F19" s="301"/>
      <c r="G19" s="301"/>
      <c r="H19" s="301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00"/>
      <c r="C20" s="302"/>
      <c r="D20" s="302"/>
      <c r="E20" s="302"/>
      <c r="F20" s="302"/>
      <c r="G20" s="302"/>
      <c r="H20" s="302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03" t="s">
        <v>95</v>
      </c>
      <c r="C22" s="303"/>
      <c r="D22" s="303"/>
      <c r="E22" s="303"/>
      <c r="F22" s="303"/>
      <c r="G22" s="303"/>
      <c r="H22" s="30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04" t="s">
        <v>83</v>
      </c>
      <c r="C24" s="304"/>
      <c r="D24" s="304"/>
      <c r="E24" s="304"/>
      <c r="F24" s="304"/>
      <c r="G24" s="304"/>
      <c r="H24" s="30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7" t="s">
        <v>77</v>
      </c>
      <c r="D25" s="305"/>
      <c r="E25" s="305"/>
      <c r="F25" s="288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292" t="s">
        <v>221</v>
      </c>
      <c r="E26" s="293"/>
      <c r="F26" s="294"/>
      <c r="G26" s="21"/>
      <c r="H26" s="27">
        <v>2836.33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292" t="s">
        <v>156</v>
      </c>
      <c r="E27" s="293"/>
      <c r="F27" s="294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292" t="s">
        <v>199</v>
      </c>
      <c r="E28" s="293"/>
      <c r="F28" s="294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292" t="s">
        <v>208</v>
      </c>
      <c r="E29" s="293"/>
      <c r="F29" s="294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7" t="s">
        <v>10</v>
      </c>
      <c r="C30" s="176" t="s">
        <v>3</v>
      </c>
      <c r="D30" s="292"/>
      <c r="E30" s="293"/>
      <c r="F30" s="294"/>
      <c r="G30" s="261"/>
      <c r="H30" s="106"/>
      <c r="I30" s="193"/>
      <c r="J30" s="119"/>
      <c r="K30" s="119"/>
      <c r="L30" s="135"/>
      <c r="M30" s="120"/>
      <c r="N30" s="121"/>
      <c r="O30" s="121"/>
      <c r="P30" s="121"/>
      <c r="Q30" s="121"/>
      <c r="R30" s="121"/>
    </row>
    <row r="31" spans="2:18" x14ac:dyDescent="0.2">
      <c r="B31" s="247" t="s">
        <v>157</v>
      </c>
      <c r="C31" s="287" t="s">
        <v>78</v>
      </c>
      <c r="D31" s="305"/>
      <c r="E31" s="305"/>
      <c r="F31" s="288"/>
      <c r="G31" s="36"/>
      <c r="H31" s="23">
        <f>SUM(H26:H30)</f>
        <v>2836.33</v>
      </c>
      <c r="I31" s="24"/>
      <c r="J31" s="119"/>
      <c r="K31" s="119"/>
      <c r="L31" s="119"/>
      <c r="M31" s="120"/>
      <c r="N31" s="121"/>
      <c r="O31" s="121"/>
      <c r="P31" s="121"/>
      <c r="Q31" s="121"/>
      <c r="R31" s="121"/>
    </row>
    <row r="32" spans="2:18" x14ac:dyDescent="0.2">
      <c r="B32" s="239"/>
      <c r="C32" s="239"/>
      <c r="D32" s="239"/>
      <c r="E32" s="239"/>
      <c r="F32" s="239"/>
      <c r="G32" s="239"/>
      <c r="H32" s="136"/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x14ac:dyDescent="0.2">
      <c r="B33" s="239"/>
      <c r="C33" s="239"/>
      <c r="D33" s="239"/>
      <c r="E33" s="239"/>
      <c r="F33" s="239"/>
      <c r="G33" s="239"/>
      <c r="H33" s="136"/>
      <c r="I33" s="24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ht="12.75" customHeight="1" x14ac:dyDescent="0.2">
      <c r="B34" s="304" t="s">
        <v>84</v>
      </c>
      <c r="C34" s="304"/>
      <c r="D34" s="304"/>
      <c r="E34" s="304"/>
      <c r="F34" s="304"/>
      <c r="G34" s="304"/>
      <c r="H34" s="304"/>
      <c r="I34" s="208"/>
      <c r="J34" s="137"/>
      <c r="K34" s="119"/>
      <c r="L34" s="135"/>
      <c r="M34" s="134"/>
      <c r="N34" s="121"/>
      <c r="O34" s="121"/>
      <c r="P34" s="121"/>
      <c r="Q34" s="121"/>
      <c r="R34" s="121"/>
    </row>
    <row r="35" spans="2:18" x14ac:dyDescent="0.2">
      <c r="B35" s="321"/>
      <c r="C35" s="322"/>
      <c r="D35" s="322"/>
      <c r="E35" s="322"/>
      <c r="F35" s="322"/>
      <c r="G35" s="322"/>
      <c r="H35" s="323"/>
      <c r="I35" s="208"/>
      <c r="J35" s="137"/>
      <c r="K35" s="119"/>
      <c r="L35" s="135"/>
      <c r="M35" s="134"/>
      <c r="N35" s="121"/>
      <c r="O35" s="121"/>
      <c r="P35" s="121"/>
      <c r="Q35" s="121"/>
      <c r="R35" s="121"/>
    </row>
    <row r="36" spans="2:18" x14ac:dyDescent="0.2">
      <c r="B36" s="324" t="s">
        <v>54</v>
      </c>
      <c r="C36" s="324"/>
      <c r="D36" s="324"/>
      <c r="E36" s="324"/>
      <c r="F36" s="324"/>
      <c r="G36" s="324"/>
      <c r="H36" s="324"/>
      <c r="I36" s="208"/>
      <c r="J36" s="137"/>
      <c r="K36" s="119"/>
      <c r="L36" s="135"/>
      <c r="M36" s="134"/>
      <c r="N36" s="121"/>
      <c r="O36" s="121"/>
      <c r="P36" s="121"/>
      <c r="Q36" s="121"/>
      <c r="R36" s="121"/>
    </row>
    <row r="37" spans="2:18" x14ac:dyDescent="0.2">
      <c r="B37" s="177" t="s">
        <v>56</v>
      </c>
      <c r="C37" s="287" t="s">
        <v>45</v>
      </c>
      <c r="D37" s="305"/>
      <c r="E37" s="305"/>
      <c r="F37" s="288"/>
      <c r="G37" s="177" t="s">
        <v>2</v>
      </c>
      <c r="H37" s="177" t="s">
        <v>67</v>
      </c>
      <c r="I37" s="208"/>
      <c r="J37" s="140"/>
      <c r="K37" s="119"/>
      <c r="L37" s="119"/>
      <c r="M37" s="120"/>
      <c r="N37" s="121"/>
      <c r="O37" s="121"/>
      <c r="P37" s="121"/>
      <c r="Q37" s="121"/>
      <c r="R37" s="121"/>
    </row>
    <row r="38" spans="2:18" x14ac:dyDescent="0.2">
      <c r="B38" s="247" t="s">
        <v>5</v>
      </c>
      <c r="C38" s="175" t="s">
        <v>133</v>
      </c>
      <c r="D38" s="292" t="s">
        <v>158</v>
      </c>
      <c r="E38" s="293"/>
      <c r="F38" s="294"/>
      <c r="G38" s="26">
        <f>1/12</f>
        <v>8.3333333333333329E-2</v>
      </c>
      <c r="H38" s="27">
        <f>TRUNC((H$31*$G38),2)</f>
        <v>236.36</v>
      </c>
      <c r="I38" s="195"/>
      <c r="J38" s="137"/>
      <c r="K38" s="119"/>
      <c r="L38" s="119"/>
      <c r="M38" s="134"/>
      <c r="N38" s="121"/>
      <c r="O38" s="121"/>
      <c r="P38" s="121"/>
      <c r="Q38" s="121"/>
      <c r="R38" s="121"/>
    </row>
    <row r="39" spans="2:18" x14ac:dyDescent="0.2">
      <c r="B39" s="247" t="s">
        <v>6</v>
      </c>
      <c r="C39" s="175" t="s">
        <v>82</v>
      </c>
      <c r="D39" s="292" t="s">
        <v>160</v>
      </c>
      <c r="E39" s="293"/>
      <c r="F39" s="294"/>
      <c r="G39" s="26">
        <f>(1/12)+(1/3/12)</f>
        <v>0.1111111111111111</v>
      </c>
      <c r="H39" s="27">
        <f>TRUNC((H$31*$G39),2)</f>
        <v>315.14</v>
      </c>
      <c r="I39" s="195"/>
      <c r="J39" s="137"/>
      <c r="K39" s="119"/>
      <c r="L39" s="119"/>
      <c r="M39" s="134"/>
      <c r="N39" s="121"/>
      <c r="O39" s="121"/>
      <c r="P39" s="121"/>
      <c r="Q39" s="121"/>
      <c r="R39" s="121"/>
    </row>
    <row r="40" spans="2:18" x14ac:dyDescent="0.2">
      <c r="B40" s="247" t="s">
        <v>159</v>
      </c>
      <c r="C40" s="287" t="s">
        <v>78</v>
      </c>
      <c r="D40" s="305"/>
      <c r="E40" s="305"/>
      <c r="F40" s="288"/>
      <c r="G40" s="28">
        <f>TRUNC(SUM(G38:G39),4)</f>
        <v>0.19439999999999999</v>
      </c>
      <c r="H40" s="23">
        <f>SUM(H38:H39)</f>
        <v>551.5</v>
      </c>
      <c r="I40" s="24"/>
      <c r="J40" s="137"/>
      <c r="K40" s="119"/>
      <c r="L40" s="119"/>
      <c r="M40" s="134"/>
      <c r="N40" s="121"/>
      <c r="O40" s="121"/>
      <c r="P40" s="121"/>
      <c r="Q40" s="121"/>
      <c r="R40" s="121"/>
    </row>
    <row r="41" spans="2:18" x14ac:dyDescent="0.2">
      <c r="B41" s="311"/>
      <c r="C41" s="312"/>
      <c r="D41" s="312"/>
      <c r="E41" s="312"/>
      <c r="F41" s="312"/>
      <c r="G41" s="312"/>
      <c r="H41" s="313"/>
      <c r="I41" s="239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ht="30" customHeight="1" x14ac:dyDescent="0.2">
      <c r="B42" s="314" t="s">
        <v>85</v>
      </c>
      <c r="C42" s="315"/>
      <c r="D42" s="315"/>
      <c r="E42" s="315"/>
      <c r="F42" s="315"/>
      <c r="G42" s="315"/>
      <c r="H42" s="316"/>
      <c r="I42" s="196"/>
      <c r="J42" s="138"/>
      <c r="K42" s="139"/>
      <c r="L42" s="119"/>
      <c r="M42" s="120"/>
      <c r="N42" s="121"/>
      <c r="O42" s="121"/>
      <c r="P42" s="121"/>
      <c r="Q42" s="121"/>
      <c r="R42" s="121"/>
    </row>
    <row r="43" spans="2:18" x14ac:dyDescent="0.2">
      <c r="B43" s="177" t="s">
        <v>57</v>
      </c>
      <c r="C43" s="287" t="s">
        <v>86</v>
      </c>
      <c r="D43" s="305"/>
      <c r="E43" s="305"/>
      <c r="F43" s="288"/>
      <c r="G43" s="177" t="s">
        <v>2</v>
      </c>
      <c r="H43" s="177" t="s">
        <v>67</v>
      </c>
      <c r="I43" s="208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247" t="s">
        <v>5</v>
      </c>
      <c r="C44" s="175" t="s">
        <v>48</v>
      </c>
      <c r="D44" s="292" t="s">
        <v>161</v>
      </c>
      <c r="E44" s="293"/>
      <c r="F44" s="294"/>
      <c r="G44" s="26">
        <v>0.2</v>
      </c>
      <c r="H44" s="27">
        <f>TRUNC((H$31+H$40)*$G44,2)</f>
        <v>677.56</v>
      </c>
      <c r="I44" s="195"/>
      <c r="J44" s="137"/>
      <c r="K44" s="119"/>
      <c r="L44" s="119"/>
      <c r="M44" s="120"/>
      <c r="N44" s="121"/>
      <c r="O44" s="121"/>
      <c r="P44" s="121"/>
      <c r="Q44" s="121"/>
      <c r="R44" s="121"/>
    </row>
    <row r="45" spans="2:18" x14ac:dyDescent="0.2">
      <c r="B45" s="247" t="s">
        <v>6</v>
      </c>
      <c r="C45" s="160" t="s">
        <v>49</v>
      </c>
      <c r="D45" s="292" t="s">
        <v>162</v>
      </c>
      <c r="E45" s="293"/>
      <c r="F45" s="294"/>
      <c r="G45" s="26">
        <v>2.5000000000000001E-2</v>
      </c>
      <c r="H45" s="27">
        <f>TRUNC((H$31+H$40)*$G45,2)</f>
        <v>84.69</v>
      </c>
      <c r="I45" s="195"/>
      <c r="J45" s="137"/>
      <c r="K45" s="119"/>
      <c r="L45" s="119"/>
      <c r="M45" s="120"/>
      <c r="N45" s="121"/>
      <c r="O45" s="121"/>
      <c r="P45" s="121"/>
      <c r="Q45" s="121"/>
      <c r="R45" s="121"/>
    </row>
    <row r="46" spans="2:18" x14ac:dyDescent="0.2">
      <c r="B46" s="306" t="s">
        <v>7</v>
      </c>
      <c r="C46" s="308" t="s">
        <v>124</v>
      </c>
      <c r="D46" s="310" t="s">
        <v>168</v>
      </c>
      <c r="E46" s="11" t="s">
        <v>125</v>
      </c>
      <c r="F46" s="11" t="s">
        <v>123</v>
      </c>
      <c r="G46" s="317">
        <f>E47*F47</f>
        <v>0.03</v>
      </c>
      <c r="H46" s="319">
        <f>TRUNC((H$31+H$40)*$G46,2)</f>
        <v>101.63</v>
      </c>
      <c r="I46" s="198"/>
      <c r="J46" s="325"/>
      <c r="K46" s="119"/>
      <c r="L46" s="119"/>
      <c r="M46" s="120"/>
      <c r="N46" s="121"/>
      <c r="O46" s="121"/>
      <c r="P46" s="121"/>
      <c r="Q46" s="121"/>
      <c r="R46" s="121"/>
    </row>
    <row r="47" spans="2:18" x14ac:dyDescent="0.2">
      <c r="B47" s="307"/>
      <c r="C47" s="309"/>
      <c r="D47" s="310"/>
      <c r="E47" s="84">
        <v>0.03</v>
      </c>
      <c r="F47" s="85">
        <v>1</v>
      </c>
      <c r="G47" s="318"/>
      <c r="H47" s="320"/>
      <c r="I47" s="198"/>
      <c r="J47" s="325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8</v>
      </c>
      <c r="C48" s="175" t="s">
        <v>47</v>
      </c>
      <c r="D48" s="292" t="s">
        <v>163</v>
      </c>
      <c r="E48" s="293"/>
      <c r="F48" s="294"/>
      <c r="G48" s="26">
        <v>1.4999999999999999E-2</v>
      </c>
      <c r="H48" s="27">
        <f>TRUNC((H$31+H$40)*$G48,2)</f>
        <v>50.81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247" t="s">
        <v>9</v>
      </c>
      <c r="C49" s="175" t="s">
        <v>50</v>
      </c>
      <c r="D49" s="292" t="s">
        <v>164</v>
      </c>
      <c r="E49" s="293"/>
      <c r="F49" s="294"/>
      <c r="G49" s="26">
        <v>0.01</v>
      </c>
      <c r="H49" s="27">
        <f>TRUNC((H$31+H$40)*$G49,2)</f>
        <v>33.869999999999997</v>
      </c>
      <c r="I49" s="195"/>
      <c r="J49" s="13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247" t="s">
        <v>10</v>
      </c>
      <c r="C50" s="175" t="s">
        <v>51</v>
      </c>
      <c r="D50" s="292" t="s">
        <v>165</v>
      </c>
      <c r="E50" s="293"/>
      <c r="F50" s="294"/>
      <c r="G50" s="26">
        <v>6.0000000000000001E-3</v>
      </c>
      <c r="H50" s="27">
        <f>TRUNC((H$31+H$40)*$G50,2)</f>
        <v>20.32</v>
      </c>
      <c r="I50" s="195"/>
      <c r="J50" s="13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11</v>
      </c>
      <c r="C51" s="175" t="s">
        <v>52</v>
      </c>
      <c r="D51" s="292" t="s">
        <v>166</v>
      </c>
      <c r="E51" s="293"/>
      <c r="F51" s="294"/>
      <c r="G51" s="26">
        <v>2E-3</v>
      </c>
      <c r="H51" s="27">
        <f>TRUNC((H$31+H$40)*$G51,2)</f>
        <v>6.77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12</v>
      </c>
      <c r="C52" s="175" t="s">
        <v>53</v>
      </c>
      <c r="D52" s="292" t="s">
        <v>167</v>
      </c>
      <c r="E52" s="293"/>
      <c r="F52" s="294"/>
      <c r="G52" s="26">
        <v>0.08</v>
      </c>
      <c r="H52" s="27">
        <f>TRUNC((H$31+H$40)*$G52,2)</f>
        <v>271.02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169</v>
      </c>
      <c r="C53" s="287" t="s">
        <v>78</v>
      </c>
      <c r="D53" s="305"/>
      <c r="E53" s="305"/>
      <c r="F53" s="288"/>
      <c r="G53" s="29">
        <f>SUM(G44:G52)</f>
        <v>0.36800000000000005</v>
      </c>
      <c r="H53" s="30">
        <f>SUM(H44:H52)</f>
        <v>1246.67</v>
      </c>
      <c r="I53" s="24"/>
      <c r="J53" s="140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327"/>
      <c r="C54" s="328"/>
      <c r="D54" s="328"/>
      <c r="E54" s="328"/>
      <c r="F54" s="328"/>
      <c r="G54" s="328"/>
      <c r="H54" s="329"/>
      <c r="I54" s="234"/>
      <c r="J54" s="140"/>
      <c r="K54" s="119"/>
      <c r="L54" s="119"/>
      <c r="M54" s="120"/>
      <c r="N54" s="141"/>
      <c r="O54" s="121"/>
      <c r="P54" s="121"/>
      <c r="Q54" s="121"/>
      <c r="R54" s="121"/>
    </row>
    <row r="55" spans="2:18" ht="12.75" customHeight="1" x14ac:dyDescent="0.2">
      <c r="B55" s="314" t="s">
        <v>55</v>
      </c>
      <c r="C55" s="315"/>
      <c r="D55" s="315"/>
      <c r="E55" s="315"/>
      <c r="F55" s="315"/>
      <c r="G55" s="315"/>
      <c r="H55" s="316"/>
      <c r="I55" s="234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7" t="s">
        <v>58</v>
      </c>
      <c r="C56" s="287" t="s">
        <v>59</v>
      </c>
      <c r="D56" s="305"/>
      <c r="E56" s="305"/>
      <c r="F56" s="305"/>
      <c r="G56" s="288"/>
      <c r="H56" s="177" t="s">
        <v>67</v>
      </c>
      <c r="I56" s="208"/>
      <c r="J56" s="138"/>
      <c r="K56" s="119"/>
      <c r="L56" s="119"/>
      <c r="M56" s="120"/>
      <c r="N56" s="121"/>
      <c r="O56" s="121"/>
      <c r="P56" s="121"/>
      <c r="Q56" s="121"/>
      <c r="R56" s="121"/>
    </row>
    <row r="57" spans="2:18" ht="12.75" customHeight="1" x14ac:dyDescent="0.2">
      <c r="B57" s="247" t="s">
        <v>5</v>
      </c>
      <c r="C57" s="175" t="s">
        <v>65</v>
      </c>
      <c r="D57" s="292" t="s">
        <v>172</v>
      </c>
      <c r="E57" s="293"/>
      <c r="F57" s="293"/>
      <c r="G57" s="294"/>
      <c r="H57" s="86">
        <f>(8.55*2*22)-(H26*6%)</f>
        <v>206.02020000000005</v>
      </c>
      <c r="I57" s="212"/>
      <c r="J57" s="326"/>
      <c r="K57" s="326"/>
      <c r="L57" s="326"/>
      <c r="M57" s="326"/>
      <c r="N57" s="326"/>
      <c r="O57" s="121"/>
      <c r="P57" s="121"/>
      <c r="Q57" s="121"/>
      <c r="R57" s="121"/>
    </row>
    <row r="58" spans="2:18" ht="12.75" customHeight="1" x14ac:dyDescent="0.2">
      <c r="B58" s="247" t="s">
        <v>6</v>
      </c>
      <c r="C58" s="175" t="s">
        <v>66</v>
      </c>
      <c r="D58" s="292" t="s">
        <v>173</v>
      </c>
      <c r="E58" s="293"/>
      <c r="F58" s="293"/>
      <c r="G58" s="294"/>
      <c r="H58" s="86">
        <f>16.5*22</f>
        <v>363</v>
      </c>
      <c r="I58" s="212"/>
      <c r="J58" s="137"/>
      <c r="K58" s="137"/>
      <c r="L58" s="137"/>
      <c r="M58" s="137"/>
      <c r="N58" s="137"/>
      <c r="O58" s="121"/>
      <c r="P58" s="121"/>
      <c r="Q58" s="121"/>
      <c r="R58" s="121"/>
    </row>
    <row r="59" spans="2:18" x14ac:dyDescent="0.2">
      <c r="B59" s="247" t="s">
        <v>7</v>
      </c>
      <c r="C59" s="175" t="s">
        <v>228</v>
      </c>
      <c r="D59" s="292" t="s">
        <v>229</v>
      </c>
      <c r="E59" s="293"/>
      <c r="F59" s="293"/>
      <c r="G59" s="294"/>
      <c r="H59" s="86">
        <v>66</v>
      </c>
      <c r="I59" s="212"/>
      <c r="J59" s="137"/>
      <c r="K59" s="119"/>
      <c r="L59" s="119"/>
      <c r="M59" s="120"/>
      <c r="N59" s="121"/>
      <c r="O59" s="121"/>
      <c r="P59" s="121"/>
      <c r="Q59" s="121"/>
      <c r="R59" s="121"/>
    </row>
    <row r="60" spans="2:18" x14ac:dyDescent="0.2">
      <c r="B60" s="247" t="s">
        <v>8</v>
      </c>
      <c r="C60" s="175" t="s">
        <v>223</v>
      </c>
      <c r="D60" s="243"/>
      <c r="E60" s="244"/>
      <c r="F60" s="244"/>
      <c r="G60" s="245"/>
      <c r="H60" s="86">
        <v>5</v>
      </c>
      <c r="I60" s="212"/>
      <c r="J60" s="137"/>
      <c r="K60" s="119"/>
      <c r="L60" s="119"/>
      <c r="M60" s="120"/>
      <c r="N60" s="121"/>
      <c r="O60" s="121"/>
      <c r="P60" s="121"/>
      <c r="Q60" s="121"/>
      <c r="R60" s="121"/>
    </row>
    <row r="61" spans="2:18" x14ac:dyDescent="0.2">
      <c r="B61" s="281" t="s">
        <v>9</v>
      </c>
      <c r="C61" s="175" t="s">
        <v>322</v>
      </c>
      <c r="D61" s="278"/>
      <c r="E61" s="279"/>
      <c r="F61" s="279"/>
      <c r="G61" s="280"/>
      <c r="H61" s="86">
        <v>35</v>
      </c>
      <c r="I61" s="212"/>
      <c r="J61" s="137"/>
      <c r="K61" s="119"/>
      <c r="L61" s="119"/>
      <c r="M61" s="120"/>
      <c r="N61" s="121"/>
      <c r="O61" s="121"/>
      <c r="P61" s="121"/>
      <c r="Q61" s="121"/>
      <c r="R61" s="121"/>
    </row>
    <row r="62" spans="2:18" s="142" customFormat="1" x14ac:dyDescent="0.2">
      <c r="B62" s="247" t="s">
        <v>10</v>
      </c>
      <c r="C62" s="175" t="s">
        <v>3</v>
      </c>
      <c r="D62" s="292"/>
      <c r="E62" s="293"/>
      <c r="F62" s="293"/>
      <c r="G62" s="294"/>
      <c r="H62" s="86">
        <v>0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170</v>
      </c>
      <c r="C63" s="287" t="s">
        <v>78</v>
      </c>
      <c r="D63" s="305"/>
      <c r="E63" s="305"/>
      <c r="F63" s="305"/>
      <c r="G63" s="288"/>
      <c r="H63" s="30">
        <f>SUM(H57:H62)</f>
        <v>675.02020000000005</v>
      </c>
      <c r="I63" s="24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311"/>
      <c r="C64" s="312"/>
      <c r="D64" s="312"/>
      <c r="E64" s="312"/>
      <c r="F64" s="312"/>
      <c r="G64" s="312"/>
      <c r="H64" s="313"/>
      <c r="I64" s="239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330" t="s">
        <v>88</v>
      </c>
      <c r="C65" s="330"/>
      <c r="D65" s="330"/>
      <c r="E65" s="330"/>
      <c r="F65" s="330"/>
      <c r="G65" s="330"/>
      <c r="H65" s="330"/>
      <c r="I65" s="239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177">
        <v>2</v>
      </c>
      <c r="C66" s="287" t="s">
        <v>87</v>
      </c>
      <c r="D66" s="305"/>
      <c r="E66" s="305"/>
      <c r="F66" s="305"/>
      <c r="G66" s="288"/>
      <c r="H66" s="177" t="s">
        <v>67</v>
      </c>
      <c r="I66" s="208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247" t="s">
        <v>56</v>
      </c>
      <c r="C67" s="163" t="s">
        <v>45</v>
      </c>
      <c r="D67" s="292" t="s">
        <v>159</v>
      </c>
      <c r="E67" s="293"/>
      <c r="F67" s="293"/>
      <c r="G67" s="294"/>
      <c r="H67" s="27">
        <f>H40</f>
        <v>551.5</v>
      </c>
      <c r="I67" s="19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247" t="s">
        <v>57</v>
      </c>
      <c r="C68" s="163" t="s">
        <v>46</v>
      </c>
      <c r="D68" s="292" t="s">
        <v>169</v>
      </c>
      <c r="E68" s="293"/>
      <c r="F68" s="293"/>
      <c r="G68" s="294"/>
      <c r="H68" s="27">
        <f>H53</f>
        <v>1246.67</v>
      </c>
      <c r="I68" s="195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47" t="s">
        <v>58</v>
      </c>
      <c r="C69" s="163" t="s">
        <v>59</v>
      </c>
      <c r="D69" s="292" t="s">
        <v>170</v>
      </c>
      <c r="E69" s="293"/>
      <c r="F69" s="293"/>
      <c r="G69" s="294"/>
      <c r="H69" s="27">
        <f>H63</f>
        <v>675.02020000000005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171</v>
      </c>
      <c r="C70" s="287" t="s">
        <v>78</v>
      </c>
      <c r="D70" s="305"/>
      <c r="E70" s="305"/>
      <c r="F70" s="305"/>
      <c r="G70" s="288"/>
      <c r="H70" s="23">
        <f>SUM(H67:H69)</f>
        <v>2473.1902</v>
      </c>
      <c r="I70" s="24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312"/>
      <c r="C71" s="312"/>
      <c r="D71" s="312"/>
      <c r="E71" s="312"/>
      <c r="F71" s="312"/>
      <c r="G71" s="312"/>
      <c r="H71" s="312"/>
      <c r="I71" s="208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39"/>
      <c r="C72" s="239"/>
      <c r="D72" s="239"/>
      <c r="E72" s="239"/>
      <c r="F72" s="239"/>
      <c r="G72" s="239"/>
      <c r="H72" s="239"/>
      <c r="I72" s="208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04" t="s">
        <v>89</v>
      </c>
      <c r="C73" s="304"/>
      <c r="D73" s="304"/>
      <c r="E73" s="304"/>
      <c r="F73" s="304"/>
      <c r="G73" s="304"/>
      <c r="H73" s="304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177">
        <v>3</v>
      </c>
      <c r="C74" s="287" t="s">
        <v>79</v>
      </c>
      <c r="D74" s="305"/>
      <c r="E74" s="305"/>
      <c r="F74" s="288"/>
      <c r="G74" s="177" t="s">
        <v>2</v>
      </c>
      <c r="H74" s="177" t="s">
        <v>67</v>
      </c>
      <c r="I74" s="208"/>
      <c r="J74" s="143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47" t="s">
        <v>5</v>
      </c>
      <c r="C75" s="164" t="s">
        <v>118</v>
      </c>
      <c r="D75" s="292" t="s">
        <v>188</v>
      </c>
      <c r="E75" s="293"/>
      <c r="F75" s="294"/>
      <c r="G75" s="87">
        <v>0.3</v>
      </c>
      <c r="H75" s="31">
        <f>TRUNC((H$76+H$77)*$G75,2)</f>
        <v>135.71</v>
      </c>
      <c r="I75" s="24"/>
      <c r="J75" s="140"/>
      <c r="K75" s="119"/>
      <c r="L75" s="119"/>
      <c r="M75" s="120"/>
      <c r="N75" s="121"/>
      <c r="O75" s="144"/>
      <c r="P75" s="121"/>
      <c r="Q75" s="121"/>
      <c r="R75" s="121"/>
    </row>
    <row r="76" spans="2:18" x14ac:dyDescent="0.2">
      <c r="B76" s="247" t="s">
        <v>6</v>
      </c>
      <c r="C76" s="175" t="s">
        <v>119</v>
      </c>
      <c r="D76" s="292" t="s">
        <v>210</v>
      </c>
      <c r="E76" s="293"/>
      <c r="F76" s="294"/>
      <c r="G76" s="32"/>
      <c r="H76" s="27">
        <f>TRUNC((H$31+H$40+H$52+H$63-H57)/12,2)</f>
        <v>343.98</v>
      </c>
      <c r="I76" s="195"/>
      <c r="J76" s="137"/>
      <c r="K76" s="119"/>
      <c r="L76" s="119"/>
      <c r="M76" s="120"/>
      <c r="N76" s="121"/>
      <c r="O76" s="145"/>
      <c r="P76" s="121"/>
      <c r="Q76" s="121"/>
      <c r="R76" s="121"/>
    </row>
    <row r="77" spans="2:18" x14ac:dyDescent="0.2">
      <c r="B77" s="247" t="s">
        <v>7</v>
      </c>
      <c r="C77" s="175" t="s">
        <v>120</v>
      </c>
      <c r="D77" s="292" t="s">
        <v>200</v>
      </c>
      <c r="E77" s="294"/>
      <c r="F77" s="89">
        <v>0.4</v>
      </c>
      <c r="G77" s="32"/>
      <c r="H77" s="27">
        <f>TRUNC(H$52*$F77,2)</f>
        <v>108.4</v>
      </c>
      <c r="I77" s="195"/>
      <c r="J77" s="137"/>
      <c r="K77" s="119"/>
      <c r="L77" s="119"/>
      <c r="M77" s="120"/>
      <c r="N77" s="121"/>
      <c r="O77" s="145"/>
      <c r="P77" s="121"/>
      <c r="Q77" s="121"/>
      <c r="R77" s="121"/>
    </row>
    <row r="78" spans="2:18" x14ac:dyDescent="0.2">
      <c r="B78" s="247" t="s">
        <v>8</v>
      </c>
      <c r="C78" s="164" t="s">
        <v>121</v>
      </c>
      <c r="D78" s="292" t="s">
        <v>189</v>
      </c>
      <c r="E78" s="293"/>
      <c r="F78" s="294"/>
      <c r="G78" s="87">
        <v>1</v>
      </c>
      <c r="H78" s="168">
        <f>IF($G78&gt;=1,(TRUNC(H$79*$G78,2)),"ERRO")</f>
        <v>108.4</v>
      </c>
      <c r="I78" s="197"/>
      <c r="J78" s="137"/>
      <c r="K78" s="119"/>
      <c r="L78" s="119"/>
      <c r="M78" s="120"/>
      <c r="N78" s="121"/>
      <c r="O78" s="141"/>
      <c r="P78" s="121"/>
      <c r="Q78" s="121"/>
      <c r="R78" s="121"/>
    </row>
    <row r="79" spans="2:18" x14ac:dyDescent="0.2">
      <c r="B79" s="247" t="s">
        <v>9</v>
      </c>
      <c r="C79" s="175" t="s">
        <v>122</v>
      </c>
      <c r="D79" s="292" t="s">
        <v>200</v>
      </c>
      <c r="E79" s="294"/>
      <c r="F79" s="89">
        <v>0.4</v>
      </c>
      <c r="G79" s="32"/>
      <c r="H79" s="27">
        <f>TRUNC(H$52*$F79,2)</f>
        <v>108.4</v>
      </c>
      <c r="I79" s="195"/>
      <c r="J79" s="137"/>
      <c r="K79" s="119"/>
      <c r="L79" s="119"/>
      <c r="M79" s="120"/>
      <c r="N79" s="121"/>
      <c r="O79" s="141"/>
      <c r="P79" s="121"/>
      <c r="Q79" s="121"/>
      <c r="R79" s="121"/>
    </row>
    <row r="80" spans="2:18" x14ac:dyDescent="0.2">
      <c r="B80" s="247" t="s">
        <v>10</v>
      </c>
      <c r="C80" s="164" t="s">
        <v>207</v>
      </c>
      <c r="D80" s="337" t="s">
        <v>201</v>
      </c>
      <c r="E80" s="338"/>
      <c r="F80" s="88">
        <v>12</v>
      </c>
      <c r="G80" s="88">
        <v>3</v>
      </c>
      <c r="H80" s="27">
        <f>TRUNC(((H$31+H$40+H$53)/30)*$G80/$F80,2)</f>
        <v>38.619999999999997</v>
      </c>
      <c r="I80" s="195"/>
      <c r="J80" s="190"/>
      <c r="K80" s="120"/>
      <c r="L80" s="120"/>
      <c r="M80" s="120"/>
      <c r="N80" s="121"/>
      <c r="O80" s="141"/>
      <c r="P80" s="121"/>
      <c r="Q80" s="121"/>
      <c r="R80" s="121"/>
    </row>
    <row r="81" spans="2:18" x14ac:dyDescent="0.2">
      <c r="B81" s="247" t="s">
        <v>175</v>
      </c>
      <c r="C81" s="287" t="s">
        <v>78</v>
      </c>
      <c r="D81" s="305"/>
      <c r="E81" s="305"/>
      <c r="F81" s="305"/>
      <c r="G81" s="288"/>
      <c r="H81" s="23">
        <f>H$75+H$78+H$80</f>
        <v>282.73</v>
      </c>
      <c r="I81" s="24"/>
      <c r="J81" s="121"/>
      <c r="K81" s="121"/>
      <c r="L81" s="121"/>
      <c r="M81" s="120"/>
      <c r="N81" s="121"/>
      <c r="O81" s="121"/>
      <c r="P81" s="121"/>
      <c r="Q81" s="121"/>
      <c r="R81" s="121"/>
    </row>
    <row r="82" spans="2:18" x14ac:dyDescent="0.2">
      <c r="B82" s="185"/>
      <c r="C82" s="185"/>
      <c r="D82" s="185"/>
      <c r="E82" s="185"/>
      <c r="F82" s="185"/>
      <c r="G82" s="185"/>
      <c r="H82" s="185"/>
      <c r="I82" s="185"/>
      <c r="J82" s="137"/>
      <c r="K82" s="119"/>
      <c r="L82" s="119"/>
      <c r="M82" s="120"/>
      <c r="N82" s="121"/>
      <c r="O82" s="121"/>
      <c r="P82" s="121"/>
      <c r="Q82" s="121"/>
      <c r="R82" s="121"/>
    </row>
    <row r="83" spans="2:18" x14ac:dyDescent="0.2">
      <c r="B83" s="239"/>
      <c r="C83" s="239"/>
      <c r="D83" s="239"/>
      <c r="E83" s="239"/>
      <c r="F83" s="239"/>
      <c r="G83" s="239"/>
      <c r="H83" s="239"/>
      <c r="I83" s="208"/>
      <c r="J83" s="137"/>
      <c r="K83" s="119"/>
      <c r="L83" s="119"/>
      <c r="M83" s="120"/>
      <c r="N83" s="121"/>
      <c r="O83" s="121"/>
      <c r="P83" s="121"/>
      <c r="Q83" s="121"/>
      <c r="R83" s="121"/>
    </row>
    <row r="84" spans="2:18" x14ac:dyDescent="0.2">
      <c r="B84" s="304" t="s">
        <v>90</v>
      </c>
      <c r="C84" s="304"/>
      <c r="D84" s="304"/>
      <c r="E84" s="304"/>
      <c r="F84" s="304"/>
      <c r="G84" s="304"/>
      <c r="H84" s="304"/>
      <c r="I84" s="208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331" t="s">
        <v>110</v>
      </c>
      <c r="C85" s="332"/>
      <c r="D85" s="332"/>
      <c r="E85" s="332"/>
      <c r="F85" s="332"/>
      <c r="G85" s="332"/>
      <c r="H85" s="333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177" t="s">
        <v>17</v>
      </c>
      <c r="C86" s="287" t="s">
        <v>111</v>
      </c>
      <c r="D86" s="305"/>
      <c r="E86" s="305"/>
      <c r="F86" s="288"/>
      <c r="G86" s="177" t="s">
        <v>126</v>
      </c>
      <c r="H86" s="177" t="s">
        <v>67</v>
      </c>
      <c r="I86" s="208"/>
      <c r="J86" s="119"/>
      <c r="K86" s="119"/>
      <c r="L86" s="119"/>
      <c r="M86" s="120"/>
      <c r="N86" s="146"/>
      <c r="O86" s="121"/>
      <c r="P86" s="121"/>
      <c r="Q86" s="121"/>
      <c r="R86" s="121"/>
    </row>
    <row r="87" spans="2:18" x14ac:dyDescent="0.2">
      <c r="B87" s="247" t="s">
        <v>5</v>
      </c>
      <c r="C87" s="175" t="s">
        <v>132</v>
      </c>
      <c r="D87" s="292" t="s">
        <v>181</v>
      </c>
      <c r="E87" s="293"/>
      <c r="F87" s="294"/>
      <c r="G87" s="88">
        <v>30</v>
      </c>
      <c r="H87" s="27">
        <f>TRUNC((H$89*$G87)/12,2)</f>
        <v>466</v>
      </c>
      <c r="I87" s="195"/>
      <c r="J87" s="140"/>
      <c r="K87" s="119"/>
      <c r="L87" s="119"/>
      <c r="M87" s="120"/>
      <c r="N87" s="146"/>
      <c r="O87" s="121"/>
      <c r="P87" s="121"/>
      <c r="Q87" s="121"/>
      <c r="R87" s="121"/>
    </row>
    <row r="88" spans="2:18" ht="22.5" x14ac:dyDescent="0.2">
      <c r="B88" s="247" t="s">
        <v>6</v>
      </c>
      <c r="C88" s="165" t="s">
        <v>187</v>
      </c>
      <c r="D88" s="334" t="s">
        <v>190</v>
      </c>
      <c r="E88" s="335"/>
      <c r="F88" s="336"/>
      <c r="G88" s="114">
        <v>8</v>
      </c>
      <c r="H88" s="27">
        <f>TRUNC((H$89*$G88)/12,2)</f>
        <v>124.26</v>
      </c>
      <c r="I88" s="195"/>
      <c r="J88" s="140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47" t="s">
        <v>7</v>
      </c>
      <c r="C89" s="175" t="s">
        <v>134</v>
      </c>
      <c r="D89" s="292" t="s">
        <v>174</v>
      </c>
      <c r="E89" s="293"/>
      <c r="F89" s="293"/>
      <c r="G89" s="294"/>
      <c r="H89" s="27">
        <f>TRUNC((H$31+H$70+H$81)/30,2)</f>
        <v>186.4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47" t="s">
        <v>176</v>
      </c>
      <c r="C90" s="287" t="s">
        <v>78</v>
      </c>
      <c r="D90" s="305"/>
      <c r="E90" s="305"/>
      <c r="F90" s="305"/>
      <c r="G90" s="288"/>
      <c r="H90" s="23">
        <f>TRUNC(H$87+H$88,2)</f>
        <v>590.26</v>
      </c>
      <c r="I90" s="24"/>
      <c r="J90" s="140"/>
      <c r="K90" s="119"/>
      <c r="L90" s="119"/>
      <c r="M90" s="120"/>
      <c r="N90" s="121"/>
      <c r="O90" s="121"/>
      <c r="P90" s="121"/>
      <c r="Q90" s="121"/>
      <c r="R90" s="121"/>
    </row>
    <row r="91" spans="2:18" x14ac:dyDescent="0.2">
      <c r="B91" s="147"/>
      <c r="C91" s="148"/>
      <c r="D91" s="148"/>
      <c r="E91" s="148"/>
      <c r="F91" s="148"/>
      <c r="G91" s="148"/>
      <c r="H91" s="149"/>
      <c r="I91" s="33"/>
      <c r="J91" s="137"/>
      <c r="K91" s="119"/>
      <c r="L91" s="119"/>
      <c r="M91" s="120"/>
      <c r="N91" s="121"/>
      <c r="O91" s="121"/>
      <c r="P91" s="121"/>
      <c r="Q91" s="121"/>
      <c r="R91" s="121"/>
    </row>
    <row r="92" spans="2:18" x14ac:dyDescent="0.2">
      <c r="B92" s="342" t="s">
        <v>112</v>
      </c>
      <c r="C92" s="343"/>
      <c r="D92" s="343"/>
      <c r="E92" s="343"/>
      <c r="F92" s="343"/>
      <c r="G92" s="343"/>
      <c r="H92" s="344"/>
      <c r="I92" s="208"/>
      <c r="J92" s="137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77" t="s">
        <v>18</v>
      </c>
      <c r="C93" s="287" t="s">
        <v>113</v>
      </c>
      <c r="D93" s="305"/>
      <c r="E93" s="305"/>
      <c r="F93" s="288"/>
      <c r="G93" s="177" t="s">
        <v>126</v>
      </c>
      <c r="H93" s="177" t="s">
        <v>67</v>
      </c>
      <c r="I93" s="208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ht="22.5" x14ac:dyDescent="0.2">
      <c r="B94" s="247" t="s">
        <v>5</v>
      </c>
      <c r="C94" s="165" t="s">
        <v>114</v>
      </c>
      <c r="D94" s="292" t="s">
        <v>212</v>
      </c>
      <c r="E94" s="293"/>
      <c r="F94" s="294"/>
      <c r="G94" s="88"/>
      <c r="H94" s="27">
        <f>TRUNC(((H$31+H70+H81)/220)*(1+50%)*G94,2)</f>
        <v>0</v>
      </c>
      <c r="I94" s="195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247" t="s">
        <v>177</v>
      </c>
      <c r="C95" s="287" t="s">
        <v>78</v>
      </c>
      <c r="D95" s="305"/>
      <c r="E95" s="305"/>
      <c r="F95" s="305"/>
      <c r="G95" s="288"/>
      <c r="H95" s="23">
        <f>H94</f>
        <v>0</v>
      </c>
      <c r="I95" s="195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249"/>
      <c r="C96" s="250"/>
      <c r="D96" s="250"/>
      <c r="E96" s="250"/>
      <c r="F96" s="250"/>
      <c r="G96" s="250"/>
      <c r="H96" s="251"/>
      <c r="I96" s="217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342" t="s">
        <v>91</v>
      </c>
      <c r="C97" s="343"/>
      <c r="D97" s="343"/>
      <c r="E97" s="343"/>
      <c r="F97" s="343"/>
      <c r="G97" s="343"/>
      <c r="H97" s="344"/>
      <c r="I97" s="208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177">
        <v>4</v>
      </c>
      <c r="C98" s="287" t="s">
        <v>92</v>
      </c>
      <c r="D98" s="305"/>
      <c r="E98" s="305"/>
      <c r="F98" s="305"/>
      <c r="G98" s="288"/>
      <c r="H98" s="177" t="s">
        <v>67</v>
      </c>
      <c r="I98" s="208"/>
      <c r="J98" s="137"/>
      <c r="K98" s="119"/>
      <c r="L98" s="119"/>
      <c r="M98" s="120"/>
      <c r="N98" s="150"/>
      <c r="O98" s="121"/>
      <c r="P98" s="121"/>
      <c r="Q98" s="121"/>
      <c r="R98" s="121"/>
    </row>
    <row r="99" spans="2:18" x14ac:dyDescent="0.2">
      <c r="B99" s="247" t="s">
        <v>17</v>
      </c>
      <c r="C99" s="175" t="s">
        <v>60</v>
      </c>
      <c r="D99" s="292" t="s">
        <v>176</v>
      </c>
      <c r="E99" s="293"/>
      <c r="F99" s="293"/>
      <c r="G99" s="294"/>
      <c r="H99" s="27">
        <f>H90</f>
        <v>590.26</v>
      </c>
      <c r="I99" s="195"/>
      <c r="J99" s="137"/>
      <c r="K99" s="137"/>
      <c r="L99" s="137"/>
      <c r="M99" s="137"/>
      <c r="N99" s="121"/>
      <c r="O99" s="121"/>
      <c r="P99" s="121"/>
      <c r="Q99" s="121"/>
      <c r="R99" s="121"/>
    </row>
    <row r="100" spans="2:18" x14ac:dyDescent="0.2">
      <c r="B100" s="247" t="s">
        <v>18</v>
      </c>
      <c r="C100" s="175" t="s">
        <v>62</v>
      </c>
      <c r="D100" s="292" t="s">
        <v>177</v>
      </c>
      <c r="E100" s="293"/>
      <c r="F100" s="293"/>
      <c r="G100" s="294"/>
      <c r="H100" s="27">
        <f>H95</f>
        <v>0</v>
      </c>
      <c r="I100" s="195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247" t="s">
        <v>178</v>
      </c>
      <c r="C101" s="287" t="s">
        <v>78</v>
      </c>
      <c r="D101" s="305"/>
      <c r="E101" s="305"/>
      <c r="F101" s="305"/>
      <c r="G101" s="288"/>
      <c r="H101" s="23">
        <f>SUM(H99:H100)</f>
        <v>590.26</v>
      </c>
      <c r="I101" s="24"/>
      <c r="J101" s="137"/>
      <c r="K101" s="119"/>
      <c r="L101" s="119"/>
      <c r="M101" s="120"/>
      <c r="N101" s="121"/>
      <c r="O101" s="121"/>
      <c r="P101" s="121"/>
      <c r="Q101" s="121"/>
      <c r="R101" s="121"/>
    </row>
    <row r="102" spans="2:18" x14ac:dyDescent="0.2">
      <c r="B102" s="239"/>
      <c r="C102" s="239"/>
      <c r="D102" s="239"/>
      <c r="E102" s="239"/>
      <c r="F102" s="239"/>
      <c r="G102" s="239"/>
      <c r="H102" s="239"/>
      <c r="I102" s="208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239"/>
      <c r="C103" s="239"/>
      <c r="D103" s="239"/>
      <c r="E103" s="239"/>
      <c r="F103" s="239"/>
      <c r="G103" s="239"/>
      <c r="H103" s="239"/>
      <c r="I103" s="208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304" t="s">
        <v>93</v>
      </c>
      <c r="C104" s="304"/>
      <c r="D104" s="304"/>
      <c r="E104" s="304"/>
      <c r="F104" s="304"/>
      <c r="G104" s="304"/>
      <c r="H104" s="304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177">
        <v>5</v>
      </c>
      <c r="C105" s="339" t="s">
        <v>80</v>
      </c>
      <c r="D105" s="340"/>
      <c r="E105" s="340"/>
      <c r="F105" s="340"/>
      <c r="G105" s="341"/>
      <c r="H105" s="177" t="s">
        <v>67</v>
      </c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47" t="s">
        <v>5</v>
      </c>
      <c r="C106" s="126" t="s">
        <v>63</v>
      </c>
      <c r="D106" s="127"/>
      <c r="E106" s="127"/>
      <c r="F106" s="127"/>
      <c r="G106" s="128"/>
      <c r="H106" s="129">
        <f>Insumos!G11</f>
        <v>105.67</v>
      </c>
      <c r="I106" s="195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247" t="s">
        <v>6</v>
      </c>
      <c r="C107" s="126" t="s">
        <v>236</v>
      </c>
      <c r="D107" s="127"/>
      <c r="E107" s="127"/>
      <c r="F107" s="127"/>
      <c r="G107" s="128"/>
      <c r="H107" s="129">
        <f>Insumos!G24</f>
        <v>27.6</v>
      </c>
      <c r="I107" s="195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47" t="s">
        <v>7</v>
      </c>
      <c r="C108" s="126" t="s">
        <v>14</v>
      </c>
      <c r="D108" s="127"/>
      <c r="E108" s="127"/>
      <c r="F108" s="127"/>
      <c r="G108" s="128"/>
      <c r="H108" s="129">
        <f>Insumos!H94</f>
        <v>61.579999999999991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8</v>
      </c>
      <c r="C109" s="126" t="s">
        <v>225</v>
      </c>
      <c r="D109" s="127"/>
      <c r="E109" s="127"/>
      <c r="F109" s="127"/>
      <c r="G109" s="128"/>
      <c r="H109" s="129">
        <f>Insumos!H39</f>
        <v>3.8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179</v>
      </c>
      <c r="C110" s="161" t="s">
        <v>78</v>
      </c>
      <c r="D110" s="161"/>
      <c r="E110" s="161"/>
      <c r="F110" s="161"/>
      <c r="G110" s="162"/>
      <c r="H110" s="23">
        <f>SUM(H106:H109)</f>
        <v>198.65</v>
      </c>
      <c r="I110" s="24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9"/>
      <c r="C111" s="239"/>
      <c r="D111" s="239"/>
      <c r="E111" s="239"/>
      <c r="F111" s="239"/>
      <c r="G111" s="151"/>
      <c r="H111" s="136"/>
      <c r="I111" s="24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39"/>
      <c r="C112" s="239"/>
      <c r="D112" s="239"/>
      <c r="E112" s="239"/>
      <c r="F112" s="239"/>
      <c r="G112" s="239"/>
      <c r="H112" s="239"/>
      <c r="I112" s="208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304" t="s">
        <v>94</v>
      </c>
      <c r="C113" s="304"/>
      <c r="D113" s="304"/>
      <c r="E113" s="304"/>
      <c r="F113" s="304"/>
      <c r="G113" s="304"/>
      <c r="H113" s="304"/>
      <c r="I113" s="208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177">
        <v>6</v>
      </c>
      <c r="C114" s="287" t="s">
        <v>81</v>
      </c>
      <c r="D114" s="305"/>
      <c r="E114" s="305"/>
      <c r="F114" s="288"/>
      <c r="G114" s="177" t="s">
        <v>2</v>
      </c>
      <c r="H114" s="177" t="s">
        <v>67</v>
      </c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47" t="s">
        <v>5</v>
      </c>
      <c r="C115" s="175" t="s">
        <v>19</v>
      </c>
      <c r="D115" s="292" t="s">
        <v>191</v>
      </c>
      <c r="E115" s="293"/>
      <c r="F115" s="294"/>
      <c r="G115" s="103">
        <v>0.05</v>
      </c>
      <c r="H115" s="27">
        <f>TRUNC(H$132*$G115,2)</f>
        <v>319.05</v>
      </c>
      <c r="I115" s="195"/>
      <c r="J115" s="119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247" t="s">
        <v>6</v>
      </c>
      <c r="C116" s="175" t="s">
        <v>4</v>
      </c>
      <c r="D116" s="292" t="s">
        <v>192</v>
      </c>
      <c r="E116" s="293"/>
      <c r="F116" s="294"/>
      <c r="G116" s="103">
        <v>0.1</v>
      </c>
      <c r="H116" s="27">
        <f>TRUNC((H$132+H$115)*$G116,2)</f>
        <v>670.02</v>
      </c>
      <c r="I116" s="195"/>
      <c r="J116" s="119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47" t="s">
        <v>7</v>
      </c>
      <c r="C117" s="175" t="s">
        <v>143</v>
      </c>
      <c r="D117" s="292" t="s">
        <v>193</v>
      </c>
      <c r="E117" s="293"/>
      <c r="F117" s="294"/>
      <c r="G117" s="105">
        <f>1-(G118+G119+G120)</f>
        <v>0.85749999999999993</v>
      </c>
      <c r="H117" s="34">
        <f>TRUNC(((H$132+H$115+H$116)/$G117),2)</f>
        <v>8595.02</v>
      </c>
      <c r="I117" s="19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40</v>
      </c>
      <c r="C118" s="175" t="s">
        <v>37</v>
      </c>
      <c r="D118" s="292" t="s">
        <v>194</v>
      </c>
      <c r="E118" s="293"/>
      <c r="F118" s="294"/>
      <c r="G118" s="104">
        <v>1.6500000000000001E-2</v>
      </c>
      <c r="H118" s="27">
        <f>TRUNC(H$117*$G118,2)</f>
        <v>141.81</v>
      </c>
      <c r="I118" s="195"/>
      <c r="J118" s="137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41</v>
      </c>
      <c r="C119" s="175" t="s">
        <v>38</v>
      </c>
      <c r="D119" s="292" t="s">
        <v>194</v>
      </c>
      <c r="E119" s="293"/>
      <c r="F119" s="294"/>
      <c r="G119" s="104">
        <v>7.5999999999999998E-2</v>
      </c>
      <c r="H119" s="27">
        <f>TRUNC(H$117*$G119,2)</f>
        <v>653.22</v>
      </c>
      <c r="I119" s="195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42</v>
      </c>
      <c r="C120" s="175" t="s">
        <v>39</v>
      </c>
      <c r="D120" s="292" t="s">
        <v>194</v>
      </c>
      <c r="E120" s="293"/>
      <c r="F120" s="294"/>
      <c r="G120" s="104">
        <v>0.05</v>
      </c>
      <c r="H120" s="27">
        <f>TRUNC(H$117*$G120,2)</f>
        <v>429.75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180</v>
      </c>
      <c r="C121" s="242" t="s">
        <v>78</v>
      </c>
      <c r="D121" s="345" t="s">
        <v>182</v>
      </c>
      <c r="E121" s="345"/>
      <c r="F121" s="345"/>
      <c r="G121" s="346"/>
      <c r="H121" s="23">
        <f>SUM(H115:H120)-H117</f>
        <v>2213.8499999999985</v>
      </c>
      <c r="I121" s="24"/>
      <c r="J121" s="140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124"/>
      <c r="C122" s="124"/>
      <c r="D122" s="124"/>
      <c r="E122" s="124"/>
      <c r="F122" s="124"/>
      <c r="G122" s="124"/>
      <c r="H122" s="152"/>
      <c r="I122" s="35"/>
      <c r="J122" s="119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303" t="s">
        <v>319</v>
      </c>
      <c r="C123" s="303"/>
      <c r="D123" s="303"/>
      <c r="E123" s="303"/>
      <c r="F123" s="303"/>
      <c r="G123" s="303"/>
      <c r="H123" s="303"/>
      <c r="I123" s="209"/>
      <c r="J123" s="119"/>
      <c r="K123" s="153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41"/>
      <c r="C124" s="241"/>
      <c r="D124" s="241"/>
      <c r="E124" s="241"/>
      <c r="F124" s="241"/>
      <c r="G124" s="241"/>
      <c r="H124" s="241"/>
      <c r="I124" s="209"/>
      <c r="J124" s="119"/>
      <c r="K124" s="153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04" t="s">
        <v>116</v>
      </c>
      <c r="C125" s="304"/>
      <c r="D125" s="304"/>
      <c r="E125" s="304"/>
      <c r="F125" s="304"/>
      <c r="G125" s="304"/>
      <c r="H125" s="304"/>
      <c r="I125" s="208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ht="12.75" customHeight="1" x14ac:dyDescent="0.2">
      <c r="B126" s="36"/>
      <c r="C126" s="347" t="s">
        <v>144</v>
      </c>
      <c r="D126" s="348"/>
      <c r="E126" s="348"/>
      <c r="F126" s="348"/>
      <c r="G126" s="349"/>
      <c r="H126" s="177" t="s">
        <v>67</v>
      </c>
      <c r="I126" s="208"/>
      <c r="J126" s="119"/>
      <c r="K126" s="119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47" t="s">
        <v>5</v>
      </c>
      <c r="C127" s="165" t="s">
        <v>97</v>
      </c>
      <c r="D127" s="292" t="s">
        <v>157</v>
      </c>
      <c r="E127" s="293"/>
      <c r="F127" s="293"/>
      <c r="G127" s="294"/>
      <c r="H127" s="27">
        <f>H31</f>
        <v>2836.33</v>
      </c>
      <c r="I127" s="195"/>
      <c r="J127" s="119"/>
      <c r="K127" s="119"/>
      <c r="L127" s="119"/>
      <c r="M127" s="120"/>
      <c r="N127" s="121"/>
      <c r="O127" s="121"/>
      <c r="P127" s="121"/>
      <c r="Q127" s="121"/>
      <c r="R127" s="121"/>
    </row>
    <row r="128" spans="2:18" ht="22.5" x14ac:dyDescent="0.2">
      <c r="B128" s="247" t="s">
        <v>6</v>
      </c>
      <c r="C128" s="165" t="s">
        <v>98</v>
      </c>
      <c r="D128" s="292" t="s">
        <v>171</v>
      </c>
      <c r="E128" s="293"/>
      <c r="F128" s="293"/>
      <c r="G128" s="294"/>
      <c r="H128" s="27">
        <f>H70</f>
        <v>2473.1902</v>
      </c>
      <c r="I128" s="195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247" t="s">
        <v>7</v>
      </c>
      <c r="C129" s="165" t="s">
        <v>99</v>
      </c>
      <c r="D129" s="292" t="s">
        <v>175</v>
      </c>
      <c r="E129" s="293"/>
      <c r="F129" s="293"/>
      <c r="G129" s="294"/>
      <c r="H129" s="27">
        <f>H81</f>
        <v>282.73</v>
      </c>
      <c r="I129" s="195"/>
      <c r="J129" s="119"/>
      <c r="K129" s="153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247" t="s">
        <v>8</v>
      </c>
      <c r="C130" s="165" t="s">
        <v>61</v>
      </c>
      <c r="D130" s="292" t="s">
        <v>178</v>
      </c>
      <c r="E130" s="293"/>
      <c r="F130" s="293"/>
      <c r="G130" s="294"/>
      <c r="H130" s="27">
        <f>H101</f>
        <v>590.26</v>
      </c>
      <c r="I130" s="195"/>
      <c r="J130" s="119"/>
      <c r="K130" s="153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47" t="s">
        <v>9</v>
      </c>
      <c r="C131" s="165" t="s">
        <v>100</v>
      </c>
      <c r="D131" s="292" t="s">
        <v>179</v>
      </c>
      <c r="E131" s="293"/>
      <c r="F131" s="293"/>
      <c r="G131" s="294"/>
      <c r="H131" s="27">
        <f>H110</f>
        <v>198.65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6" t="s">
        <v>10</v>
      </c>
      <c r="C132" s="164" t="s">
        <v>64</v>
      </c>
      <c r="D132" s="357" t="s">
        <v>198</v>
      </c>
      <c r="E132" s="358"/>
      <c r="F132" s="358"/>
      <c r="G132" s="359"/>
      <c r="H132" s="31">
        <f>SUM(H127:H131)</f>
        <v>6381.1602000000003</v>
      </c>
      <c r="I132" s="24"/>
      <c r="J132" s="119"/>
      <c r="K132" s="154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47" t="s">
        <v>11</v>
      </c>
      <c r="C133" s="175" t="s">
        <v>101</v>
      </c>
      <c r="D133" s="292" t="s">
        <v>180</v>
      </c>
      <c r="E133" s="293"/>
      <c r="F133" s="293"/>
      <c r="G133" s="294"/>
      <c r="H133" s="27">
        <f>H121</f>
        <v>2213.8499999999985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7" t="s">
        <v>183</v>
      </c>
      <c r="C134" s="238" t="s">
        <v>96</v>
      </c>
      <c r="D134" s="350" t="s">
        <v>197</v>
      </c>
      <c r="E134" s="345"/>
      <c r="F134" s="345"/>
      <c r="G134" s="346"/>
      <c r="H134" s="37">
        <f>SUM(H132:H133)</f>
        <v>8595.0101999999988</v>
      </c>
      <c r="I134" s="213"/>
      <c r="J134" s="119"/>
      <c r="K134" s="155"/>
      <c r="L134" s="119"/>
      <c r="M134" s="120"/>
      <c r="N134" s="121"/>
      <c r="O134" s="121"/>
      <c r="P134" s="121"/>
      <c r="Q134" s="121"/>
      <c r="R134" s="121"/>
    </row>
    <row r="135" spans="2:18" ht="12.75" hidden="1" customHeight="1" x14ac:dyDescent="0.2">
      <c r="B135" s="14"/>
      <c r="C135" s="14"/>
      <c r="D135" s="14"/>
      <c r="E135" s="14"/>
      <c r="F135" s="14"/>
      <c r="G135" s="14"/>
      <c r="H135" s="38"/>
      <c r="I135" s="214"/>
      <c r="J135" s="156"/>
      <c r="K135" s="156"/>
      <c r="L135" s="156"/>
      <c r="M135" s="121"/>
      <c r="N135" s="121"/>
      <c r="O135" s="121"/>
      <c r="P135" s="121"/>
      <c r="Q135" s="121"/>
      <c r="R135" s="121"/>
    </row>
    <row r="136" spans="2:18" ht="40.5" hidden="1" customHeight="1" x14ac:dyDescent="0.2">
      <c r="B136" s="39"/>
      <c r="C136" s="39" t="s">
        <v>20</v>
      </c>
      <c r="D136" s="39"/>
      <c r="E136" s="39"/>
      <c r="F136" s="39"/>
      <c r="G136" s="40"/>
      <c r="H136" s="40"/>
      <c r="I136" s="215"/>
      <c r="J136" s="156"/>
      <c r="K136" s="156"/>
      <c r="L136" s="156"/>
      <c r="M136" s="121"/>
      <c r="N136" s="121"/>
      <c r="O136" s="121"/>
      <c r="P136" s="121"/>
      <c r="Q136" s="121"/>
      <c r="R136" s="121"/>
    </row>
    <row r="137" spans="2:18" ht="39" hidden="1" customHeight="1" x14ac:dyDescent="0.2">
      <c r="B137" s="351" t="s">
        <v>22</v>
      </c>
      <c r="C137" s="352"/>
      <c r="D137" s="252"/>
      <c r="E137" s="252"/>
      <c r="F137" s="252"/>
      <c r="G137" s="41" t="s">
        <v>21</v>
      </c>
      <c r="H137" s="42" t="s">
        <v>0</v>
      </c>
      <c r="I137" s="215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12.75" hidden="1" customHeight="1" x14ac:dyDescent="0.2">
      <c r="B138" s="353" t="s">
        <v>23</v>
      </c>
      <c r="C138" s="354"/>
      <c r="D138" s="43"/>
      <c r="E138" s="43"/>
      <c r="F138" s="43"/>
      <c r="G138" s="44"/>
      <c r="H138" s="45">
        <v>0</v>
      </c>
      <c r="I138" s="199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12.75" hidden="1" customHeight="1" x14ac:dyDescent="0.2">
      <c r="B139" s="355" t="s">
        <v>24</v>
      </c>
      <c r="C139" s="356"/>
      <c r="D139" s="46"/>
      <c r="E139" s="46"/>
      <c r="F139" s="46"/>
      <c r="G139" s="47"/>
      <c r="H139" s="48">
        <v>0</v>
      </c>
      <c r="I139" s="199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55" t="s">
        <v>25</v>
      </c>
      <c r="C140" s="356"/>
      <c r="D140" s="46"/>
      <c r="E140" s="46"/>
      <c r="F140" s="46"/>
      <c r="G140" s="47"/>
      <c r="H140" s="48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55" t="s">
        <v>26</v>
      </c>
      <c r="C141" s="356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71"/>
      <c r="C142" s="372"/>
      <c r="D142" s="49"/>
      <c r="E142" s="49"/>
      <c r="F142" s="49"/>
      <c r="G142" s="50"/>
      <c r="H142" s="48"/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3.5" hidden="1" customHeight="1" x14ac:dyDescent="0.2">
      <c r="B143" s="373"/>
      <c r="C143" s="374"/>
      <c r="D143" s="51"/>
      <c r="E143" s="51"/>
      <c r="F143" s="51"/>
      <c r="G143" s="52"/>
      <c r="H143" s="53"/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3.5" hidden="1" customHeight="1" x14ac:dyDescent="0.2">
      <c r="B144" s="54" t="s">
        <v>27</v>
      </c>
      <c r="C144" s="55"/>
      <c r="D144" s="55"/>
      <c r="E144" s="55"/>
      <c r="F144" s="55"/>
      <c r="G144" s="56"/>
      <c r="H144" s="57">
        <f>SUM(H142:H143)</f>
        <v>0</v>
      </c>
      <c r="I144" s="200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14"/>
      <c r="C145" s="14"/>
      <c r="D145" s="14"/>
      <c r="E145" s="14"/>
      <c r="F145" s="14"/>
      <c r="G145" s="14"/>
      <c r="H145" s="14"/>
      <c r="I145" s="18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9" t="s">
        <v>28</v>
      </c>
      <c r="C146" s="39" t="s">
        <v>29</v>
      </c>
      <c r="D146" s="39"/>
      <c r="E146" s="39"/>
      <c r="F146" s="39"/>
      <c r="G146" s="40"/>
      <c r="H146" s="40"/>
      <c r="I146" s="215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8" t="s">
        <v>30</v>
      </c>
      <c r="C147" s="59"/>
      <c r="D147" s="59"/>
      <c r="E147" s="59"/>
      <c r="F147" s="59"/>
      <c r="G147" s="59"/>
      <c r="H147" s="60"/>
      <c r="I147" s="215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61"/>
      <c r="C148" s="62" t="s">
        <v>31</v>
      </c>
      <c r="D148" s="63"/>
      <c r="E148" s="63"/>
      <c r="F148" s="63"/>
      <c r="G148" s="64"/>
      <c r="H148" s="42" t="s">
        <v>0</v>
      </c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2.75" hidden="1" customHeight="1" x14ac:dyDescent="0.2">
      <c r="B149" s="65" t="s">
        <v>5</v>
      </c>
      <c r="C149" s="66" t="s">
        <v>32</v>
      </c>
      <c r="D149" s="67"/>
      <c r="E149" s="67"/>
      <c r="F149" s="67"/>
      <c r="G149" s="68"/>
      <c r="H149" s="69">
        <f>H118</f>
        <v>141.81</v>
      </c>
      <c r="I149" s="199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70" t="s">
        <v>6</v>
      </c>
      <c r="C150" s="71" t="s">
        <v>33</v>
      </c>
      <c r="D150" s="72"/>
      <c r="E150" s="72"/>
      <c r="F150" s="72"/>
      <c r="G150" s="73"/>
      <c r="H150" s="74" t="e">
        <f>#REF!</f>
        <v>#REF!</v>
      </c>
      <c r="I150" s="199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3.5" hidden="1" customHeight="1" x14ac:dyDescent="0.2">
      <c r="B151" s="70" t="s">
        <v>7</v>
      </c>
      <c r="C151" s="75" t="s">
        <v>34</v>
      </c>
      <c r="D151" s="76"/>
      <c r="E151" s="76"/>
      <c r="F151" s="76"/>
      <c r="G151" s="77"/>
      <c r="H151" s="74">
        <f>H121</f>
        <v>2213.8499999999985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8" t="s">
        <v>16</v>
      </c>
      <c r="C152" s="79"/>
      <c r="D152" s="79"/>
      <c r="E152" s="79"/>
      <c r="F152" s="79"/>
      <c r="G152" s="80"/>
      <c r="H152" s="57" t="e">
        <f>SUM(H149:H151)</f>
        <v>#REF!</v>
      </c>
      <c r="I152" s="200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2.75" hidden="1" customHeight="1" x14ac:dyDescent="0.2">
      <c r="B153" s="81" t="s">
        <v>15</v>
      </c>
      <c r="C153" s="14" t="s">
        <v>35</v>
      </c>
      <c r="D153" s="14"/>
      <c r="E153" s="14"/>
      <c r="F153" s="14"/>
      <c r="G153" s="14"/>
      <c r="H153" s="14"/>
      <c r="I153" s="18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2.75" hidden="1" customHeight="1" x14ac:dyDescent="0.2">
      <c r="B154" s="14"/>
      <c r="C154" s="14"/>
      <c r="D154" s="14"/>
      <c r="E154" s="14"/>
      <c r="F154" s="14"/>
      <c r="G154" s="14"/>
      <c r="H154" s="14"/>
      <c r="I154" s="18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x14ac:dyDescent="0.2"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x14ac:dyDescent="0.2">
      <c r="B156" s="375" t="s">
        <v>320</v>
      </c>
      <c r="C156" s="375"/>
      <c r="D156" s="375"/>
      <c r="E156" s="375"/>
      <c r="F156" s="375"/>
      <c r="I156" s="18"/>
      <c r="J156" s="188"/>
      <c r="K156" s="157"/>
      <c r="L156" s="156"/>
      <c r="M156" s="121"/>
      <c r="N156" s="121"/>
      <c r="O156" s="121"/>
      <c r="P156" s="121"/>
      <c r="Q156" s="121"/>
      <c r="R156" s="121"/>
    </row>
    <row r="157" spans="2:18" x14ac:dyDescent="0.2">
      <c r="B157" s="158"/>
      <c r="C157" s="158"/>
      <c r="D157" s="158"/>
      <c r="E157" s="142"/>
      <c r="F157" s="142"/>
      <c r="I157" s="18"/>
    </row>
    <row r="158" spans="2:18" x14ac:dyDescent="0.2">
      <c r="B158" s="299" t="s">
        <v>202</v>
      </c>
      <c r="C158" s="299"/>
      <c r="D158" s="299"/>
      <c r="E158" s="299"/>
      <c r="F158" s="299"/>
      <c r="G158" s="299"/>
      <c r="H158" s="299"/>
      <c r="I158" s="210"/>
      <c r="J158" s="188"/>
    </row>
    <row r="159" spans="2:18" x14ac:dyDescent="0.2">
      <c r="B159" s="247" t="s">
        <v>5</v>
      </c>
      <c r="C159" s="167" t="s">
        <v>127</v>
      </c>
      <c r="D159" s="364" t="s">
        <v>183</v>
      </c>
      <c r="E159" s="365"/>
      <c r="F159" s="365"/>
      <c r="G159" s="366"/>
      <c r="H159" s="12">
        <f>H134</f>
        <v>8595.0101999999988</v>
      </c>
      <c r="I159" s="207"/>
    </row>
    <row r="160" spans="2:18" ht="22.5" x14ac:dyDescent="0.2">
      <c r="B160" s="247" t="s">
        <v>6</v>
      </c>
      <c r="C160" s="166" t="s">
        <v>185</v>
      </c>
      <c r="D160" s="364" t="s">
        <v>186</v>
      </c>
      <c r="E160" s="365"/>
      <c r="F160" s="365"/>
      <c r="G160" s="366"/>
      <c r="H160" s="12">
        <f>H40+H81+H99</f>
        <v>1424.49</v>
      </c>
      <c r="I160" s="201"/>
    </row>
    <row r="161" spans="2:14" ht="22.5" x14ac:dyDescent="0.2">
      <c r="B161" s="247" t="s">
        <v>7</v>
      </c>
      <c r="C161" s="205" t="s">
        <v>203</v>
      </c>
      <c r="D161" s="376" t="s">
        <v>211</v>
      </c>
      <c r="E161" s="377"/>
      <c r="F161" s="377"/>
      <c r="G161" s="378"/>
      <c r="H161" s="206">
        <f>TRUNC((H$40*$G53),2)</f>
        <v>202.95</v>
      </c>
      <c r="I161" s="207"/>
      <c r="J161" s="187"/>
    </row>
    <row r="162" spans="2:14" ht="12.75" customHeight="1" x14ac:dyDescent="0.2">
      <c r="B162" s="247" t="s">
        <v>8</v>
      </c>
      <c r="C162" s="166" t="s">
        <v>19</v>
      </c>
      <c r="D162" s="361" t="s">
        <v>195</v>
      </c>
      <c r="E162" s="362"/>
      <c r="F162" s="363"/>
      <c r="G162" s="13">
        <f>G115</f>
        <v>0.05</v>
      </c>
      <c r="H162" s="12">
        <f>TRUNC((H$160+H$161)*$G162,2)</f>
        <v>81.37</v>
      </c>
      <c r="I162" s="201"/>
      <c r="J162" s="360"/>
      <c r="K162" s="360"/>
      <c r="L162" s="360"/>
      <c r="M162" s="360"/>
      <c r="N162" s="360"/>
    </row>
    <row r="163" spans="2:14" ht="12.75" customHeight="1" x14ac:dyDescent="0.2">
      <c r="B163" s="247" t="s">
        <v>9</v>
      </c>
      <c r="C163" s="166" t="s">
        <v>4</v>
      </c>
      <c r="D163" s="361" t="s">
        <v>196</v>
      </c>
      <c r="E163" s="362"/>
      <c r="F163" s="363"/>
      <c r="G163" s="13">
        <f>G116</f>
        <v>0.1</v>
      </c>
      <c r="H163" s="12">
        <f>TRUNC((H$160+H$161+H$162)*$G163,2)</f>
        <v>170.88</v>
      </c>
      <c r="I163" s="201"/>
      <c r="J163" s="360"/>
      <c r="K163" s="360"/>
      <c r="L163" s="360"/>
      <c r="M163" s="360"/>
      <c r="N163" s="360"/>
    </row>
    <row r="164" spans="2:14" ht="12.75" customHeight="1" x14ac:dyDescent="0.2">
      <c r="B164" s="247" t="s">
        <v>10</v>
      </c>
      <c r="C164" s="166" t="s">
        <v>128</v>
      </c>
      <c r="D164" s="361" t="s">
        <v>205</v>
      </c>
      <c r="E164" s="362"/>
      <c r="F164" s="363"/>
      <c r="G164" s="13">
        <f>G118+G119+G120</f>
        <v>0.14250000000000002</v>
      </c>
      <c r="H164" s="12">
        <f>TRUNC((H$160+H$161+H$162+H$163)/(1-$G164)-(H$160+H$161+H$162+H$163),2)</f>
        <v>312.36</v>
      </c>
      <c r="I164" s="201"/>
      <c r="J164" s="360"/>
      <c r="K164" s="360"/>
      <c r="L164" s="360"/>
      <c r="M164" s="360"/>
      <c r="N164" s="360"/>
    </row>
    <row r="165" spans="2:14" ht="22.5" x14ac:dyDescent="0.2">
      <c r="B165" s="247" t="s">
        <v>11</v>
      </c>
      <c r="C165" s="274" t="s">
        <v>129</v>
      </c>
      <c r="D165" s="364" t="s">
        <v>206</v>
      </c>
      <c r="E165" s="365"/>
      <c r="F165" s="365"/>
      <c r="G165" s="366"/>
      <c r="H165" s="275">
        <f>SUM(H160:H164)</f>
        <v>2192.0500000000002</v>
      </c>
      <c r="I165" s="202"/>
    </row>
    <row r="166" spans="2:14" x14ac:dyDescent="0.2">
      <c r="B166" s="273" t="s">
        <v>184</v>
      </c>
      <c r="C166" s="276" t="s">
        <v>154</v>
      </c>
      <c r="D166" s="367" t="s">
        <v>204</v>
      </c>
      <c r="E166" s="368"/>
      <c r="F166" s="368"/>
      <c r="G166" s="369"/>
      <c r="H166" s="277">
        <f>H159-H165</f>
        <v>6402.9601999999986</v>
      </c>
      <c r="I166" s="216"/>
    </row>
    <row r="167" spans="2:14" ht="45" customHeight="1" x14ac:dyDescent="0.2">
      <c r="B167" s="370" t="s">
        <v>153</v>
      </c>
      <c r="C167" s="370"/>
      <c r="D167" s="370"/>
      <c r="E167" s="370"/>
      <c r="F167" s="370"/>
      <c r="G167" s="370"/>
      <c r="H167" s="370"/>
      <c r="I167" s="203"/>
    </row>
  </sheetData>
  <mergeCells count="139"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D26:F26"/>
    <mergeCell ref="D27:F27"/>
    <mergeCell ref="D28:F28"/>
    <mergeCell ref="D29:F29"/>
    <mergeCell ref="D30:F30"/>
    <mergeCell ref="B19:B20"/>
    <mergeCell ref="C19:H19"/>
    <mergeCell ref="C20:H20"/>
    <mergeCell ref="B22:H22"/>
    <mergeCell ref="B24:H24"/>
    <mergeCell ref="C25:F25"/>
    <mergeCell ref="D38:F38"/>
    <mergeCell ref="D39:F39"/>
    <mergeCell ref="C40:F40"/>
    <mergeCell ref="B41:H41"/>
    <mergeCell ref="B42:H42"/>
    <mergeCell ref="C43:F43"/>
    <mergeCell ref="C31:F31"/>
    <mergeCell ref="B34:H34"/>
    <mergeCell ref="B35:H35"/>
    <mergeCell ref="B36:H36"/>
    <mergeCell ref="C37:F37"/>
    <mergeCell ref="H46:H47"/>
    <mergeCell ref="J46:J47"/>
    <mergeCell ref="D48:F48"/>
    <mergeCell ref="D49:F49"/>
    <mergeCell ref="D50:F50"/>
    <mergeCell ref="D51:F51"/>
    <mergeCell ref="D44:F44"/>
    <mergeCell ref="D45:F45"/>
    <mergeCell ref="B46:B47"/>
    <mergeCell ref="C46:C47"/>
    <mergeCell ref="D46:D47"/>
    <mergeCell ref="G46:G47"/>
    <mergeCell ref="J57:N57"/>
    <mergeCell ref="D58:G58"/>
    <mergeCell ref="D59:G59"/>
    <mergeCell ref="D62:G62"/>
    <mergeCell ref="C63:G63"/>
    <mergeCell ref="B64:H64"/>
    <mergeCell ref="D52:F52"/>
    <mergeCell ref="C53:F53"/>
    <mergeCell ref="B54:H54"/>
    <mergeCell ref="B55:H55"/>
    <mergeCell ref="C56:G56"/>
    <mergeCell ref="D57:G57"/>
    <mergeCell ref="B71:H71"/>
    <mergeCell ref="B73:H73"/>
    <mergeCell ref="C74:F74"/>
    <mergeCell ref="D75:F75"/>
    <mergeCell ref="D76:F76"/>
    <mergeCell ref="D77:E77"/>
    <mergeCell ref="B65:H65"/>
    <mergeCell ref="C66:G66"/>
    <mergeCell ref="D67:G67"/>
    <mergeCell ref="D68:G68"/>
    <mergeCell ref="D69:G69"/>
    <mergeCell ref="C70:G70"/>
    <mergeCell ref="C86:F86"/>
    <mergeCell ref="D87:F87"/>
    <mergeCell ref="D88:F88"/>
    <mergeCell ref="D89:G89"/>
    <mergeCell ref="C90:G90"/>
    <mergeCell ref="B92:H92"/>
    <mergeCell ref="D78:F78"/>
    <mergeCell ref="D79:E79"/>
    <mergeCell ref="D80:E80"/>
    <mergeCell ref="C81:G81"/>
    <mergeCell ref="B84:H84"/>
    <mergeCell ref="B85:H85"/>
    <mergeCell ref="D100:G100"/>
    <mergeCell ref="C101:G101"/>
    <mergeCell ref="B104:H104"/>
    <mergeCell ref="C105:G105"/>
    <mergeCell ref="B113:H113"/>
    <mergeCell ref="C114:F114"/>
    <mergeCell ref="C93:F93"/>
    <mergeCell ref="D94:F94"/>
    <mergeCell ref="C95:G95"/>
    <mergeCell ref="B97:H97"/>
    <mergeCell ref="C98:G98"/>
    <mergeCell ref="D99:G99"/>
    <mergeCell ref="D121:G121"/>
    <mergeCell ref="B123:H123"/>
    <mergeCell ref="B125:H125"/>
    <mergeCell ref="C126:G126"/>
    <mergeCell ref="D127:G127"/>
    <mergeCell ref="D128:G128"/>
    <mergeCell ref="D115:F115"/>
    <mergeCell ref="D116:F116"/>
    <mergeCell ref="D117:F117"/>
    <mergeCell ref="D118:F118"/>
    <mergeCell ref="D119:F119"/>
    <mergeCell ref="D120:F120"/>
    <mergeCell ref="B137:C137"/>
    <mergeCell ref="B138:C138"/>
    <mergeCell ref="B139:C139"/>
    <mergeCell ref="B140:C140"/>
    <mergeCell ref="B141:C141"/>
    <mergeCell ref="B142:C142"/>
    <mergeCell ref="D129:G129"/>
    <mergeCell ref="D130:G130"/>
    <mergeCell ref="D131:G131"/>
    <mergeCell ref="D132:G132"/>
    <mergeCell ref="D133:G133"/>
    <mergeCell ref="D134:G134"/>
    <mergeCell ref="B167:H167"/>
    <mergeCell ref="D162:F162"/>
    <mergeCell ref="J162:N164"/>
    <mergeCell ref="D163:F163"/>
    <mergeCell ref="D164:F164"/>
    <mergeCell ref="D165:G165"/>
    <mergeCell ref="D166:G166"/>
    <mergeCell ref="B143:C143"/>
    <mergeCell ref="B156:F156"/>
    <mergeCell ref="B158:H158"/>
    <mergeCell ref="D159:G159"/>
    <mergeCell ref="D160:G160"/>
    <mergeCell ref="D161:G161"/>
  </mergeCells>
  <dataValidations count="8">
    <dataValidation type="list" allowBlank="1" showInputMessage="1" showErrorMessage="1" sqref="G80">
      <formula1>"3,6,9,12,15"</formula1>
    </dataValidation>
    <dataValidation type="custom" allowBlank="1" showInputMessage="1" showErrorMessage="1" sqref="G117">
      <formula1>1-(G118+G119+G120)</formula1>
    </dataValidation>
    <dataValidation type="list" operator="equal" allowBlank="1" showInputMessage="1" showErrorMessage="1" errorTitle="Valor errado" error="Percentual fixo. Preencher com 40%." sqref="F77 F79">
      <formula1>"40%"</formula1>
    </dataValidation>
    <dataValidation type="whole" allowBlank="1" showInputMessage="1" showErrorMessage="1" errorTitle="Valor errado" error="Quantidade fixa de dias. Prencher com 30" sqref="G87">
      <formula1>30</formula1>
      <formula2>30</formula2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47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4"/>
  <sheetViews>
    <sheetView showGridLines="0" topLeftCell="A55" zoomScaleNormal="100" workbookViewId="0">
      <selection activeCell="J9" sqref="J9"/>
    </sheetView>
  </sheetViews>
  <sheetFormatPr defaultRowHeight="11.25" x14ac:dyDescent="0.2"/>
  <cols>
    <col min="1" max="1" width="3.7109375" style="93" customWidth="1"/>
    <col min="2" max="2" width="25.7109375" style="93" customWidth="1"/>
    <col min="3" max="3" width="14.140625" style="93" customWidth="1"/>
    <col min="4" max="4" width="15.42578125" style="93" customWidth="1"/>
    <col min="5" max="5" width="14" style="93" customWidth="1"/>
    <col min="6" max="6" width="11.42578125" style="93" customWidth="1"/>
    <col min="7" max="7" width="12.42578125" style="93" customWidth="1"/>
    <col min="8" max="10" width="15.7109375" style="93" customWidth="1"/>
    <col min="11" max="16384" width="9.140625" style="93"/>
  </cols>
  <sheetData>
    <row r="1" spans="1:12" ht="12" thickBot="1" x14ac:dyDescent="0.25"/>
    <row r="2" spans="1:12" ht="18.75" customHeight="1" thickBot="1" x14ac:dyDescent="0.25">
      <c r="A2" s="379" t="s">
        <v>102</v>
      </c>
      <c r="B2" s="380"/>
      <c r="C2" s="380"/>
      <c r="D2" s="380"/>
      <c r="E2" s="380"/>
      <c r="F2" s="380"/>
      <c r="G2" s="381"/>
      <c r="H2" s="257"/>
      <c r="I2" s="257"/>
    </row>
    <row r="3" spans="1:12" ht="14.25" x14ac:dyDescent="0.2">
      <c r="A3" s="262"/>
      <c r="B3" s="262"/>
      <c r="C3" s="262"/>
      <c r="D3" s="262"/>
      <c r="E3" s="262"/>
      <c r="F3" s="262"/>
      <c r="G3" s="262"/>
      <c r="H3" s="262"/>
      <c r="I3" s="262"/>
    </row>
    <row r="4" spans="1:12" ht="22.5" customHeight="1" x14ac:dyDescent="0.2">
      <c r="A4" s="383" t="s">
        <v>230</v>
      </c>
      <c r="B4" s="383"/>
      <c r="C4" s="383"/>
      <c r="D4" s="383"/>
      <c r="E4" s="383"/>
      <c r="F4" s="383"/>
      <c r="G4" s="383"/>
      <c r="H4" s="259"/>
      <c r="I4" s="259"/>
    </row>
    <row r="5" spans="1:12" s="94" customFormat="1" ht="30" customHeight="1" x14ac:dyDescent="0.2">
      <c r="A5" s="382" t="s">
        <v>103</v>
      </c>
      <c r="B5" s="382"/>
      <c r="C5" s="237" t="s">
        <v>104</v>
      </c>
      <c r="D5" s="237" t="s">
        <v>139</v>
      </c>
      <c r="E5" s="237" t="s">
        <v>135</v>
      </c>
      <c r="F5" s="237" t="s">
        <v>140</v>
      </c>
      <c r="G5" s="237" t="s">
        <v>141</v>
      </c>
      <c r="H5" s="254"/>
      <c r="I5" s="254"/>
      <c r="K5" s="93"/>
      <c r="L5" s="93"/>
    </row>
    <row r="6" spans="1:12" ht="22.5" customHeight="1" x14ac:dyDescent="0.2">
      <c r="A6" s="6">
        <v>1</v>
      </c>
      <c r="B6" s="260" t="s">
        <v>231</v>
      </c>
      <c r="C6" s="101">
        <v>71.45</v>
      </c>
      <c r="D6" s="264">
        <v>2</v>
      </c>
      <c r="E6" s="264">
        <v>6</v>
      </c>
      <c r="F6" s="263">
        <f>IF(B6="","",TRUNC(C6*D6*(12/E6),2))</f>
        <v>285.8</v>
      </c>
      <c r="G6" s="263">
        <f>IF(B6="","",TRUNC(F6/12,2))</f>
        <v>23.81</v>
      </c>
      <c r="H6" s="255"/>
      <c r="I6" s="255"/>
    </row>
    <row r="7" spans="1:12" ht="22.5" customHeight="1" x14ac:dyDescent="0.2">
      <c r="A7" s="6">
        <f>A6+1</f>
        <v>2</v>
      </c>
      <c r="B7" s="260" t="s">
        <v>232</v>
      </c>
      <c r="C7" s="101">
        <v>47.32</v>
      </c>
      <c r="D7" s="264">
        <v>4</v>
      </c>
      <c r="E7" s="264">
        <v>6</v>
      </c>
      <c r="F7" s="263">
        <f t="shared" ref="F7:F10" si="0">IF(B7="","",TRUNC(C7*D7*(12/E7),2))</f>
        <v>378.56</v>
      </c>
      <c r="G7" s="263">
        <f t="shared" ref="G7:G10" si="1">IF(B7="","",TRUNC(F7/12,2))</f>
        <v>31.54</v>
      </c>
      <c r="H7" s="255"/>
      <c r="I7" s="255"/>
    </row>
    <row r="8" spans="1:12" ht="22.5" customHeight="1" x14ac:dyDescent="0.2">
      <c r="A8" s="6">
        <f t="shared" ref="A8:A10" si="2">A7+1</f>
        <v>3</v>
      </c>
      <c r="B8" s="260" t="s">
        <v>233</v>
      </c>
      <c r="C8" s="101">
        <v>79.45</v>
      </c>
      <c r="D8" s="264">
        <v>2</v>
      </c>
      <c r="E8" s="264">
        <v>6</v>
      </c>
      <c r="F8" s="263">
        <f t="shared" si="0"/>
        <v>317.8</v>
      </c>
      <c r="G8" s="263">
        <f t="shared" si="1"/>
        <v>26.48</v>
      </c>
      <c r="H8" s="255"/>
      <c r="I8" s="255"/>
    </row>
    <row r="9" spans="1:12" ht="22.5" customHeight="1" x14ac:dyDescent="0.2">
      <c r="A9" s="6">
        <f t="shared" si="2"/>
        <v>4</v>
      </c>
      <c r="B9" s="260" t="s">
        <v>234</v>
      </c>
      <c r="C9" s="101">
        <v>17.920000000000002</v>
      </c>
      <c r="D9" s="264">
        <v>4</v>
      </c>
      <c r="E9" s="264">
        <v>6</v>
      </c>
      <c r="F9" s="263">
        <f t="shared" si="0"/>
        <v>143.36000000000001</v>
      </c>
      <c r="G9" s="263">
        <f t="shared" si="1"/>
        <v>11.94</v>
      </c>
      <c r="H9" s="255"/>
      <c r="I9" s="255"/>
    </row>
    <row r="10" spans="1:12" ht="22.5" customHeight="1" x14ac:dyDescent="0.2">
      <c r="A10" s="6">
        <f t="shared" si="2"/>
        <v>5</v>
      </c>
      <c r="B10" s="260" t="s">
        <v>235</v>
      </c>
      <c r="C10" s="101">
        <v>71.45</v>
      </c>
      <c r="D10" s="264">
        <v>1</v>
      </c>
      <c r="E10" s="264">
        <v>6</v>
      </c>
      <c r="F10" s="263">
        <f t="shared" si="0"/>
        <v>142.9</v>
      </c>
      <c r="G10" s="263">
        <f t="shared" si="1"/>
        <v>11.9</v>
      </c>
      <c r="H10" s="255"/>
      <c r="I10" s="255"/>
    </row>
    <row r="11" spans="1:12" ht="22.5" customHeight="1" x14ac:dyDescent="0.2">
      <c r="A11" s="97"/>
      <c r="B11" s="98"/>
      <c r="C11" s="99"/>
      <c r="D11" s="99"/>
      <c r="E11" s="382" t="s">
        <v>136</v>
      </c>
      <c r="F11" s="382"/>
      <c r="G11" s="92">
        <f t="shared" ref="G11" si="3">SUM(G6:G10)</f>
        <v>105.67</v>
      </c>
      <c r="H11" s="256"/>
      <c r="I11" s="256"/>
    </row>
    <row r="14" spans="1:12" ht="12" thickBot="1" x14ac:dyDescent="0.25"/>
    <row r="15" spans="1:12" ht="18.75" customHeight="1" thickBot="1" x14ac:dyDescent="0.25">
      <c r="A15" s="379" t="s">
        <v>236</v>
      </c>
      <c r="B15" s="380"/>
      <c r="C15" s="380"/>
      <c r="D15" s="380"/>
      <c r="E15" s="380"/>
      <c r="F15" s="380"/>
      <c r="G15" s="381"/>
      <c r="H15" s="257"/>
      <c r="I15" s="257"/>
    </row>
    <row r="17" spans="1:10" ht="22.5" customHeight="1" x14ac:dyDescent="0.2">
      <c r="A17" s="383" t="s">
        <v>230</v>
      </c>
      <c r="B17" s="383"/>
      <c r="C17" s="383"/>
      <c r="D17" s="383"/>
      <c r="E17" s="383"/>
      <c r="F17" s="383"/>
      <c r="G17" s="383"/>
    </row>
    <row r="18" spans="1:10" s="94" customFormat="1" ht="30" customHeight="1" x14ac:dyDescent="0.2">
      <c r="A18" s="382" t="s">
        <v>103</v>
      </c>
      <c r="B18" s="382"/>
      <c r="C18" s="90" t="s">
        <v>104</v>
      </c>
      <c r="D18" s="90" t="s">
        <v>242</v>
      </c>
      <c r="E18" s="90" t="s">
        <v>146</v>
      </c>
      <c r="F18" s="91" t="s">
        <v>140</v>
      </c>
      <c r="G18" s="237" t="s">
        <v>141</v>
      </c>
    </row>
    <row r="19" spans="1:10" ht="22.5" customHeight="1" x14ac:dyDescent="0.2">
      <c r="A19" s="6">
        <v>1</v>
      </c>
      <c r="B19" s="100" t="s">
        <v>237</v>
      </c>
      <c r="C19" s="101">
        <v>20.85</v>
      </c>
      <c r="D19" s="264">
        <v>4</v>
      </c>
      <c r="E19" s="264">
        <v>1</v>
      </c>
      <c r="F19" s="263">
        <f>IF(B19="","",TRUNC((C19*D19)/E19,2))</f>
        <v>83.4</v>
      </c>
      <c r="G19" s="263">
        <f>IF(B19="","",TRUNC(F19/12,2))</f>
        <v>6.95</v>
      </c>
      <c r="H19" s="255"/>
      <c r="I19" s="255"/>
    </row>
    <row r="20" spans="1:10" ht="22.5" customHeight="1" x14ac:dyDescent="0.2">
      <c r="A20" s="6">
        <f>A19+1</f>
        <v>2</v>
      </c>
      <c r="B20" s="100" t="s">
        <v>238</v>
      </c>
      <c r="C20" s="101">
        <v>3.59</v>
      </c>
      <c r="D20" s="264">
        <v>4</v>
      </c>
      <c r="E20" s="264">
        <v>1</v>
      </c>
      <c r="F20" s="263">
        <f t="shared" ref="F20:F23" si="4">IF(B20="","",TRUNC((C20*D20)/E20,2))</f>
        <v>14.36</v>
      </c>
      <c r="G20" s="263">
        <f t="shared" ref="G20:G23" si="5">IF(B20="","",TRUNC(F20/12,2))</f>
        <v>1.19</v>
      </c>
      <c r="H20" s="255"/>
      <c r="I20" s="255"/>
    </row>
    <row r="21" spans="1:10" ht="22.5" customHeight="1" x14ac:dyDescent="0.2">
      <c r="A21" s="6">
        <f t="shared" ref="A21:A23" si="6">A20+1</f>
        <v>3</v>
      </c>
      <c r="B21" s="100" t="s">
        <v>239</v>
      </c>
      <c r="C21" s="101">
        <v>18.64</v>
      </c>
      <c r="D21" s="264">
        <v>4</v>
      </c>
      <c r="E21" s="264">
        <v>1</v>
      </c>
      <c r="F21" s="263">
        <f t="shared" si="4"/>
        <v>74.56</v>
      </c>
      <c r="G21" s="263">
        <f t="shared" si="5"/>
        <v>6.21</v>
      </c>
      <c r="H21" s="255"/>
      <c r="I21" s="255"/>
    </row>
    <row r="22" spans="1:10" ht="22.5" customHeight="1" x14ac:dyDescent="0.2">
      <c r="A22" s="6">
        <f t="shared" si="6"/>
        <v>4</v>
      </c>
      <c r="B22" s="100" t="s">
        <v>240</v>
      </c>
      <c r="C22" s="101">
        <v>26.5</v>
      </c>
      <c r="D22" s="264">
        <v>4</v>
      </c>
      <c r="E22" s="264">
        <v>1</v>
      </c>
      <c r="F22" s="263">
        <f t="shared" si="4"/>
        <v>106</v>
      </c>
      <c r="G22" s="263">
        <f t="shared" si="5"/>
        <v>8.83</v>
      </c>
      <c r="H22" s="255"/>
      <c r="I22" s="255"/>
    </row>
    <row r="23" spans="1:10" ht="22.5" customHeight="1" x14ac:dyDescent="0.2">
      <c r="A23" s="6">
        <f t="shared" si="6"/>
        <v>5</v>
      </c>
      <c r="B23" s="100" t="s">
        <v>241</v>
      </c>
      <c r="C23" s="101">
        <v>53.11</v>
      </c>
      <c r="D23" s="264">
        <v>1</v>
      </c>
      <c r="E23" s="264">
        <v>1</v>
      </c>
      <c r="F23" s="263">
        <f t="shared" si="4"/>
        <v>53.11</v>
      </c>
      <c r="G23" s="263">
        <f t="shared" si="5"/>
        <v>4.42</v>
      </c>
      <c r="H23" s="255"/>
      <c r="I23" s="255"/>
    </row>
    <row r="24" spans="1:10" ht="22.5" customHeight="1" x14ac:dyDescent="0.2">
      <c r="A24" s="97"/>
      <c r="B24" s="98"/>
      <c r="C24" s="99"/>
      <c r="E24" s="384" t="s">
        <v>136</v>
      </c>
      <c r="F24" s="385"/>
      <c r="G24" s="92">
        <f>SUM(G19:G23)</f>
        <v>27.6</v>
      </c>
      <c r="H24" s="256"/>
      <c r="I24" s="256"/>
    </row>
    <row r="27" spans="1:10" ht="12" thickBot="1" x14ac:dyDescent="0.25"/>
    <row r="28" spans="1:10" ht="18.75" customHeight="1" thickBot="1" x14ac:dyDescent="0.25">
      <c r="A28" s="379" t="s">
        <v>137</v>
      </c>
      <c r="B28" s="380"/>
      <c r="C28" s="380"/>
      <c r="D28" s="380"/>
      <c r="E28" s="380"/>
      <c r="F28" s="380"/>
      <c r="G28" s="380"/>
      <c r="H28" s="381"/>
      <c r="I28" s="257"/>
      <c r="J28" s="257"/>
    </row>
    <row r="29" spans="1:10" x14ac:dyDescent="0.2">
      <c r="I29" s="258"/>
      <c r="J29" s="258"/>
    </row>
    <row r="30" spans="1:10" ht="22.5" customHeight="1" x14ac:dyDescent="0.2">
      <c r="A30" s="386" t="s">
        <v>226</v>
      </c>
      <c r="B30" s="387"/>
      <c r="C30" s="387"/>
      <c r="D30" s="387"/>
      <c r="E30" s="387"/>
      <c r="F30" s="387"/>
      <c r="G30" s="387"/>
      <c r="H30" s="388"/>
      <c r="I30" s="259"/>
      <c r="J30" s="259"/>
    </row>
    <row r="31" spans="1:10" s="94" customFormat="1" ht="48" customHeight="1" x14ac:dyDescent="0.2">
      <c r="A31" s="384" t="s">
        <v>103</v>
      </c>
      <c r="B31" s="385"/>
      <c r="C31" s="90" t="s">
        <v>138</v>
      </c>
      <c r="D31" s="90" t="s">
        <v>314</v>
      </c>
      <c r="E31" s="90" t="s">
        <v>148</v>
      </c>
      <c r="F31" s="90" t="s">
        <v>146</v>
      </c>
      <c r="G31" s="90" t="s">
        <v>142</v>
      </c>
      <c r="H31" s="237" t="s">
        <v>141</v>
      </c>
      <c r="I31" s="254"/>
      <c r="J31" s="254"/>
    </row>
    <row r="32" spans="1:10" ht="22.5" customHeight="1" x14ac:dyDescent="0.2">
      <c r="A32" s="6">
        <v>1</v>
      </c>
      <c r="B32" s="260" t="s">
        <v>115</v>
      </c>
      <c r="C32" s="101">
        <v>1425.53</v>
      </c>
      <c r="D32" s="102">
        <v>30</v>
      </c>
      <c r="E32" s="96">
        <v>1</v>
      </c>
      <c r="F32" s="96">
        <v>1</v>
      </c>
      <c r="G32" s="95">
        <f>IF(B32="","",TRUNC(E32/F32,2))</f>
        <v>1</v>
      </c>
      <c r="H32" s="95">
        <f>IF(B32="","",TRUNC(C32/D32*G32,2))</f>
        <v>47.51</v>
      </c>
      <c r="I32" s="255"/>
      <c r="J32" s="255"/>
    </row>
    <row r="33" spans="1:10" ht="22.5" customHeight="1" x14ac:dyDescent="0.2">
      <c r="A33" s="97"/>
      <c r="B33" s="98"/>
      <c r="C33" s="99"/>
      <c r="D33" s="99"/>
      <c r="E33" s="99"/>
      <c r="F33" s="382" t="s">
        <v>136</v>
      </c>
      <c r="G33" s="382"/>
      <c r="H33" s="92">
        <f t="shared" ref="H33" si="7">SUM(H32:H32)</f>
        <v>47.51</v>
      </c>
      <c r="I33" s="256"/>
      <c r="J33" s="256"/>
    </row>
    <row r="36" spans="1:10" ht="22.5" customHeight="1" x14ac:dyDescent="0.2">
      <c r="A36" s="386" t="s">
        <v>230</v>
      </c>
      <c r="B36" s="387"/>
      <c r="C36" s="387"/>
      <c r="D36" s="387"/>
      <c r="E36" s="387"/>
      <c r="F36" s="387"/>
      <c r="G36" s="387"/>
      <c r="H36" s="388"/>
    </row>
    <row r="37" spans="1:10" ht="45" x14ac:dyDescent="0.2">
      <c r="A37" s="384" t="s">
        <v>103</v>
      </c>
      <c r="B37" s="385"/>
      <c r="C37" s="237" t="s">
        <v>138</v>
      </c>
      <c r="D37" s="237" t="s">
        <v>147</v>
      </c>
      <c r="E37" s="237" t="s">
        <v>148</v>
      </c>
      <c r="F37" s="237" t="s">
        <v>146</v>
      </c>
      <c r="G37" s="237" t="s">
        <v>142</v>
      </c>
      <c r="H37" s="237" t="s">
        <v>141</v>
      </c>
    </row>
    <row r="38" spans="1:10" ht="22.5" customHeight="1" x14ac:dyDescent="0.2">
      <c r="A38" s="6">
        <v>1</v>
      </c>
      <c r="B38" s="260" t="s">
        <v>115</v>
      </c>
      <c r="C38" s="101">
        <v>1425.53</v>
      </c>
      <c r="D38" s="102">
        <v>30</v>
      </c>
      <c r="E38" s="96">
        <v>1</v>
      </c>
      <c r="F38" s="96">
        <v>12</v>
      </c>
      <c r="G38" s="95">
        <f>IF(B38="","",TRUNC(E38/F38,2))</f>
        <v>0.08</v>
      </c>
      <c r="H38" s="95">
        <f>IF(B38="","",TRUNC(C38/D38*G38,2))</f>
        <v>3.8</v>
      </c>
    </row>
    <row r="39" spans="1:10" x14ac:dyDescent="0.2">
      <c r="A39" s="97"/>
      <c r="B39" s="98"/>
      <c r="C39" s="99"/>
      <c r="D39" s="99"/>
      <c r="E39" s="99"/>
      <c r="F39" s="382" t="s">
        <v>136</v>
      </c>
      <c r="G39" s="382"/>
      <c r="H39" s="92">
        <f t="shared" ref="H39" si="8">SUM(H38:H38)</f>
        <v>3.8</v>
      </c>
    </row>
    <row r="42" spans="1:10" ht="22.5" customHeight="1" x14ac:dyDescent="0.2">
      <c r="A42" s="386" t="s">
        <v>230</v>
      </c>
      <c r="B42" s="387"/>
      <c r="C42" s="387"/>
      <c r="D42" s="387"/>
      <c r="E42" s="387"/>
      <c r="F42" s="387"/>
      <c r="G42" s="387"/>
      <c r="H42" s="388"/>
    </row>
    <row r="43" spans="1:10" ht="45" x14ac:dyDescent="0.2">
      <c r="A43" s="384" t="s">
        <v>103</v>
      </c>
      <c r="B43" s="385"/>
      <c r="C43" s="237" t="s">
        <v>138</v>
      </c>
      <c r="D43" s="237" t="s">
        <v>147</v>
      </c>
      <c r="E43" s="237" t="s">
        <v>148</v>
      </c>
      <c r="F43" s="237" t="s">
        <v>146</v>
      </c>
      <c r="G43" s="237" t="s">
        <v>142</v>
      </c>
      <c r="H43" s="237" t="s">
        <v>141</v>
      </c>
    </row>
    <row r="44" spans="1:10" ht="22.5" customHeight="1" x14ac:dyDescent="0.2">
      <c r="A44" s="6">
        <v>1</v>
      </c>
      <c r="B44" s="260" t="s">
        <v>243</v>
      </c>
      <c r="C44" s="101">
        <v>143.43666666666667</v>
      </c>
      <c r="D44" s="102">
        <v>12</v>
      </c>
      <c r="E44" s="265" t="s">
        <v>292</v>
      </c>
      <c r="F44" s="96">
        <v>12</v>
      </c>
      <c r="G44" s="95">
        <f>IF(B44="","",TRUNC(1/F44,2))</f>
        <v>0.08</v>
      </c>
      <c r="H44" s="95">
        <f>IF(B44="","",TRUNC(C44/D44*G44,2))</f>
        <v>0.95</v>
      </c>
    </row>
    <row r="45" spans="1:10" ht="22.5" customHeight="1" x14ac:dyDescent="0.2">
      <c r="A45" s="6">
        <v>2</v>
      </c>
      <c r="B45" s="260" t="s">
        <v>244</v>
      </c>
      <c r="C45" s="101">
        <v>46.233333333333327</v>
      </c>
      <c r="D45" s="102">
        <v>12</v>
      </c>
      <c r="E45" s="265" t="s">
        <v>292</v>
      </c>
      <c r="F45" s="96">
        <v>12</v>
      </c>
      <c r="G45" s="95">
        <f t="shared" ref="G45:G93" si="9">IF(B45="","",TRUNC(1/F45,2))</f>
        <v>0.08</v>
      </c>
      <c r="H45" s="95">
        <f t="shared" ref="H45:H93" si="10">IF(B45="","",TRUNC(C45/D45*G45,2))</f>
        <v>0.3</v>
      </c>
    </row>
    <row r="46" spans="1:10" ht="22.5" customHeight="1" x14ac:dyDescent="0.2">
      <c r="A46" s="6">
        <v>3</v>
      </c>
      <c r="B46" s="260" t="s">
        <v>245</v>
      </c>
      <c r="C46" s="101">
        <v>362.26333333333332</v>
      </c>
      <c r="D46" s="102">
        <v>12</v>
      </c>
      <c r="E46" s="265" t="s">
        <v>292</v>
      </c>
      <c r="F46" s="96">
        <v>12</v>
      </c>
      <c r="G46" s="95">
        <f t="shared" si="9"/>
        <v>0.08</v>
      </c>
      <c r="H46" s="95">
        <f t="shared" si="10"/>
        <v>2.41</v>
      </c>
    </row>
    <row r="47" spans="1:10" ht="22.5" customHeight="1" x14ac:dyDescent="0.2">
      <c r="A47" s="6">
        <v>4</v>
      </c>
      <c r="B47" s="260" t="s">
        <v>246</v>
      </c>
      <c r="C47" s="101">
        <v>230.05333333333331</v>
      </c>
      <c r="D47" s="102">
        <v>12</v>
      </c>
      <c r="E47" s="265" t="s">
        <v>292</v>
      </c>
      <c r="F47" s="96">
        <v>12</v>
      </c>
      <c r="G47" s="95">
        <f t="shared" si="9"/>
        <v>0.08</v>
      </c>
      <c r="H47" s="95">
        <f t="shared" si="10"/>
        <v>1.53</v>
      </c>
    </row>
    <row r="48" spans="1:10" ht="22.5" customHeight="1" x14ac:dyDescent="0.2">
      <c r="A48" s="6">
        <v>5</v>
      </c>
      <c r="B48" s="260" t="s">
        <v>248</v>
      </c>
      <c r="C48" s="101">
        <v>23.28</v>
      </c>
      <c r="D48" s="102">
        <v>12</v>
      </c>
      <c r="E48" s="265" t="s">
        <v>293</v>
      </c>
      <c r="F48" s="96">
        <v>12</v>
      </c>
      <c r="G48" s="95">
        <f t="shared" si="9"/>
        <v>0.08</v>
      </c>
      <c r="H48" s="95">
        <f t="shared" si="10"/>
        <v>0.15</v>
      </c>
    </row>
    <row r="49" spans="1:8" ht="22.5" customHeight="1" x14ac:dyDescent="0.2">
      <c r="A49" s="6">
        <v>6</v>
      </c>
      <c r="B49" s="260" t="s">
        <v>247</v>
      </c>
      <c r="C49" s="101">
        <v>296.12333333333333</v>
      </c>
      <c r="D49" s="102">
        <v>12</v>
      </c>
      <c r="E49" s="265" t="s">
        <v>292</v>
      </c>
      <c r="F49" s="96">
        <v>12</v>
      </c>
      <c r="G49" s="95">
        <f t="shared" si="9"/>
        <v>0.08</v>
      </c>
      <c r="H49" s="95">
        <f t="shared" si="10"/>
        <v>1.97</v>
      </c>
    </row>
    <row r="50" spans="1:8" ht="22.5" customHeight="1" x14ac:dyDescent="0.2">
      <c r="A50" s="6">
        <v>7</v>
      </c>
      <c r="B50" s="260" t="s">
        <v>249</v>
      </c>
      <c r="C50" s="101">
        <v>240.18333333333331</v>
      </c>
      <c r="D50" s="102">
        <v>12</v>
      </c>
      <c r="E50" s="265" t="s">
        <v>292</v>
      </c>
      <c r="F50" s="96">
        <v>12</v>
      </c>
      <c r="G50" s="95">
        <f t="shared" si="9"/>
        <v>0.08</v>
      </c>
      <c r="H50" s="95">
        <f t="shared" si="10"/>
        <v>1.6</v>
      </c>
    </row>
    <row r="51" spans="1:8" ht="22.5" customHeight="1" x14ac:dyDescent="0.2">
      <c r="A51" s="6">
        <v>8</v>
      </c>
      <c r="B51" s="260" t="s">
        <v>250</v>
      </c>
      <c r="C51" s="101">
        <v>57.866666666666667</v>
      </c>
      <c r="D51" s="102">
        <v>12</v>
      </c>
      <c r="E51" s="265" t="s">
        <v>292</v>
      </c>
      <c r="F51" s="96">
        <v>12</v>
      </c>
      <c r="G51" s="95">
        <f t="shared" si="9"/>
        <v>0.08</v>
      </c>
      <c r="H51" s="95">
        <f t="shared" si="10"/>
        <v>0.38</v>
      </c>
    </row>
    <row r="52" spans="1:8" ht="22.5" customHeight="1" x14ac:dyDescent="0.2">
      <c r="A52" s="6">
        <v>9</v>
      </c>
      <c r="B52" s="260" t="s">
        <v>251</v>
      </c>
      <c r="C52" s="101">
        <v>132.18</v>
      </c>
      <c r="D52" s="102">
        <v>12</v>
      </c>
      <c r="E52" s="265" t="s">
        <v>294</v>
      </c>
      <c r="F52" s="96">
        <v>12</v>
      </c>
      <c r="G52" s="95">
        <f t="shared" si="9"/>
        <v>0.08</v>
      </c>
      <c r="H52" s="95">
        <f t="shared" si="10"/>
        <v>0.88</v>
      </c>
    </row>
    <row r="53" spans="1:8" ht="22.5" customHeight="1" x14ac:dyDescent="0.2">
      <c r="A53" s="6">
        <v>10</v>
      </c>
      <c r="B53" s="260" t="s">
        <v>252</v>
      </c>
      <c r="C53" s="101">
        <v>354.67</v>
      </c>
      <c r="D53" s="102">
        <v>12</v>
      </c>
      <c r="E53" s="265" t="s">
        <v>295</v>
      </c>
      <c r="F53" s="96">
        <v>12</v>
      </c>
      <c r="G53" s="95">
        <f t="shared" si="9"/>
        <v>0.08</v>
      </c>
      <c r="H53" s="95">
        <f t="shared" si="10"/>
        <v>2.36</v>
      </c>
    </row>
    <row r="54" spans="1:8" ht="22.5" customHeight="1" x14ac:dyDescent="0.2">
      <c r="A54" s="6">
        <v>11</v>
      </c>
      <c r="B54" s="260" t="s">
        <v>253</v>
      </c>
      <c r="C54" s="101">
        <v>22.040000000000003</v>
      </c>
      <c r="D54" s="102">
        <v>12</v>
      </c>
      <c r="E54" s="265" t="s">
        <v>292</v>
      </c>
      <c r="F54" s="96">
        <v>12</v>
      </c>
      <c r="G54" s="95">
        <f t="shared" si="9"/>
        <v>0.08</v>
      </c>
      <c r="H54" s="95">
        <f t="shared" si="10"/>
        <v>0.14000000000000001</v>
      </c>
    </row>
    <row r="55" spans="1:8" ht="22.5" customHeight="1" x14ac:dyDescent="0.2">
      <c r="A55" s="6">
        <v>12</v>
      </c>
      <c r="B55" s="260" t="s">
        <v>254</v>
      </c>
      <c r="C55" s="101">
        <v>483.26666666666665</v>
      </c>
      <c r="D55" s="102">
        <v>12</v>
      </c>
      <c r="E55" s="265" t="s">
        <v>292</v>
      </c>
      <c r="F55" s="96">
        <v>12</v>
      </c>
      <c r="G55" s="95">
        <f t="shared" si="9"/>
        <v>0.08</v>
      </c>
      <c r="H55" s="95">
        <f t="shared" si="10"/>
        <v>3.22</v>
      </c>
    </row>
    <row r="56" spans="1:8" ht="22.5" customHeight="1" x14ac:dyDescent="0.2">
      <c r="A56" s="6">
        <v>13</v>
      </c>
      <c r="B56" s="260" t="s">
        <v>255</v>
      </c>
      <c r="C56" s="101">
        <v>228.20000000000002</v>
      </c>
      <c r="D56" s="102">
        <v>12</v>
      </c>
      <c r="E56" s="265" t="s">
        <v>294</v>
      </c>
      <c r="F56" s="96">
        <v>12</v>
      </c>
      <c r="G56" s="95">
        <f t="shared" si="9"/>
        <v>0.08</v>
      </c>
      <c r="H56" s="95">
        <f t="shared" si="10"/>
        <v>1.52</v>
      </c>
    </row>
    <row r="57" spans="1:8" ht="22.5" customHeight="1" x14ac:dyDescent="0.2">
      <c r="A57" s="6">
        <v>14</v>
      </c>
      <c r="B57" s="260" t="s">
        <v>256</v>
      </c>
      <c r="C57" s="101">
        <v>147.21</v>
      </c>
      <c r="D57" s="102">
        <v>12</v>
      </c>
      <c r="E57" s="265" t="s">
        <v>303</v>
      </c>
      <c r="F57" s="96">
        <v>12</v>
      </c>
      <c r="G57" s="95">
        <f t="shared" si="9"/>
        <v>0.08</v>
      </c>
      <c r="H57" s="95">
        <f t="shared" si="10"/>
        <v>0.98</v>
      </c>
    </row>
    <row r="58" spans="1:8" ht="22.5" customHeight="1" x14ac:dyDescent="0.2">
      <c r="A58" s="6">
        <v>15</v>
      </c>
      <c r="B58" s="260" t="s">
        <v>257</v>
      </c>
      <c r="C58" s="101">
        <v>48.763333333333343</v>
      </c>
      <c r="D58" s="102">
        <v>12</v>
      </c>
      <c r="E58" s="265" t="s">
        <v>292</v>
      </c>
      <c r="F58" s="96">
        <v>12</v>
      </c>
      <c r="G58" s="95">
        <f t="shared" si="9"/>
        <v>0.08</v>
      </c>
      <c r="H58" s="95">
        <f t="shared" si="10"/>
        <v>0.32</v>
      </c>
    </row>
    <row r="59" spans="1:8" ht="22.5" customHeight="1" x14ac:dyDescent="0.2">
      <c r="A59" s="6">
        <v>16</v>
      </c>
      <c r="B59" s="260" t="s">
        <v>258</v>
      </c>
      <c r="C59" s="101">
        <v>242.73000000000002</v>
      </c>
      <c r="D59" s="102">
        <v>12</v>
      </c>
      <c r="E59" s="265" t="s">
        <v>292</v>
      </c>
      <c r="F59" s="96">
        <v>12</v>
      </c>
      <c r="G59" s="95">
        <f t="shared" si="9"/>
        <v>0.08</v>
      </c>
      <c r="H59" s="95">
        <f t="shared" si="10"/>
        <v>1.61</v>
      </c>
    </row>
    <row r="60" spans="1:8" ht="22.5" customHeight="1" x14ac:dyDescent="0.2">
      <c r="A60" s="6">
        <v>17</v>
      </c>
      <c r="B60" s="260" t="s">
        <v>259</v>
      </c>
      <c r="C60" s="101">
        <v>30.263333333333332</v>
      </c>
      <c r="D60" s="102">
        <v>12</v>
      </c>
      <c r="E60" s="265" t="s">
        <v>294</v>
      </c>
      <c r="F60" s="96">
        <v>12</v>
      </c>
      <c r="G60" s="95">
        <f t="shared" si="9"/>
        <v>0.08</v>
      </c>
      <c r="H60" s="95">
        <f t="shared" si="10"/>
        <v>0.2</v>
      </c>
    </row>
    <row r="61" spans="1:8" ht="22.5" customHeight="1" x14ac:dyDescent="0.2">
      <c r="A61" s="6">
        <v>18</v>
      </c>
      <c r="B61" s="260" t="s">
        <v>260</v>
      </c>
      <c r="C61" s="101">
        <v>104.31333333333333</v>
      </c>
      <c r="D61" s="102">
        <v>12</v>
      </c>
      <c r="E61" s="265" t="s">
        <v>292</v>
      </c>
      <c r="F61" s="96">
        <v>12</v>
      </c>
      <c r="G61" s="95">
        <f t="shared" si="9"/>
        <v>0.08</v>
      </c>
      <c r="H61" s="95">
        <f t="shared" si="10"/>
        <v>0.69</v>
      </c>
    </row>
    <row r="62" spans="1:8" ht="22.5" customHeight="1" x14ac:dyDescent="0.2">
      <c r="A62" s="6">
        <v>19</v>
      </c>
      <c r="B62" s="260" t="s">
        <v>261</v>
      </c>
      <c r="C62" s="101">
        <v>1092.8</v>
      </c>
      <c r="D62" s="102">
        <v>12</v>
      </c>
      <c r="E62" s="265" t="s">
        <v>294</v>
      </c>
      <c r="F62" s="96">
        <v>12</v>
      </c>
      <c r="G62" s="95">
        <f t="shared" si="9"/>
        <v>0.08</v>
      </c>
      <c r="H62" s="95">
        <f t="shared" si="10"/>
        <v>7.28</v>
      </c>
    </row>
    <row r="63" spans="1:8" ht="22.5" customHeight="1" x14ac:dyDescent="0.2">
      <c r="A63" s="6">
        <v>20</v>
      </c>
      <c r="B63" s="260" t="s">
        <v>262</v>
      </c>
      <c r="C63" s="101">
        <v>208.70666666666668</v>
      </c>
      <c r="D63" s="102">
        <v>12</v>
      </c>
      <c r="E63" s="265" t="s">
        <v>296</v>
      </c>
      <c r="F63" s="96">
        <v>12</v>
      </c>
      <c r="G63" s="95">
        <f t="shared" si="9"/>
        <v>0.08</v>
      </c>
      <c r="H63" s="95">
        <f t="shared" si="10"/>
        <v>1.39</v>
      </c>
    </row>
    <row r="64" spans="1:8" ht="22.5" customHeight="1" x14ac:dyDescent="0.2">
      <c r="A64" s="6">
        <v>21</v>
      </c>
      <c r="B64" s="260" t="s">
        <v>263</v>
      </c>
      <c r="C64" s="101">
        <v>97.816666666666663</v>
      </c>
      <c r="D64" s="102">
        <v>12</v>
      </c>
      <c r="E64" s="265" t="s">
        <v>297</v>
      </c>
      <c r="F64" s="96">
        <v>12</v>
      </c>
      <c r="G64" s="95">
        <f t="shared" si="9"/>
        <v>0.08</v>
      </c>
      <c r="H64" s="95">
        <f t="shared" si="10"/>
        <v>0.65</v>
      </c>
    </row>
    <row r="65" spans="1:8" ht="22.5" customHeight="1" x14ac:dyDescent="0.2">
      <c r="A65" s="6">
        <v>22</v>
      </c>
      <c r="B65" s="260" t="s">
        <v>264</v>
      </c>
      <c r="C65" s="101">
        <v>7.413333333333334</v>
      </c>
      <c r="D65" s="102">
        <v>12</v>
      </c>
      <c r="E65" s="265" t="s">
        <v>298</v>
      </c>
      <c r="F65" s="96">
        <v>12</v>
      </c>
      <c r="G65" s="95">
        <f t="shared" si="9"/>
        <v>0.08</v>
      </c>
      <c r="H65" s="95">
        <f t="shared" si="10"/>
        <v>0.04</v>
      </c>
    </row>
    <row r="66" spans="1:8" ht="22.5" customHeight="1" x14ac:dyDescent="0.2">
      <c r="A66" s="6">
        <v>23</v>
      </c>
      <c r="B66" s="260" t="s">
        <v>264</v>
      </c>
      <c r="C66" s="101">
        <v>57</v>
      </c>
      <c r="D66" s="102">
        <v>12</v>
      </c>
      <c r="E66" s="265" t="s">
        <v>295</v>
      </c>
      <c r="F66" s="96">
        <v>12</v>
      </c>
      <c r="G66" s="95">
        <f t="shared" si="9"/>
        <v>0.08</v>
      </c>
      <c r="H66" s="95">
        <f t="shared" si="10"/>
        <v>0.38</v>
      </c>
    </row>
    <row r="67" spans="1:8" ht="22.5" customHeight="1" x14ac:dyDescent="0.2">
      <c r="A67" s="6">
        <v>24</v>
      </c>
      <c r="B67" s="260" t="s">
        <v>265</v>
      </c>
      <c r="C67" s="101">
        <v>34.169999999999995</v>
      </c>
      <c r="D67" s="102">
        <v>12</v>
      </c>
      <c r="E67" s="265" t="s">
        <v>292</v>
      </c>
      <c r="F67" s="96">
        <v>12</v>
      </c>
      <c r="G67" s="95">
        <f t="shared" si="9"/>
        <v>0.08</v>
      </c>
      <c r="H67" s="95">
        <f t="shared" si="10"/>
        <v>0.22</v>
      </c>
    </row>
    <row r="68" spans="1:8" ht="22.5" customHeight="1" x14ac:dyDescent="0.2">
      <c r="A68" s="6">
        <v>25</v>
      </c>
      <c r="B68" s="260" t="s">
        <v>266</v>
      </c>
      <c r="C68" s="101">
        <v>62.606666666666662</v>
      </c>
      <c r="D68" s="102">
        <v>12</v>
      </c>
      <c r="E68" s="265" t="s">
        <v>297</v>
      </c>
      <c r="F68" s="96">
        <v>12</v>
      </c>
      <c r="G68" s="95">
        <f t="shared" si="9"/>
        <v>0.08</v>
      </c>
      <c r="H68" s="95">
        <f t="shared" si="10"/>
        <v>0.41</v>
      </c>
    </row>
    <row r="69" spans="1:8" ht="22.5" customHeight="1" x14ac:dyDescent="0.2">
      <c r="A69" s="6">
        <v>26</v>
      </c>
      <c r="B69" s="260" t="s">
        <v>267</v>
      </c>
      <c r="C69" s="101">
        <v>214.21333333333337</v>
      </c>
      <c r="D69" s="102">
        <v>12</v>
      </c>
      <c r="E69" s="265" t="s">
        <v>299</v>
      </c>
      <c r="F69" s="96">
        <v>12</v>
      </c>
      <c r="G69" s="95">
        <f t="shared" si="9"/>
        <v>0.08</v>
      </c>
      <c r="H69" s="95">
        <f t="shared" si="10"/>
        <v>1.42</v>
      </c>
    </row>
    <row r="70" spans="1:8" ht="22.5" customHeight="1" x14ac:dyDescent="0.2">
      <c r="A70" s="6">
        <v>27</v>
      </c>
      <c r="B70" s="260" t="s">
        <v>268</v>
      </c>
      <c r="C70" s="101">
        <v>176.94666666666669</v>
      </c>
      <c r="D70" s="102">
        <v>12</v>
      </c>
      <c r="E70" s="265" t="s">
        <v>292</v>
      </c>
      <c r="F70" s="96">
        <v>12</v>
      </c>
      <c r="G70" s="95">
        <f t="shared" si="9"/>
        <v>0.08</v>
      </c>
      <c r="H70" s="95">
        <f t="shared" si="10"/>
        <v>1.17</v>
      </c>
    </row>
    <row r="71" spans="1:8" ht="22.5" customHeight="1" x14ac:dyDescent="0.2">
      <c r="A71" s="6">
        <v>28</v>
      </c>
      <c r="B71" s="260" t="s">
        <v>269</v>
      </c>
      <c r="C71" s="101">
        <v>62.776666666666664</v>
      </c>
      <c r="D71" s="102">
        <v>12</v>
      </c>
      <c r="E71" s="265" t="s">
        <v>292</v>
      </c>
      <c r="F71" s="96">
        <v>12</v>
      </c>
      <c r="G71" s="95">
        <f t="shared" si="9"/>
        <v>0.08</v>
      </c>
      <c r="H71" s="95">
        <f t="shared" si="10"/>
        <v>0.41</v>
      </c>
    </row>
    <row r="72" spans="1:8" ht="22.5" customHeight="1" x14ac:dyDescent="0.2">
      <c r="A72" s="6">
        <v>29</v>
      </c>
      <c r="B72" s="260" t="s">
        <v>270</v>
      </c>
      <c r="C72" s="101">
        <v>248.56666666666669</v>
      </c>
      <c r="D72" s="102">
        <v>12</v>
      </c>
      <c r="E72" s="265" t="s">
        <v>297</v>
      </c>
      <c r="F72" s="96">
        <v>12</v>
      </c>
      <c r="G72" s="95">
        <f t="shared" si="9"/>
        <v>0.08</v>
      </c>
      <c r="H72" s="95">
        <f t="shared" si="10"/>
        <v>1.65</v>
      </c>
    </row>
    <row r="73" spans="1:8" ht="22.5" customHeight="1" x14ac:dyDescent="0.2">
      <c r="A73" s="6">
        <v>30</v>
      </c>
      <c r="B73" s="260" t="s">
        <v>271</v>
      </c>
      <c r="C73" s="101">
        <v>25.983333333333331</v>
      </c>
      <c r="D73" s="102">
        <v>12</v>
      </c>
      <c r="E73" s="265" t="s">
        <v>292</v>
      </c>
      <c r="F73" s="96">
        <v>12</v>
      </c>
      <c r="G73" s="95">
        <f t="shared" si="9"/>
        <v>0.08</v>
      </c>
      <c r="H73" s="95">
        <f t="shared" si="10"/>
        <v>0.17</v>
      </c>
    </row>
    <row r="74" spans="1:8" ht="22.5" customHeight="1" x14ac:dyDescent="0.2">
      <c r="A74" s="6">
        <v>31</v>
      </c>
      <c r="B74" s="260" t="s">
        <v>272</v>
      </c>
      <c r="C74" s="101">
        <v>67.7</v>
      </c>
      <c r="D74" s="102">
        <v>12</v>
      </c>
      <c r="E74" s="265" t="s">
        <v>292</v>
      </c>
      <c r="F74" s="96">
        <v>12</v>
      </c>
      <c r="G74" s="95">
        <f t="shared" si="9"/>
        <v>0.08</v>
      </c>
      <c r="H74" s="95">
        <f t="shared" si="10"/>
        <v>0.45</v>
      </c>
    </row>
    <row r="75" spans="1:8" ht="22.5" customHeight="1" x14ac:dyDescent="0.2">
      <c r="A75" s="6">
        <v>32</v>
      </c>
      <c r="B75" s="260" t="s">
        <v>273</v>
      </c>
      <c r="C75" s="101">
        <v>292.70333333333332</v>
      </c>
      <c r="D75" s="102">
        <v>12</v>
      </c>
      <c r="E75" s="265" t="s">
        <v>292</v>
      </c>
      <c r="F75" s="96">
        <v>12</v>
      </c>
      <c r="G75" s="95">
        <f t="shared" si="9"/>
        <v>0.08</v>
      </c>
      <c r="H75" s="95">
        <f t="shared" si="10"/>
        <v>1.95</v>
      </c>
    </row>
    <row r="76" spans="1:8" ht="22.5" customHeight="1" x14ac:dyDescent="0.2">
      <c r="A76" s="6">
        <v>33</v>
      </c>
      <c r="B76" s="260" t="s">
        <v>274</v>
      </c>
      <c r="C76" s="101">
        <v>52.863333333333337</v>
      </c>
      <c r="D76" s="102">
        <v>12</v>
      </c>
      <c r="E76" s="265" t="s">
        <v>292</v>
      </c>
      <c r="F76" s="96">
        <v>12</v>
      </c>
      <c r="G76" s="95">
        <f t="shared" si="9"/>
        <v>0.08</v>
      </c>
      <c r="H76" s="95">
        <f t="shared" si="10"/>
        <v>0.35</v>
      </c>
    </row>
    <row r="77" spans="1:8" ht="22.5" customHeight="1" x14ac:dyDescent="0.2">
      <c r="A77" s="6">
        <v>34</v>
      </c>
      <c r="B77" s="260" t="s">
        <v>275</v>
      </c>
      <c r="C77" s="101">
        <v>215.45000000000002</v>
      </c>
      <c r="D77" s="102">
        <v>12</v>
      </c>
      <c r="E77" s="265" t="s">
        <v>297</v>
      </c>
      <c r="F77" s="96">
        <v>12</v>
      </c>
      <c r="G77" s="95">
        <f t="shared" si="9"/>
        <v>0.08</v>
      </c>
      <c r="H77" s="95">
        <f t="shared" si="10"/>
        <v>1.43</v>
      </c>
    </row>
    <row r="78" spans="1:8" ht="22.5" customHeight="1" x14ac:dyDescent="0.2">
      <c r="A78" s="6">
        <v>35</v>
      </c>
      <c r="B78" s="260" t="s">
        <v>276</v>
      </c>
      <c r="C78" s="101">
        <v>520.12333333333333</v>
      </c>
      <c r="D78" s="102">
        <v>12</v>
      </c>
      <c r="E78" s="265" t="s">
        <v>297</v>
      </c>
      <c r="F78" s="96">
        <v>12</v>
      </c>
      <c r="G78" s="95">
        <f t="shared" si="9"/>
        <v>0.08</v>
      </c>
      <c r="H78" s="95">
        <f t="shared" si="10"/>
        <v>3.46</v>
      </c>
    </row>
    <row r="79" spans="1:8" ht="22.5" customHeight="1" x14ac:dyDescent="0.2">
      <c r="A79" s="6">
        <v>36</v>
      </c>
      <c r="B79" s="260" t="s">
        <v>277</v>
      </c>
      <c r="C79" s="101">
        <v>360.05666666666667</v>
      </c>
      <c r="D79" s="102">
        <v>12</v>
      </c>
      <c r="E79" s="265" t="s">
        <v>292</v>
      </c>
      <c r="F79" s="96">
        <v>12</v>
      </c>
      <c r="G79" s="95">
        <f t="shared" si="9"/>
        <v>0.08</v>
      </c>
      <c r="H79" s="95">
        <f t="shared" si="10"/>
        <v>2.4</v>
      </c>
    </row>
    <row r="80" spans="1:8" ht="22.5" customHeight="1" x14ac:dyDescent="0.2">
      <c r="A80" s="6">
        <v>37</v>
      </c>
      <c r="B80" s="260" t="s">
        <v>278</v>
      </c>
      <c r="C80" s="101">
        <v>24.310000000000002</v>
      </c>
      <c r="D80" s="102">
        <v>12</v>
      </c>
      <c r="E80" s="265" t="s">
        <v>292</v>
      </c>
      <c r="F80" s="96">
        <v>12</v>
      </c>
      <c r="G80" s="95">
        <f t="shared" si="9"/>
        <v>0.08</v>
      </c>
      <c r="H80" s="95">
        <f t="shared" si="10"/>
        <v>0.16</v>
      </c>
    </row>
    <row r="81" spans="1:8" ht="22.5" customHeight="1" x14ac:dyDescent="0.2">
      <c r="A81" s="6">
        <v>38</v>
      </c>
      <c r="B81" s="260" t="s">
        <v>279</v>
      </c>
      <c r="C81" s="101">
        <v>121.04333333333334</v>
      </c>
      <c r="D81" s="102">
        <v>12</v>
      </c>
      <c r="E81" s="265" t="s">
        <v>300</v>
      </c>
      <c r="F81" s="96">
        <v>12</v>
      </c>
      <c r="G81" s="95">
        <f t="shared" si="9"/>
        <v>0.08</v>
      </c>
      <c r="H81" s="95">
        <f t="shared" si="10"/>
        <v>0.8</v>
      </c>
    </row>
    <row r="82" spans="1:8" ht="22.5" customHeight="1" x14ac:dyDescent="0.2">
      <c r="A82" s="6">
        <v>39</v>
      </c>
      <c r="B82" s="260" t="s">
        <v>280</v>
      </c>
      <c r="C82" s="101">
        <v>34.626666666666665</v>
      </c>
      <c r="D82" s="102">
        <v>12</v>
      </c>
      <c r="E82" s="265" t="s">
        <v>292</v>
      </c>
      <c r="F82" s="96">
        <v>12</v>
      </c>
      <c r="G82" s="95">
        <f t="shared" si="9"/>
        <v>0.08</v>
      </c>
      <c r="H82" s="95">
        <f t="shared" si="10"/>
        <v>0.23</v>
      </c>
    </row>
    <row r="83" spans="1:8" ht="22.5" customHeight="1" x14ac:dyDescent="0.2">
      <c r="A83" s="6">
        <v>40</v>
      </c>
      <c r="B83" s="260" t="s">
        <v>281</v>
      </c>
      <c r="C83" s="101">
        <v>199.43666666666664</v>
      </c>
      <c r="D83" s="102">
        <v>12</v>
      </c>
      <c r="E83" s="265" t="s">
        <v>292</v>
      </c>
      <c r="F83" s="96">
        <v>12</v>
      </c>
      <c r="G83" s="95">
        <f t="shared" si="9"/>
        <v>0.08</v>
      </c>
      <c r="H83" s="95">
        <f t="shared" si="10"/>
        <v>1.32</v>
      </c>
    </row>
    <row r="84" spans="1:8" ht="22.5" customHeight="1" x14ac:dyDescent="0.2">
      <c r="A84" s="6">
        <v>41</v>
      </c>
      <c r="B84" s="260" t="s">
        <v>282</v>
      </c>
      <c r="C84" s="101">
        <v>50.356666666666662</v>
      </c>
      <c r="D84" s="102">
        <v>12</v>
      </c>
      <c r="E84" s="265" t="s">
        <v>292</v>
      </c>
      <c r="F84" s="96">
        <v>12</v>
      </c>
      <c r="G84" s="95">
        <f t="shared" si="9"/>
        <v>0.08</v>
      </c>
      <c r="H84" s="95">
        <f t="shared" si="10"/>
        <v>0.33</v>
      </c>
    </row>
    <row r="85" spans="1:8" ht="22.5" customHeight="1" x14ac:dyDescent="0.2">
      <c r="A85" s="6">
        <v>42</v>
      </c>
      <c r="B85" s="260" t="s">
        <v>283</v>
      </c>
      <c r="C85" s="101">
        <v>300.8533333333333</v>
      </c>
      <c r="D85" s="102">
        <v>12</v>
      </c>
      <c r="E85" s="265" t="s">
        <v>292</v>
      </c>
      <c r="F85" s="96">
        <v>12</v>
      </c>
      <c r="G85" s="95">
        <f t="shared" si="9"/>
        <v>0.08</v>
      </c>
      <c r="H85" s="95">
        <f t="shared" si="10"/>
        <v>2</v>
      </c>
    </row>
    <row r="86" spans="1:8" ht="22.5" customHeight="1" x14ac:dyDescent="0.2">
      <c r="A86" s="6">
        <v>43</v>
      </c>
      <c r="B86" s="260" t="s">
        <v>284</v>
      </c>
      <c r="C86" s="101">
        <v>607.10666666666668</v>
      </c>
      <c r="D86" s="102">
        <v>12</v>
      </c>
      <c r="E86" s="265" t="s">
        <v>292</v>
      </c>
      <c r="F86" s="96">
        <v>12</v>
      </c>
      <c r="G86" s="95">
        <f t="shared" si="9"/>
        <v>0.08</v>
      </c>
      <c r="H86" s="95">
        <f t="shared" si="10"/>
        <v>4.04</v>
      </c>
    </row>
    <row r="87" spans="1:8" ht="22.5" customHeight="1" x14ac:dyDescent="0.2">
      <c r="A87" s="6">
        <v>44</v>
      </c>
      <c r="B87" s="260" t="s">
        <v>285</v>
      </c>
      <c r="C87" s="101">
        <v>104.31666666666666</v>
      </c>
      <c r="D87" s="102">
        <v>12</v>
      </c>
      <c r="E87" s="265" t="s">
        <v>301</v>
      </c>
      <c r="F87" s="96">
        <v>12</v>
      </c>
      <c r="G87" s="95">
        <f t="shared" si="9"/>
        <v>0.08</v>
      </c>
      <c r="H87" s="95">
        <f t="shared" si="10"/>
        <v>0.69</v>
      </c>
    </row>
    <row r="88" spans="1:8" ht="22.5" customHeight="1" x14ac:dyDescent="0.2">
      <c r="A88" s="6">
        <v>45</v>
      </c>
      <c r="B88" s="260" t="s">
        <v>286</v>
      </c>
      <c r="C88" s="101">
        <v>424.78666666666669</v>
      </c>
      <c r="D88" s="102">
        <v>12</v>
      </c>
      <c r="E88" s="265" t="s">
        <v>292</v>
      </c>
      <c r="F88" s="96">
        <v>12</v>
      </c>
      <c r="G88" s="95">
        <f t="shared" si="9"/>
        <v>0.08</v>
      </c>
      <c r="H88" s="95">
        <f t="shared" si="10"/>
        <v>2.83</v>
      </c>
    </row>
    <row r="89" spans="1:8" ht="22.5" customHeight="1" x14ac:dyDescent="0.2">
      <c r="A89" s="6">
        <v>46</v>
      </c>
      <c r="B89" s="260" t="s">
        <v>287</v>
      </c>
      <c r="C89" s="101">
        <v>35.96</v>
      </c>
      <c r="D89" s="102">
        <v>12</v>
      </c>
      <c r="E89" s="265" t="s">
        <v>292</v>
      </c>
      <c r="F89" s="96">
        <v>12</v>
      </c>
      <c r="G89" s="95">
        <f t="shared" si="9"/>
        <v>0.08</v>
      </c>
      <c r="H89" s="95">
        <f t="shared" si="10"/>
        <v>0.23</v>
      </c>
    </row>
    <row r="90" spans="1:8" ht="22.5" customHeight="1" x14ac:dyDescent="0.2">
      <c r="A90" s="6">
        <v>47</v>
      </c>
      <c r="B90" s="260" t="s">
        <v>288</v>
      </c>
      <c r="C90" s="101">
        <v>51.85</v>
      </c>
      <c r="D90" s="102">
        <v>12</v>
      </c>
      <c r="E90" s="265" t="s">
        <v>292</v>
      </c>
      <c r="F90" s="96">
        <v>12</v>
      </c>
      <c r="G90" s="95">
        <f t="shared" si="9"/>
        <v>0.08</v>
      </c>
      <c r="H90" s="95">
        <f t="shared" si="10"/>
        <v>0.34</v>
      </c>
    </row>
    <row r="91" spans="1:8" ht="22.5" customHeight="1" x14ac:dyDescent="0.2">
      <c r="A91" s="6">
        <v>48</v>
      </c>
      <c r="B91" s="260" t="s">
        <v>289</v>
      </c>
      <c r="C91" s="101">
        <v>25.84</v>
      </c>
      <c r="D91" s="102">
        <v>12</v>
      </c>
      <c r="E91" s="265" t="s">
        <v>292</v>
      </c>
      <c r="F91" s="96">
        <v>12</v>
      </c>
      <c r="G91" s="95">
        <f t="shared" si="9"/>
        <v>0.08</v>
      </c>
      <c r="H91" s="95">
        <f t="shared" si="10"/>
        <v>0.17</v>
      </c>
    </row>
    <row r="92" spans="1:8" ht="22.5" customHeight="1" x14ac:dyDescent="0.2">
      <c r="A92" s="6">
        <v>49</v>
      </c>
      <c r="B92" s="260" t="s">
        <v>290</v>
      </c>
      <c r="C92" s="101">
        <v>229.89999999999998</v>
      </c>
      <c r="D92" s="102">
        <v>12</v>
      </c>
      <c r="E92" s="265" t="s">
        <v>292</v>
      </c>
      <c r="F92" s="96">
        <v>12</v>
      </c>
      <c r="G92" s="95">
        <f t="shared" si="9"/>
        <v>0.08</v>
      </c>
      <c r="H92" s="95">
        <f t="shared" si="10"/>
        <v>1.53</v>
      </c>
    </row>
    <row r="93" spans="1:8" ht="22.5" customHeight="1" x14ac:dyDescent="0.2">
      <c r="A93" s="6">
        <v>50</v>
      </c>
      <c r="B93" s="260" t="s">
        <v>291</v>
      </c>
      <c r="C93" s="101">
        <v>71.99666666666667</v>
      </c>
      <c r="D93" s="102">
        <v>12</v>
      </c>
      <c r="E93" s="265" t="s">
        <v>302</v>
      </c>
      <c r="F93" s="96">
        <v>12</v>
      </c>
      <c r="G93" s="95">
        <f t="shared" si="9"/>
        <v>0.08</v>
      </c>
      <c r="H93" s="95">
        <f t="shared" si="10"/>
        <v>0.47</v>
      </c>
    </row>
    <row r="94" spans="1:8" x14ac:dyDescent="0.2">
      <c r="A94" s="97"/>
      <c r="B94" s="98"/>
      <c r="C94" s="99"/>
      <c r="D94" s="99"/>
      <c r="E94" s="99"/>
      <c r="F94" s="382" t="s">
        <v>136</v>
      </c>
      <c r="G94" s="382"/>
      <c r="H94" s="92">
        <f>SUM(H44:H93)</f>
        <v>61.579999999999991</v>
      </c>
    </row>
  </sheetData>
  <mergeCells count="18">
    <mergeCell ref="E24:F24"/>
    <mergeCell ref="A5:B5"/>
    <mergeCell ref="A18:B18"/>
    <mergeCell ref="A43:B43"/>
    <mergeCell ref="F94:G94"/>
    <mergeCell ref="F33:G33"/>
    <mergeCell ref="A30:H30"/>
    <mergeCell ref="A28:H28"/>
    <mergeCell ref="A36:H36"/>
    <mergeCell ref="A37:B37"/>
    <mergeCell ref="F39:G39"/>
    <mergeCell ref="A42:H42"/>
    <mergeCell ref="A31:B31"/>
    <mergeCell ref="A2:G2"/>
    <mergeCell ref="E11:F11"/>
    <mergeCell ref="A4:G4"/>
    <mergeCell ref="A17:G17"/>
    <mergeCell ref="A15:G15"/>
  </mergeCells>
  <pageMargins left="0.511811024" right="0.511811024" top="0.78740157499999996" bottom="0.78740157499999996" header="0.31496062000000002" footer="0.31496062000000002"/>
  <pageSetup paperSize="9" scale="83" fitToHeight="0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Quadro resumo</vt:lpstr>
      <vt:lpstr>Arquiteto</vt:lpstr>
      <vt:lpstr>Encarregado de Manutenção</vt:lpstr>
      <vt:lpstr>Manut. Elétrica_h extra</vt:lpstr>
      <vt:lpstr>Manutenção Elétrica</vt:lpstr>
      <vt:lpstr>Manut. Predial_h extra</vt:lpstr>
      <vt:lpstr>Manut. Predial</vt:lpstr>
      <vt:lpstr>Insumos</vt:lpstr>
      <vt:lpstr>Arquiteto!Area_de_impressao</vt:lpstr>
      <vt:lpstr>'Encarregado de Manutenção'!Area_de_impressao</vt:lpstr>
      <vt:lpstr>Insumos!Area_de_impressao</vt:lpstr>
      <vt:lpstr>'Manut. Elétrica_h extra'!Area_de_impressao</vt:lpstr>
      <vt:lpstr>'Manut. Predial'!Area_de_impressao</vt:lpstr>
      <vt:lpstr>'Manut. Predial_h extra'!Area_de_impressao</vt:lpstr>
      <vt:lpstr>'Manutenção Elétrica'!Area_de_impressao</vt:lpstr>
      <vt:lpstr>'Quadro 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2022-04-20T19:21:53Z</cp:lastPrinted>
  <dcterms:created xsi:type="dcterms:W3CDTF">2010-12-08T17:56:29Z</dcterms:created>
  <dcterms:modified xsi:type="dcterms:W3CDTF">2022-07-07T16:59:59Z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