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CAD\2022\PREGÕES\11 Manutenção Predial - RC 5037\Edital, Anexo II, Relação de itens e Aviso DOU\"/>
    </mc:Choice>
  </mc:AlternateContent>
  <bookViews>
    <workbookView xWindow="0" yWindow="0" windowWidth="28800" windowHeight="11940" tabRatio="877" activeTab="5"/>
  </bookViews>
  <sheets>
    <sheet name="Quadro resumo" sheetId="7" r:id="rId1"/>
    <sheet name="Arquiteto" sheetId="27" r:id="rId2"/>
    <sheet name="Encarregado de Manutenção" sheetId="29" r:id="rId3"/>
    <sheet name="Manut. Elétrica_h extra" sheetId="32" r:id="rId4"/>
    <sheet name="Manutenção Elétrica" sheetId="30" r:id="rId5"/>
    <sheet name="Manut. Predial_h extra" sheetId="31" r:id="rId6"/>
    <sheet name="Manut. Predial" sheetId="33" r:id="rId7"/>
    <sheet name="Insumos" sheetId="23" r:id="rId8"/>
  </sheets>
  <definedNames>
    <definedName name="_xlnm.Print_Area" localSheetId="1">Arquiteto!$B$2:$H$169</definedName>
    <definedName name="_xlnm.Print_Area" localSheetId="2">'Encarregado de Manutenção'!$B$2:$H$169</definedName>
    <definedName name="_xlnm.Print_Area" localSheetId="7">Insumos!$A$2:$H$94</definedName>
    <definedName name="_xlnm.Print_Area" localSheetId="3">'Manut. Elétrica_h extra'!$B$2:$H$169</definedName>
    <definedName name="_xlnm.Print_Area" localSheetId="6">'Manut. Predial'!$B$2:$H$166</definedName>
    <definedName name="_xlnm.Print_Area" localSheetId="5">'Manut. Predial_h extra'!$B$2:$H$169</definedName>
    <definedName name="_xlnm.Print_Area" localSheetId="4">'Manutenção Elétrica'!$B$2:$H$166</definedName>
    <definedName name="_xlnm.Print_Area" localSheetId="0">'Quadro resumo'!$B$1:$G$37</definedName>
  </definedName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63" i="33" l="1"/>
  <c r="G162" i="33"/>
  <c r="G161" i="33"/>
  <c r="H149" i="33"/>
  <c r="H143" i="33"/>
  <c r="G116" i="33"/>
  <c r="H108" i="33"/>
  <c r="H107" i="33"/>
  <c r="H106" i="33"/>
  <c r="H105" i="33"/>
  <c r="H109" i="33" s="1"/>
  <c r="H130" i="33" s="1"/>
  <c r="H58" i="33"/>
  <c r="H57" i="33"/>
  <c r="H62" i="33" s="1"/>
  <c r="H68" i="33" s="1"/>
  <c r="G46" i="33"/>
  <c r="G53" i="33" s="1"/>
  <c r="G39" i="33"/>
  <c r="G40" i="33" s="1"/>
  <c r="G38" i="33"/>
  <c r="H28" i="33"/>
  <c r="H27" i="33"/>
  <c r="G166" i="32"/>
  <c r="G165" i="32"/>
  <c r="G164" i="32"/>
  <c r="H152" i="32"/>
  <c r="H146" i="32"/>
  <c r="G119" i="32"/>
  <c r="H111" i="32"/>
  <c r="H110" i="32"/>
  <c r="H109" i="32"/>
  <c r="H108" i="32"/>
  <c r="H112" i="32" s="1"/>
  <c r="H133" i="32" s="1"/>
  <c r="H61" i="32"/>
  <c r="H60" i="32"/>
  <c r="G49" i="32"/>
  <c r="G56" i="32" s="1"/>
  <c r="G42" i="32"/>
  <c r="G41" i="32"/>
  <c r="G43" i="32" s="1"/>
  <c r="H28" i="32"/>
  <c r="H27" i="32"/>
  <c r="H29" i="32" s="1"/>
  <c r="C22" i="7"/>
  <c r="G166" i="31"/>
  <c r="G165" i="31"/>
  <c r="G164" i="31"/>
  <c r="H152" i="31"/>
  <c r="H146" i="31"/>
  <c r="G119" i="31"/>
  <c r="H111" i="31"/>
  <c r="H110" i="31"/>
  <c r="H109" i="31"/>
  <c r="H112" i="31" s="1"/>
  <c r="H133" i="31" s="1"/>
  <c r="H108" i="31"/>
  <c r="H61" i="31"/>
  <c r="H60" i="31"/>
  <c r="H65" i="31" s="1"/>
  <c r="H71" i="31" s="1"/>
  <c r="G56" i="31"/>
  <c r="G49" i="31"/>
  <c r="G43" i="31"/>
  <c r="G42" i="31"/>
  <c r="G41" i="31"/>
  <c r="H34" i="31"/>
  <c r="H30" i="31" s="1"/>
  <c r="H28" i="31"/>
  <c r="H27" i="31"/>
  <c r="H29" i="31" s="1"/>
  <c r="G163" i="30"/>
  <c r="G162" i="30"/>
  <c r="G161" i="30"/>
  <c r="H149" i="30"/>
  <c r="H143" i="30"/>
  <c r="G116" i="30"/>
  <c r="H108" i="30"/>
  <c r="H107" i="30"/>
  <c r="H106" i="30"/>
  <c r="H105" i="30"/>
  <c r="H58" i="30"/>
  <c r="H57" i="30"/>
  <c r="G46" i="30"/>
  <c r="G53" i="30" s="1"/>
  <c r="G39" i="30"/>
  <c r="G38" i="30"/>
  <c r="H28" i="30"/>
  <c r="H27" i="30"/>
  <c r="H29" i="30" s="1"/>
  <c r="H65" i="32" l="1"/>
  <c r="H71" i="32" s="1"/>
  <c r="H29" i="33"/>
  <c r="H31" i="33" s="1"/>
  <c r="G40" i="30"/>
  <c r="H109" i="30"/>
  <c r="H130" i="30" s="1"/>
  <c r="H34" i="32"/>
  <c r="H30" i="32" s="1"/>
  <c r="H32" i="32" s="1"/>
  <c r="H32" i="31"/>
  <c r="H62" i="30"/>
  <c r="H68" i="30" s="1"/>
  <c r="H31" i="30"/>
  <c r="H38" i="33" l="1"/>
  <c r="H39" i="33"/>
  <c r="H126" i="33"/>
  <c r="H41" i="32"/>
  <c r="H42" i="32"/>
  <c r="H129" i="32"/>
  <c r="H42" i="31"/>
  <c r="H41" i="31"/>
  <c r="H43" i="31" s="1"/>
  <c r="H129" i="31"/>
  <c r="H38" i="30"/>
  <c r="H40" i="30" s="1"/>
  <c r="H49" i="30" s="1"/>
  <c r="H126" i="30"/>
  <c r="H39" i="30"/>
  <c r="H43" i="32" l="1"/>
  <c r="H40" i="33"/>
  <c r="H160" i="33" s="1"/>
  <c r="H54" i="32"/>
  <c r="H48" i="32"/>
  <c r="H163" i="31"/>
  <c r="H69" i="31"/>
  <c r="H53" i="31"/>
  <c r="H48" i="31"/>
  <c r="H55" i="31"/>
  <c r="H78" i="31" s="1"/>
  <c r="H52" i="31"/>
  <c r="H49" i="31"/>
  <c r="H51" i="31"/>
  <c r="H54" i="31"/>
  <c r="H47" i="31"/>
  <c r="H160" i="30"/>
  <c r="H66" i="30"/>
  <c r="H46" i="30"/>
  <c r="H52" i="30"/>
  <c r="H75" i="30" s="1"/>
  <c r="H48" i="30"/>
  <c r="H45" i="30"/>
  <c r="H50" i="30"/>
  <c r="H51" i="30"/>
  <c r="H44" i="30"/>
  <c r="H53" i="32" l="1"/>
  <c r="H55" i="32"/>
  <c r="H47" i="32"/>
  <c r="H51" i="32"/>
  <c r="H49" i="32"/>
  <c r="H52" i="32"/>
  <c r="H69" i="32"/>
  <c r="H163" i="32"/>
  <c r="H44" i="33"/>
  <c r="H51" i="33"/>
  <c r="H50" i="33"/>
  <c r="H48" i="33"/>
  <c r="H52" i="33"/>
  <c r="H75" i="33" s="1"/>
  <c r="H49" i="33"/>
  <c r="H66" i="33"/>
  <c r="H46" i="33"/>
  <c r="H45" i="33"/>
  <c r="H56" i="31"/>
  <c r="H79" i="31"/>
  <c r="H77" i="31" s="1"/>
  <c r="H81" i="31"/>
  <c r="H80" i="31" s="1"/>
  <c r="H53" i="30"/>
  <c r="H78" i="30"/>
  <c r="H77" i="30" s="1"/>
  <c r="H76" i="30"/>
  <c r="H74" i="30" s="1"/>
  <c r="H53" i="33" l="1"/>
  <c r="H56" i="32"/>
  <c r="H81" i="32"/>
  <c r="H80" i="32" s="1"/>
  <c r="H79" i="32"/>
  <c r="H78" i="32"/>
  <c r="H77" i="32" s="1"/>
  <c r="H78" i="33"/>
  <c r="H77" i="33" s="1"/>
  <c r="H76" i="33"/>
  <c r="H74" i="33" s="1"/>
  <c r="H67" i="33"/>
  <c r="H69" i="33" s="1"/>
  <c r="H79" i="33"/>
  <c r="H70" i="31"/>
  <c r="H72" i="31" s="1"/>
  <c r="H82" i="31"/>
  <c r="H83" i="31" s="1"/>
  <c r="H67" i="30"/>
  <c r="H69" i="30" s="1"/>
  <c r="H79" i="30"/>
  <c r="H80" i="30" s="1"/>
  <c r="H80" i="33" l="1"/>
  <c r="H70" i="32"/>
  <c r="H72" i="32" s="1"/>
  <c r="H82" i="32"/>
  <c r="H83" i="32" s="1"/>
  <c r="H131" i="32" s="1"/>
  <c r="H128" i="33"/>
  <c r="H127" i="33"/>
  <c r="H93" i="33"/>
  <c r="H94" i="33" s="1"/>
  <c r="H99" i="33" s="1"/>
  <c r="H88" i="33"/>
  <c r="H131" i="31"/>
  <c r="H130" i="31"/>
  <c r="H91" i="31"/>
  <c r="H96" i="31"/>
  <c r="H97" i="31" s="1"/>
  <c r="H102" i="31" s="1"/>
  <c r="H128" i="30"/>
  <c r="H127" i="30"/>
  <c r="H93" i="30"/>
  <c r="H94" i="30" s="1"/>
  <c r="H99" i="30" s="1"/>
  <c r="H88" i="30"/>
  <c r="H130" i="32" l="1"/>
  <c r="H96" i="32"/>
  <c r="H97" i="32" s="1"/>
  <c r="H102" i="32" s="1"/>
  <c r="H91" i="32"/>
  <c r="H87" i="33"/>
  <c r="H86" i="33"/>
  <c r="H89" i="31"/>
  <c r="H90" i="31"/>
  <c r="H87" i="30"/>
  <c r="H86" i="30"/>
  <c r="H92" i="31" l="1"/>
  <c r="H101" i="31" s="1"/>
  <c r="H90" i="32"/>
  <c r="H89" i="32"/>
  <c r="H92" i="32" s="1"/>
  <c r="H101" i="32" s="1"/>
  <c r="H89" i="33"/>
  <c r="H98" i="33" s="1"/>
  <c r="H89" i="30"/>
  <c r="H98" i="30" s="1"/>
  <c r="H100" i="30" s="1"/>
  <c r="H129" i="30" s="1"/>
  <c r="H131" i="30" s="1"/>
  <c r="H103" i="31"/>
  <c r="H132" i="31" s="1"/>
  <c r="H134" i="31" s="1"/>
  <c r="H162" i="31"/>
  <c r="H162" i="32" l="1"/>
  <c r="H164" i="32" s="1"/>
  <c r="H103" i="32"/>
  <c r="H132" i="32" s="1"/>
  <c r="H134" i="32" s="1"/>
  <c r="H117" i="32" s="1"/>
  <c r="H100" i="33"/>
  <c r="H129" i="33" s="1"/>
  <c r="H131" i="33" s="1"/>
  <c r="H159" i="33"/>
  <c r="H159" i="30"/>
  <c r="H161" i="30" s="1"/>
  <c r="H165" i="32"/>
  <c r="H117" i="31"/>
  <c r="H164" i="31"/>
  <c r="H165" i="31" s="1"/>
  <c r="H114" i="30"/>
  <c r="H115" i="30" s="1"/>
  <c r="H116" i="30" s="1"/>
  <c r="H118" i="32" l="1"/>
  <c r="H119" i="32" s="1"/>
  <c r="H114" i="33"/>
  <c r="H115" i="33" s="1"/>
  <c r="H161" i="33"/>
  <c r="H166" i="32"/>
  <c r="H167" i="32" s="1"/>
  <c r="H118" i="31"/>
  <c r="H119" i="31" s="1"/>
  <c r="H166" i="31"/>
  <c r="H167" i="31" s="1"/>
  <c r="H119" i="30"/>
  <c r="H117" i="30"/>
  <c r="H148" i="30" s="1"/>
  <c r="H151" i="30" s="1"/>
  <c r="H118" i="30"/>
  <c r="H162" i="30"/>
  <c r="H163" i="30" s="1"/>
  <c r="H164" i="30" s="1"/>
  <c r="H120" i="32" l="1"/>
  <c r="H151" i="32" s="1"/>
  <c r="H154" i="32" s="1"/>
  <c r="H122" i="32"/>
  <c r="H121" i="32"/>
  <c r="H116" i="33"/>
  <c r="H162" i="33"/>
  <c r="H122" i="31"/>
  <c r="H120" i="31"/>
  <c r="H151" i="31" s="1"/>
  <c r="H154" i="31" s="1"/>
  <c r="H121" i="31"/>
  <c r="H120" i="30"/>
  <c r="H150" i="30" s="1"/>
  <c r="H123" i="32" l="1"/>
  <c r="H163" i="33"/>
  <c r="H164" i="33" s="1"/>
  <c r="H119" i="33"/>
  <c r="H118" i="33"/>
  <c r="H120" i="33" s="1"/>
  <c r="H117" i="33"/>
  <c r="H148" i="33" s="1"/>
  <c r="H151" i="33" s="1"/>
  <c r="H132" i="30"/>
  <c r="H133" i="30" s="1"/>
  <c r="H123" i="31"/>
  <c r="H158" i="30" l="1"/>
  <c r="H165" i="30" s="1"/>
  <c r="E19" i="7"/>
  <c r="F19" i="7" s="1"/>
  <c r="G19" i="7" s="1"/>
  <c r="H153" i="32"/>
  <c r="H135" i="32"/>
  <c r="H136" i="32" s="1"/>
  <c r="H132" i="33"/>
  <c r="H133" i="33" s="1"/>
  <c r="H150" i="33"/>
  <c r="H135" i="31"/>
  <c r="H136" i="31" s="1"/>
  <c r="H153" i="31"/>
  <c r="H161" i="31" l="1"/>
  <c r="H168" i="31" s="1"/>
  <c r="E20" i="7"/>
  <c r="F20" i="7" s="1"/>
  <c r="G20" i="7" s="1"/>
  <c r="H161" i="32"/>
  <c r="H168" i="32" s="1"/>
  <c r="E18" i="7"/>
  <c r="F18" i="7" s="1"/>
  <c r="G18" i="7" s="1"/>
  <c r="H158" i="33"/>
  <c r="H165" i="33" s="1"/>
  <c r="E21" i="7"/>
  <c r="F21" i="7" s="1"/>
  <c r="G21" i="7" l="1"/>
  <c r="H111" i="29" l="1"/>
  <c r="H110" i="29"/>
  <c r="H94" i="23"/>
  <c r="H45" i="23"/>
  <c r="H46" i="23"/>
  <c r="H47" i="23"/>
  <c r="H48" i="23"/>
  <c r="H49" i="23"/>
  <c r="H50" i="23"/>
  <c r="H51" i="23"/>
  <c r="H52" i="23"/>
  <c r="H53" i="23"/>
  <c r="H54" i="23"/>
  <c r="H55" i="23"/>
  <c r="H56" i="23"/>
  <c r="H57" i="23"/>
  <c r="H58" i="23"/>
  <c r="H59" i="23"/>
  <c r="H60" i="23"/>
  <c r="H61" i="23"/>
  <c r="H62" i="23"/>
  <c r="H63" i="23"/>
  <c r="H64" i="23"/>
  <c r="H65" i="23"/>
  <c r="H66" i="23"/>
  <c r="H67" i="23"/>
  <c r="H68" i="23"/>
  <c r="H69" i="23"/>
  <c r="H70" i="23"/>
  <c r="H71" i="23"/>
  <c r="H72" i="23"/>
  <c r="H73" i="23"/>
  <c r="H74" i="23"/>
  <c r="H75" i="23"/>
  <c r="H76" i="23"/>
  <c r="H77" i="23"/>
  <c r="H78" i="23"/>
  <c r="H79" i="23"/>
  <c r="H80" i="23"/>
  <c r="H81" i="23"/>
  <c r="H82" i="23"/>
  <c r="H83" i="23"/>
  <c r="H84" i="23"/>
  <c r="H85" i="23"/>
  <c r="H86" i="23"/>
  <c r="H87" i="23"/>
  <c r="H88" i="23"/>
  <c r="H89" i="23"/>
  <c r="H90" i="23"/>
  <c r="H91" i="23"/>
  <c r="H92" i="23"/>
  <c r="H93" i="23"/>
  <c r="G45" i="23"/>
  <c r="G46" i="23"/>
  <c r="G47" i="23"/>
  <c r="G48" i="23"/>
  <c r="G49" i="23"/>
  <c r="G50" i="23"/>
  <c r="G51" i="23"/>
  <c r="G52" i="23"/>
  <c r="G53" i="23"/>
  <c r="G54" i="23"/>
  <c r="G55" i="23"/>
  <c r="G56" i="23"/>
  <c r="G57" i="23"/>
  <c r="G58" i="23"/>
  <c r="G59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7" i="23"/>
  <c r="G88" i="23"/>
  <c r="G89" i="23"/>
  <c r="G90" i="23"/>
  <c r="G91" i="23"/>
  <c r="G92" i="23"/>
  <c r="G93" i="23"/>
  <c r="G44" i="23"/>
  <c r="H44" i="23"/>
  <c r="G38" i="23"/>
  <c r="H38" i="23" s="1"/>
  <c r="H39" i="23" s="1"/>
  <c r="F20" i="23"/>
  <c r="G20" i="23" s="1"/>
  <c r="F21" i="23"/>
  <c r="G21" i="23" s="1"/>
  <c r="F22" i="23"/>
  <c r="G22" i="23" s="1"/>
  <c r="F23" i="23"/>
  <c r="G23" i="23" s="1"/>
  <c r="F19" i="23"/>
  <c r="G19" i="23" s="1"/>
  <c r="F7" i="23"/>
  <c r="G7" i="23" s="1"/>
  <c r="F8" i="23"/>
  <c r="G8" i="23" s="1"/>
  <c r="F9" i="23"/>
  <c r="G9" i="23" s="1"/>
  <c r="F10" i="23"/>
  <c r="G10" i="23" s="1"/>
  <c r="F6" i="23"/>
  <c r="G6" i="23" s="1"/>
  <c r="H61" i="29"/>
  <c r="H60" i="29"/>
  <c r="G166" i="29"/>
  <c r="G165" i="29"/>
  <c r="G164" i="29"/>
  <c r="H152" i="29"/>
  <c r="H146" i="29"/>
  <c r="G119" i="29"/>
  <c r="G49" i="29"/>
  <c r="G56" i="29" s="1"/>
  <c r="G42" i="29"/>
  <c r="G41" i="29"/>
  <c r="H28" i="29"/>
  <c r="H27" i="29"/>
  <c r="H34" i="29" s="1"/>
  <c r="H30" i="29" s="1"/>
  <c r="H61" i="27"/>
  <c r="H26" i="27"/>
  <c r="G43" i="29" l="1"/>
  <c r="G11" i="23"/>
  <c r="H108" i="29" s="1"/>
  <c r="G24" i="23"/>
  <c r="H109" i="29" s="1"/>
  <c r="H65" i="29"/>
  <c r="H71" i="29" s="1"/>
  <c r="H29" i="29"/>
  <c r="H32" i="29" s="1"/>
  <c r="H42" i="29" l="1"/>
  <c r="H129" i="29"/>
  <c r="H41" i="29"/>
  <c r="H43" i="29" l="1"/>
  <c r="H69" i="29" s="1"/>
  <c r="H53" i="29" l="1"/>
  <c r="H48" i="29"/>
  <c r="H52" i="29"/>
  <c r="H47" i="29"/>
  <c r="H49" i="29"/>
  <c r="H163" i="29"/>
  <c r="H55" i="29"/>
  <c r="H79" i="29" s="1"/>
  <c r="H54" i="29"/>
  <c r="H51" i="29"/>
  <c r="H78" i="29" l="1"/>
  <c r="H77" i="29" s="1"/>
  <c r="H56" i="29"/>
  <c r="H70" i="29" s="1"/>
  <c r="H72" i="29" s="1"/>
  <c r="H81" i="29"/>
  <c r="H80" i="29" s="1"/>
  <c r="H82" i="29" l="1"/>
  <c r="H83" i="29" s="1"/>
  <c r="H130" i="29"/>
  <c r="H131" i="29" l="1"/>
  <c r="H96" i="29"/>
  <c r="H97" i="29" s="1"/>
  <c r="H102" i="29" s="1"/>
  <c r="H91" i="29"/>
  <c r="H90" i="29" s="1"/>
  <c r="H89" i="29" l="1"/>
  <c r="H92" i="29" s="1"/>
  <c r="H101" i="29" s="1"/>
  <c r="H103" i="29" s="1"/>
  <c r="H132" i="29" s="1"/>
  <c r="H162" i="29" l="1"/>
  <c r="H164" i="29" s="1"/>
  <c r="H165" i="29" s="1"/>
  <c r="H166" i="29" l="1"/>
  <c r="H167" i="29" s="1"/>
  <c r="G166" i="27" l="1"/>
  <c r="G165" i="27"/>
  <c r="G164" i="27"/>
  <c r="H152" i="27"/>
  <c r="H146" i="27"/>
  <c r="G119" i="27"/>
  <c r="H65" i="27"/>
  <c r="H71" i="27" s="1"/>
  <c r="G49" i="27"/>
  <c r="G56" i="27" s="1"/>
  <c r="G42" i="27"/>
  <c r="G41" i="27"/>
  <c r="H28" i="27"/>
  <c r="H27" i="27"/>
  <c r="H34" i="27" s="1"/>
  <c r="H30" i="27" l="1"/>
  <c r="H29" i="27"/>
  <c r="G43" i="27"/>
  <c r="H32" i="27" l="1"/>
  <c r="H129" i="27" l="1"/>
  <c r="H41" i="27"/>
  <c r="H42" i="27"/>
  <c r="H43" i="27" l="1"/>
  <c r="H163" i="27" s="1"/>
  <c r="H49" i="27"/>
  <c r="H54" i="27" l="1"/>
  <c r="H51" i="27"/>
  <c r="H47" i="27"/>
  <c r="H48" i="27"/>
  <c r="H55" i="27"/>
  <c r="H78" i="27" s="1"/>
  <c r="H52" i="27"/>
  <c r="H53" i="27"/>
  <c r="H69" i="27"/>
  <c r="H56" i="27" l="1"/>
  <c r="H82" i="27" s="1"/>
  <c r="H79" i="27"/>
  <c r="H77" i="27" s="1"/>
  <c r="H81" i="27"/>
  <c r="H80" i="27" s="1"/>
  <c r="H70" i="27"/>
  <c r="H72" i="27" s="1"/>
  <c r="H83" i="27" l="1"/>
  <c r="H96" i="27"/>
  <c r="H97" i="27" s="1"/>
  <c r="H102" i="27" s="1"/>
  <c r="H130" i="27"/>
  <c r="H91" i="27"/>
  <c r="H90" i="27" s="1"/>
  <c r="H131" i="27"/>
  <c r="H89" i="27" l="1"/>
  <c r="H92" i="27" s="1"/>
  <c r="H101" i="27" s="1"/>
  <c r="H162" i="27" l="1"/>
  <c r="H164" i="27" s="1"/>
  <c r="H103" i="27"/>
  <c r="H132" i="27" s="1"/>
  <c r="H165" i="27" l="1"/>
  <c r="H166" i="27" s="1"/>
  <c r="H167" i="27" l="1"/>
  <c r="G32" i="23"/>
  <c r="H32" i="23" s="1"/>
  <c r="H33" i="23" s="1"/>
  <c r="H111" i="27" l="1"/>
  <c r="H112" i="29"/>
  <c r="H133" i="29" s="1"/>
  <c r="H134" i="29" s="1"/>
  <c r="H117" i="29" l="1"/>
  <c r="H118" i="29" s="1"/>
  <c r="H119" i="29" s="1"/>
  <c r="A20" i="23"/>
  <c r="A21" i="23" s="1"/>
  <c r="A22" i="23" s="1"/>
  <c r="A23" i="23" s="1"/>
  <c r="A7" i="23"/>
  <c r="A8" i="23" s="1"/>
  <c r="A9" i="23" s="1"/>
  <c r="A10" i="23" s="1"/>
  <c r="H122" i="29" l="1"/>
  <c r="H121" i="29"/>
  <c r="H120" i="29"/>
  <c r="H151" i="29" s="1"/>
  <c r="H154" i="29" s="1"/>
  <c r="H123" i="29" l="1"/>
  <c r="H112" i="27"/>
  <c r="H133" i="27" s="1"/>
  <c r="H134" i="27" s="1"/>
  <c r="H135" i="29" l="1"/>
  <c r="H136" i="29" s="1"/>
  <c r="H153" i="29"/>
  <c r="H117" i="27"/>
  <c r="H118" i="27" s="1"/>
  <c r="H161" i="29" l="1"/>
  <c r="H168" i="29" s="1"/>
  <c r="E17" i="7"/>
  <c r="F17" i="7" s="1"/>
  <c r="H119" i="27"/>
  <c r="G17" i="7" l="1"/>
  <c r="G22" i="7" s="1"/>
  <c r="G23" i="7" s="1"/>
  <c r="F22" i="7"/>
  <c r="H122" i="27"/>
  <c r="H120" i="27"/>
  <c r="H121" i="27"/>
  <c r="H151" i="27" l="1"/>
  <c r="H154" i="27" s="1"/>
  <c r="H123" i="27"/>
  <c r="H153" i="27" l="1"/>
  <c r="H135" i="27"/>
  <c r="H136" i="27" l="1"/>
  <c r="C12" i="7"/>
  <c r="E11" i="7" l="1"/>
  <c r="F11" i="7" s="1"/>
  <c r="G11" i="7" s="1"/>
  <c r="H161" i="27"/>
  <c r="H168" i="27" l="1"/>
  <c r="G12" i="7"/>
  <c r="G13" i="7" s="1"/>
  <c r="G25" i="7" s="1"/>
  <c r="F12" i="7"/>
</calcChain>
</file>

<file path=xl/comments1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2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3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4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B36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38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39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2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4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5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6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6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0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5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6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5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6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7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8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79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3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5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6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7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8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2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3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5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D30" authorId="0" shapeId="0">
      <text>
        <r>
          <rPr>
            <sz val="9"/>
            <color indexed="81"/>
            <rFont val="Segoe UI"/>
            <family val="2"/>
          </rPr>
          <t>Considerando 220h mensais</t>
        </r>
        <r>
          <rPr>
            <b/>
            <sz val="9"/>
            <color indexed="81"/>
            <rFont val="Segoe UI"/>
            <family val="2"/>
          </rPr>
          <t>.</t>
        </r>
      </text>
    </comment>
    <comment ref="B39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41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42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5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7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9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9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3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4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5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8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9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8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80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81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82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82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82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6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8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9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90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91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5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6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comments6.xml><?xml version="1.0" encoding="utf-8"?>
<comments xmlns="http://schemas.openxmlformats.org/spreadsheetml/2006/main">
  <authors>
    <author>michelly</author>
    <author>Felipe Mazza Mascarenhas</author>
  </authors>
  <commentList>
    <comment ref="B24" authorId="0" shapeId="0">
      <text>
        <r>
          <rPr>
            <sz val="9"/>
            <color indexed="81"/>
            <rFont val="Segoe UI"/>
            <family val="2"/>
          </rPr>
          <t xml:space="preserve">Nota 1: O Módulo 1 refere-se ao valor mensal devido ao empregado pela prestação do serviço no período de 12 meses.
</t>
        </r>
      </text>
    </comment>
    <comment ref="D28" authorId="0" shapeId="0">
      <text>
        <r>
          <rPr>
            <sz val="9"/>
            <color indexed="81"/>
            <rFont val="Segoe UI"/>
            <family val="2"/>
          </rPr>
          <t>Grau mínimo 10%, grau médio 20% e grau máximo 40%.</t>
        </r>
      </text>
    </comment>
    <comment ref="B36" authorId="0" shapeId="0">
      <text>
        <r>
          <rPr>
            <sz val="9"/>
            <color indexed="81"/>
            <rFont val="Segoe UI"/>
            <family val="2"/>
          </rPr>
          <t>Nota 1: Como a planilha de custos e formação de preços é calculada mensalmente, provisiona-se proporcionalmente 1/12 (um doze avos) dos valores referentes a gratificação natalina e adicional de férias.
Nota 2: O adicional de férias contido no Submódulo 2.1 corresponde a 1/3 (um terço) da remuneração que por sua vez é divido por 12 (doze) conforme Nota 1 acima.</t>
        </r>
      </text>
    </comment>
    <comment ref="G38" authorId="1" shapeId="0">
      <text>
        <r>
          <rPr>
            <sz val="9"/>
            <color indexed="81"/>
            <rFont val="Segoe UI"/>
            <family val="2"/>
          </rPr>
          <t>Tot.1 ÷ 12 meses</t>
        </r>
      </text>
    </comment>
    <comment ref="G39" authorId="1" shapeId="0">
      <text>
        <r>
          <rPr>
            <sz val="9"/>
            <color indexed="81"/>
            <rFont val="Segoe UI"/>
            <family val="2"/>
          </rPr>
          <t>(Tot.1 ÷ 12 meses) + [(Tot.1 ÷ 3) ÷ 12 meses]</t>
        </r>
      </text>
    </comment>
    <comment ref="B42" authorId="0" shapeId="0">
      <text>
        <r>
          <rPr>
            <sz val="9"/>
            <color indexed="81"/>
            <rFont val="Segoe UI"/>
            <family val="2"/>
          </rPr>
          <t xml:space="preserve">Nota 1: Os percentuais dos encargos previdenciários, do FGTS e demais contribuições são aqueles estabelecidos pela legislação vigente.
Nota 2: O SAT a depender do grau de risco do serviço irá variar entre 1%, para risco leve, de 2%, para risco médio, e de 3% de risco grave.
Nota 3: Esses percentuais incidem sobre o Módulo 1 e o Submódulo 2.1.
</t>
        </r>
      </text>
    </comment>
    <comment ref="G44" authorId="0" shapeId="0">
      <text>
        <r>
          <rPr>
            <sz val="9"/>
            <color indexed="81"/>
            <rFont val="Segoe UI"/>
            <family val="2"/>
          </rPr>
          <t>Percentual fixo:
Lei 8.212/91, Art. 22, I</t>
        </r>
      </text>
    </comment>
    <comment ref="G45" authorId="0" shapeId="0">
      <text>
        <r>
          <rPr>
            <sz val="9"/>
            <color indexed="81"/>
            <rFont val="Segoe UI"/>
            <family val="2"/>
          </rPr>
          <t>Percentual fixo:
- C.F./88, Art. 212, §5º
- Decreto 6.003/2006, Art. 1º, §1º</t>
        </r>
      </text>
    </comment>
    <comment ref="E46" authorId="0" shapeId="0">
      <text>
        <r>
          <rPr>
            <sz val="9"/>
            <color indexed="81"/>
            <rFont val="Segoe UI"/>
            <family val="2"/>
          </rPr>
          <t>Riscos Ambientais do Trabalho:
1%, 2% ou 3%
Lei 8.212/91, Art. 22, II</t>
        </r>
      </text>
    </comment>
    <comment ref="F46" authorId="0" shapeId="0">
      <text>
        <r>
          <rPr>
            <sz val="9"/>
            <color indexed="81"/>
            <rFont val="Segoe UI"/>
            <family val="2"/>
          </rPr>
          <t>Fator Acidentário de Prevenção:
0,50 a 2
Decreto 6.957/09, Art. 1º, §1º</t>
        </r>
      </text>
    </comment>
    <comment ref="G48" authorId="0" shapeId="0">
      <text>
        <r>
          <rPr>
            <sz val="9"/>
            <color indexed="81"/>
            <rFont val="Segoe UI"/>
            <family val="2"/>
          </rPr>
          <t>Percentual fixo:
- Lei 8.036/90, Art. 30</t>
        </r>
      </text>
    </comment>
    <comment ref="G49" authorId="0" shapeId="0">
      <text>
        <r>
          <rPr>
            <sz val="9"/>
            <color indexed="81"/>
            <rFont val="Segoe UI"/>
            <family val="2"/>
          </rPr>
          <t>Percentual fixo:
- Decreto-Lei 6.246/44, Art. 1º
- Decreto-Lei 8.621/46, Art. 4º</t>
        </r>
      </text>
    </comment>
    <comment ref="G50" authorId="0" shapeId="0">
      <text>
        <r>
          <rPr>
            <sz val="9"/>
            <color indexed="81"/>
            <rFont val="Segoe UI"/>
            <family val="2"/>
          </rPr>
          <t>Percentual fixo:
- Lei 8.029/90, alterada pela Lei 8.154/90</t>
        </r>
      </text>
    </comment>
    <comment ref="G51" authorId="0" shapeId="0">
      <text>
        <r>
          <rPr>
            <sz val="9"/>
            <color indexed="81"/>
            <rFont val="Segoe UI"/>
            <family val="2"/>
          </rPr>
          <t>Percentual fixo:
- Decreto-Lei 1.146/70, Art. 1º, inciso I</t>
        </r>
      </text>
    </comment>
    <comment ref="G52" authorId="0" shapeId="0">
      <text>
        <r>
          <rPr>
            <sz val="9"/>
            <color indexed="81"/>
            <rFont val="Segoe UI"/>
            <family val="2"/>
          </rPr>
          <t>Percentual fixo:
- Lei 8.036/90, Art. 15</t>
        </r>
      </text>
    </comment>
    <comment ref="B55" authorId="0" shapeId="0">
      <text>
        <r>
          <rPr>
            <sz val="9"/>
            <color indexed="81"/>
            <rFont val="Segoe UI"/>
            <family val="2"/>
          </rPr>
          <t>Nota 1: O valor informado deverá ser o custo real do benefício (descontado o valor eventualmente pago pelo empregado).
Nota 2: Observar a previsão dos benefícios contidos em Acordos, Convenções e Dissídios Coletivos de Trabalho e atentar-se ao disposto no art. 6º da IN 05, de 25/05/2017.</t>
        </r>
      </text>
    </comment>
    <comment ref="C56" authorId="1" shapeId="0">
      <text>
        <r>
          <rPr>
            <sz val="9"/>
            <color indexed="81"/>
            <rFont val="Segoe UI"/>
            <family val="2"/>
          </rPr>
          <t>*Considerada média de 22 dias úteis mensais</t>
        </r>
      </text>
    </comment>
    <comment ref="C75" authorId="1" shapeId="0">
      <text>
        <r>
          <rPr>
            <sz val="9"/>
            <color indexed="81"/>
            <rFont val="Segoe UI"/>
            <family val="2"/>
          </rPr>
          <t>O pagamento relativo à rubrica de benefícios dependerá de como a Convenção Coletiva de Trabalho aborda o assunto. Se pagamento por dia trabalhado, não deve constar esses valores na memória de cálculo.
(Remuneração +13º salário + Férias e Adicional de férias + FGTS + Benefícios - Vale Transporte) ÷ 12 meses</t>
        </r>
      </text>
    </comment>
    <comment ref="F76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G77" authorId="1" shapeId="0">
      <text>
        <r>
          <rPr>
            <sz val="9"/>
            <color indexed="81"/>
            <rFont val="Segoe UI"/>
            <family val="2"/>
          </rPr>
          <t>Percentual variável, desde que maior que 100%</t>
        </r>
      </text>
    </comment>
    <comment ref="F78" authorId="1" shapeId="0">
      <text>
        <r>
          <rPr>
            <sz val="9"/>
            <color indexed="81"/>
            <rFont val="Segoe UI"/>
            <family val="2"/>
          </rPr>
          <t>Percentual fixo</t>
        </r>
      </text>
    </comment>
    <comment ref="C79" authorId="1" shapeId="0">
      <text>
        <r>
          <rPr>
            <sz val="9"/>
            <color indexed="81"/>
            <rFont val="Segoe UI"/>
            <family val="2"/>
          </rPr>
          <t>(Remuneração +13º salário + Férias e Adicional de férias + FGTS + Benefícios) ÷ 12 meses</t>
        </r>
      </text>
    </comment>
    <comment ref="F79" authorId="1" shapeId="0">
      <text>
        <r>
          <rPr>
            <sz val="9"/>
            <color indexed="81"/>
            <rFont val="Segoe UI"/>
            <family val="2"/>
          </rPr>
          <t>Prazo do contrato em meses</t>
        </r>
      </text>
    </comment>
    <comment ref="G79" authorId="1" shapeId="0">
      <text>
        <r>
          <rPr>
            <sz val="9"/>
            <color indexed="81"/>
            <rFont val="Segoe UI"/>
            <family val="2"/>
          </rPr>
          <t>Lei nº 12.506, de 2011.
“Art. 1º O aviso prévio, de que trata o Capítulo VI do Título IV da Consolidação das Leis do Trabalho - CLT, aprovada pelo Decreto-Lei nº 5.452, de 1º de maio de 1943, será concedido na proporção de 30 (trinta) dias aos empregados que contem até 1 (um) ano de serviço na mesma empresa.
Parágrafo único. Ao aviso prévio previsto neste artigo serão acrescidos 3 (três) dias por ano de serviço prestado na mesma empresa, até o máximo de 60 (sessenta) dias, perfazendo um total de até 90 (noventa) dias.”</t>
        </r>
      </text>
    </comment>
    <comment ref="B83" authorId="0" shapeId="0">
      <text>
        <r>
          <rPr>
            <sz val="9"/>
            <color indexed="81"/>
            <rFont val="Segoe UI"/>
            <family val="2"/>
          </rPr>
          <t>Nota 1: Os itens que contemplam o módulo 4 se referem ao custo dos dias trabalhados pelo repositor/substituto, quando o empregado alocado na prestação de serviço estiver ausente, conforme as previsões estabelecidas na legislação.</t>
        </r>
      </text>
    </comment>
    <comment ref="G85" authorId="0" shapeId="0">
      <text>
        <r>
          <rPr>
            <sz val="9"/>
            <color indexed="81"/>
            <rFont val="Segoe UI"/>
            <family val="2"/>
          </rPr>
          <t xml:space="preserve">Estimativa de dias:
Férias – 30 dias/ano
Ausências Legais – 2,96 faltas/ano
Licença Paternidade – 0,075 (5 dias/ano * 1,5% incidência)
Ausência por Acidente de Trabalho – 1,2 (15 dia/ano * 8% incidência)
Afastamento Maternidade – 2,4 (4 meses/ano * 2% incidência)
Outras Ausências - 1 falta/ano
Total de 38 dias (aproximadamente) de ausência ao ano.
</t>
        </r>
      </text>
    </comment>
    <comment ref="G86" authorId="1" shapeId="0">
      <text>
        <r>
          <rPr>
            <sz val="9"/>
            <color indexed="81"/>
            <rFont val="Segoe UI"/>
            <family val="2"/>
          </rPr>
          <t xml:space="preserve">Quantidade </t>
        </r>
        <r>
          <rPr>
            <b/>
            <sz val="9"/>
            <color indexed="81"/>
            <rFont val="Segoe UI"/>
            <family val="2"/>
          </rPr>
          <t>fixa</t>
        </r>
        <r>
          <rPr>
            <sz val="9"/>
            <color indexed="81"/>
            <rFont val="Segoe UI"/>
            <family val="2"/>
          </rPr>
          <t xml:space="preserve"> de dias = 30</t>
        </r>
      </text>
    </comment>
    <comment ref="G87" authorId="0" shapeId="0">
      <text>
        <r>
          <rPr>
            <sz val="9"/>
            <color indexed="81"/>
            <rFont val="Segoe UI"/>
            <family val="2"/>
          </rPr>
          <t>Necessidade da empresa, de acordo com as probabilidades consignadas em sua proposta, de um repositor durante o ano (em dias).</t>
        </r>
      </text>
    </comment>
    <comment ref="C88" authorId="1" shapeId="0">
      <text>
        <r>
          <rPr>
            <sz val="9"/>
            <color indexed="81"/>
            <rFont val="Segoe UI"/>
            <family val="2"/>
          </rPr>
          <t>(Módulo 1 + Módulo 2 + Módulo 3) ÷ 30 dias</t>
        </r>
      </text>
    </comment>
    <comment ref="G92" authorId="0" shapeId="0">
      <text>
        <r>
          <rPr>
            <sz val="9"/>
            <color indexed="81"/>
            <rFont val="Segoe UI"/>
            <family val="2"/>
          </rPr>
          <t xml:space="preserve">Dias necessários para substituição.
</t>
        </r>
      </text>
    </comment>
    <comment ref="B103" authorId="0" shapeId="0">
      <text>
        <r>
          <rPr>
            <sz val="9"/>
            <color indexed="81"/>
            <rFont val="Segoe UI"/>
            <family val="2"/>
          </rPr>
          <t>Nota: Valores mensais por posto</t>
        </r>
      </text>
    </comment>
  </commentList>
</comments>
</file>

<file path=xl/sharedStrings.xml><?xml version="1.0" encoding="utf-8"?>
<sst xmlns="http://schemas.openxmlformats.org/spreadsheetml/2006/main" count="1961" uniqueCount="322">
  <si>
    <t>VALOR (R$)</t>
  </si>
  <si>
    <t>Adicional Noturno</t>
  </si>
  <si>
    <t>%</t>
  </si>
  <si>
    <t>Outros (especificar)</t>
  </si>
  <si>
    <t>Lucro</t>
  </si>
  <si>
    <t>A</t>
  </si>
  <si>
    <t>B</t>
  </si>
  <si>
    <t>C</t>
  </si>
  <si>
    <t>D</t>
  </si>
  <si>
    <t>E</t>
  </si>
  <si>
    <t>F</t>
  </si>
  <si>
    <t>G</t>
  </si>
  <si>
    <t>H</t>
  </si>
  <si>
    <t>Materiais</t>
  </si>
  <si>
    <t>Equipamentos</t>
  </si>
  <si>
    <t>Nota(1):</t>
  </si>
  <si>
    <t>TOTAL</t>
  </si>
  <si>
    <t>4.1</t>
  </si>
  <si>
    <t>4.2</t>
  </si>
  <si>
    <t>Custos Indiretos</t>
  </si>
  <si>
    <t>Quadro Resumo - VALOR MENSAL DOS SERVIÇOS</t>
  </si>
  <si>
    <t>Qde Postos (E)</t>
  </si>
  <si>
    <t>Tipo de Serviço (A)</t>
  </si>
  <si>
    <t>Serviço 1 (indicar)</t>
  </si>
  <si>
    <t>Serviço 2 (indicar)</t>
  </si>
  <si>
    <t>Serviço 3 (indicar)</t>
  </si>
  <si>
    <t>Serviço ... (indicar)</t>
  </si>
  <si>
    <t>VALOR MENSAL DOS SERVIÇOS (I + II + III + ...)</t>
  </si>
  <si>
    <t>Anexo III-D</t>
  </si>
  <si>
    <t>Quadro Demonstrativo - VALOR GLOBAL DA PROPOSTA</t>
  </si>
  <si>
    <t>VALOR GLOBAL DA PROPOSTA</t>
  </si>
  <si>
    <t>Descrição</t>
  </si>
  <si>
    <t>Valor proposto por unidade de medida*</t>
  </si>
  <si>
    <t>Valor mensal do serviço</t>
  </si>
  <si>
    <t>Valor Global da Proposta (valor mensal do serviço X nº meses do contrato).</t>
  </si>
  <si>
    <t>Informar o valor da unidade de medida por tipo de serviço.</t>
  </si>
  <si>
    <t>Salário Base</t>
  </si>
  <si>
    <t>PIS</t>
  </si>
  <si>
    <t>COFINS</t>
  </si>
  <si>
    <t>ISS</t>
  </si>
  <si>
    <t>C.1</t>
  </si>
  <si>
    <t>C.2</t>
  </si>
  <si>
    <t>C.3</t>
  </si>
  <si>
    <t xml:space="preserve">Adicional Periculosidade </t>
  </si>
  <si>
    <t>Adicional Insalubridade</t>
  </si>
  <si>
    <t>13º Salário, Férias e Adicional de Férias</t>
  </si>
  <si>
    <t>GPS, FGTS e Outras Contribuições</t>
  </si>
  <si>
    <t>SESC ou SESI</t>
  </si>
  <si>
    <t xml:space="preserve">INSS </t>
  </si>
  <si>
    <t xml:space="preserve">Salário Educação </t>
  </si>
  <si>
    <t xml:space="preserve">SENAI - SENAC </t>
  </si>
  <si>
    <t xml:space="preserve">SEBRAE </t>
  </si>
  <si>
    <t xml:space="preserve">INCRA </t>
  </si>
  <si>
    <t xml:space="preserve">FGTS </t>
  </si>
  <si>
    <t>Submódulo 2.1 - 13º Salário, Férias e Adicional de Férias</t>
  </si>
  <si>
    <t>Submódulo 2.3 - Benefícios Mensais e Diários</t>
  </si>
  <si>
    <t>2.1</t>
  </si>
  <si>
    <t>2.2</t>
  </si>
  <si>
    <t>2.3</t>
  </si>
  <si>
    <t>Benefícios Mensais e Diários</t>
  </si>
  <si>
    <t>Ausências Legais</t>
  </si>
  <si>
    <t>Módulo 4 - Custo de Reposição do Profissional Ausente</t>
  </si>
  <si>
    <t>Intrajornada</t>
  </si>
  <si>
    <t xml:space="preserve">Uniformes </t>
  </si>
  <si>
    <t>Subtotal (A + B + C + D + E)</t>
  </si>
  <si>
    <t xml:space="preserve">Transporte </t>
  </si>
  <si>
    <t xml:space="preserve">Auxílio-Refeição/Alimentação  </t>
  </si>
  <si>
    <t>Valor (R$)</t>
  </si>
  <si>
    <t>PLANILHA DE CUSTOS E FORMAÇÃO DE PREÇOS</t>
  </si>
  <si>
    <t xml:space="preserve">Dados para composição dos custos referentes a mão de obra </t>
  </si>
  <si>
    <t xml:space="preserve">Tipo de Serviço (mesmo serviço com características distintas) </t>
  </si>
  <si>
    <t>Validade da Proposta:</t>
  </si>
  <si>
    <t xml:space="preserve">Classificação Brasileira de Ocupações (CBO) </t>
  </si>
  <si>
    <t xml:space="preserve">Salário Normativo da Categoria Profissional </t>
  </si>
  <si>
    <t>Data-Base da Categoria (dia/mês/ano)</t>
  </si>
  <si>
    <t xml:space="preserve">Ano do Acordo, Convenção ou Dissídio Coletivo: </t>
  </si>
  <si>
    <t>Indicação dos sindicatos, acordos coletivos ou convenções coletivas</t>
  </si>
  <si>
    <t>Composição da Remuneração</t>
  </si>
  <si>
    <t>Total</t>
  </si>
  <si>
    <t>Provisão para Rescisão</t>
  </si>
  <si>
    <t>Insumos Diversos</t>
  </si>
  <si>
    <t>Custos Indiretos, Tributos e Lucro</t>
  </si>
  <si>
    <t>Férias e Adicional de Férias</t>
  </si>
  <si>
    <t>Módulo 1 - COMPOSIÇÃO DA REMUNERAÇÃO</t>
  </si>
  <si>
    <t>Módulo 2 - ENCARGOS E BENEFÍCIOS ANUAIS, MENSAIS E DIÁRIOS</t>
  </si>
  <si>
    <t>Submódulo 2.2 - Encargos Previdenciários (GPS), Fundo de Garantia por Tempo de Serviço (FGTS) e outras contribuições</t>
  </si>
  <si>
    <t>GPS, FGTS e outras contribuições</t>
  </si>
  <si>
    <t>Encargos e Benefícios Anuais, Mensais e Diários</t>
  </si>
  <si>
    <t>Quadro-Resumo do Módulo 2 - Encargos e Benefícios anuais, mensais e diários</t>
  </si>
  <si>
    <t>Módulo 3 - PROVISÃO PARA RESCISÃO</t>
  </si>
  <si>
    <t>Módulo 4 - CUSTO DE REPOSIÇÃO DO PROFISSIONAL AUSENTE</t>
  </si>
  <si>
    <t>Quadro-Resumo do Módulo 4 - Custo De Reposição do Profissional Ausente</t>
  </si>
  <si>
    <t>Custo de Reposição do Profissional Ausente</t>
  </si>
  <si>
    <t>Módulo 5 - INSUMOS DIVERSOS</t>
  </si>
  <si>
    <t>Módulo 6 - CUSTOS INDIRETOS, TRIBUTOS E LUCRO</t>
  </si>
  <si>
    <t>1- MÓDULOS</t>
  </si>
  <si>
    <t>VALOR TOTAL POR EMPREGADO</t>
  </si>
  <si>
    <t>Módulo 1 - Composição da Remuneração</t>
  </si>
  <si>
    <t>Módulo 2 - Encargos e Benefícios Anuais, Mensais e Diários</t>
  </si>
  <si>
    <t>Módulo 3 - Provisão para Rescisão</t>
  </si>
  <si>
    <t>Módulo 5 - Insumos Diversos</t>
  </si>
  <si>
    <t>Módulo 6 - Custos Indiretos, Tributos e Lucro</t>
  </si>
  <si>
    <t>UNIFORMES</t>
  </si>
  <si>
    <t>Item</t>
  </si>
  <si>
    <t>Custo Unitário</t>
  </si>
  <si>
    <t>Cargo</t>
  </si>
  <si>
    <t>Meses</t>
  </si>
  <si>
    <t>Valor Mensal</t>
  </si>
  <si>
    <t>Valor Total</t>
  </si>
  <si>
    <t>QUADRO RESUMO</t>
  </si>
  <si>
    <t>Submódulo 4.1 - Substituto nas Ausências Legais</t>
  </si>
  <si>
    <t>Substituto nas Ausências Legais</t>
  </si>
  <si>
    <t>Submódulo 4.2 - Substituto na Intrajornada</t>
  </si>
  <si>
    <t>Substituto na Intrajornada</t>
  </si>
  <si>
    <t>Substituto na cobertura de Intervalo para repouso ou alimentação</t>
  </si>
  <si>
    <t>Registro Eletrônico de Ponto</t>
  </si>
  <si>
    <t>QUADRO-RESUMO DO CUSTO POR EMPREGADO</t>
  </si>
  <si>
    <t>Valor Unitário</t>
  </si>
  <si>
    <t>API com Probabilidade</t>
  </si>
  <si>
    <t>Aviso Prévio Indenizado - API</t>
  </si>
  <si>
    <t>Multa do FGTS do API</t>
  </si>
  <si>
    <t>APT com Probabilidade</t>
  </si>
  <si>
    <t>Multa do FGTS do APT</t>
  </si>
  <si>
    <t xml:space="preserve">FAP </t>
  </si>
  <si>
    <t>SAT - GIIL/RAT</t>
  </si>
  <si>
    <t xml:space="preserve">RAT </t>
  </si>
  <si>
    <t>Dias</t>
  </si>
  <si>
    <t>Valor Total por Empregado</t>
  </si>
  <si>
    <t>Tributos</t>
  </si>
  <si>
    <t>Total Custo Variável (Pagamento pelo Fato Gerador)</t>
  </si>
  <si>
    <t>Adicional de Hora Extra</t>
  </si>
  <si>
    <t>Quant. h/mês</t>
  </si>
  <si>
    <t>Férias</t>
  </si>
  <si>
    <r>
      <t>13º (Décimo-terceiro) salário</t>
    </r>
    <r>
      <rPr>
        <sz val="9"/>
        <color indexed="10"/>
        <rFont val="Tahoma"/>
        <family val="2"/>
      </rPr>
      <t xml:space="preserve"> </t>
    </r>
  </si>
  <si>
    <t>Custo diário do substituto</t>
  </si>
  <si>
    <t>Vida Útil (meses)</t>
  </si>
  <si>
    <t>CUSTO TOTAL MENSAL</t>
  </si>
  <si>
    <t>EQUIPAMENTOS</t>
  </si>
  <si>
    <t>Investimento</t>
  </si>
  <si>
    <t>Nº de Mudas por posto</t>
  </si>
  <si>
    <t>Custo anual por posto</t>
  </si>
  <si>
    <t>Custo mensal por posto</t>
  </si>
  <si>
    <t>Quant. por posto</t>
  </si>
  <si>
    <t>BASE DE CÁLCULO DOS TRIBUTOS</t>
  </si>
  <si>
    <t>Mão de Obra vinculada à execução contratual (valor por posto)</t>
  </si>
  <si>
    <t>Memória de cálculo da hora extra</t>
  </si>
  <si>
    <t>Quant. de postos</t>
  </si>
  <si>
    <t>Prazo de amortização do equipamento (meses)</t>
  </si>
  <si>
    <t>Quant. de equipamentos</t>
  </si>
  <si>
    <t>VALOR TOTAL</t>
  </si>
  <si>
    <t>Valor da hora extra</t>
  </si>
  <si>
    <r>
      <t>Quantidade (</t>
    </r>
    <r>
      <rPr>
        <b/>
        <sz val="9"/>
        <color rgb="FFFF0000"/>
        <rFont val="Tahoma"/>
        <family val="2"/>
      </rPr>
      <t>Posto</t>
    </r>
    <r>
      <rPr>
        <b/>
        <sz val="9"/>
        <color theme="1"/>
        <rFont val="Tahoma"/>
        <family val="2"/>
      </rPr>
      <t xml:space="preserve">) </t>
    </r>
  </si>
  <si>
    <t>Anexo II</t>
  </si>
  <si>
    <t>Os valores destinados ao pagamento de férias, décimo terceiro salário, ausências legais e verbas rescisórias dos empregados da contratada que participarem da execução dos serviços contratados serão efetuados pela contratante à contratada somente na ocorrência do fato gerador</t>
  </si>
  <si>
    <t>Pagamento Mensal Sem Fato Gerador</t>
  </si>
  <si>
    <t>Categoria Profissional (nome do cargo)</t>
  </si>
  <si>
    <t>1.A x 30%</t>
  </si>
  <si>
    <t>Tot.1</t>
  </si>
  <si>
    <t>Tot.1 x 8,33%</t>
  </si>
  <si>
    <t>Tot.2.1</t>
  </si>
  <si>
    <t>Tot.1 x 11,11%</t>
  </si>
  <si>
    <t>(Tot.1 + Tot.2.1) x 20%</t>
  </si>
  <si>
    <t>(Tot.1 + Tot.2.1) x 2,5%</t>
  </si>
  <si>
    <t>(Tot.1 + Tot.2.1) x 1,5%</t>
  </si>
  <si>
    <t>(Tot.1 + Tot.2.1) x 1%</t>
  </si>
  <si>
    <t>(Tot.1 + Tot.2.1) x 0,6%</t>
  </si>
  <si>
    <t>(Tot.1 + Tot.2.1) x 0,2%</t>
  </si>
  <si>
    <t>(Tot.1 + Tot.2.1) x 8%</t>
  </si>
  <si>
    <t>(Tot.1 + Tot.2.1) x (RAT x FAP)</t>
  </si>
  <si>
    <t>Tot.2.2</t>
  </si>
  <si>
    <t>Tot.2.3</t>
  </si>
  <si>
    <t>Tot.2</t>
  </si>
  <si>
    <t>(VT diário x 22 d.u.) - (1.A x 6%)</t>
  </si>
  <si>
    <t>(VR/VA x 22 d.u.) - (Custo do empregado)</t>
  </si>
  <si>
    <t>(Tot.1 + Tot.2 + Tot.3) ÷ 30 dias</t>
  </si>
  <si>
    <t>Tot.3</t>
  </si>
  <si>
    <t>Tot.4.1</t>
  </si>
  <si>
    <t>Tot.4.2</t>
  </si>
  <si>
    <t>Tot.4</t>
  </si>
  <si>
    <t>Tot.5</t>
  </si>
  <si>
    <t>Tot.6</t>
  </si>
  <si>
    <t>(4.1.C x 30 dias) ÷ 12 meses</t>
  </si>
  <si>
    <t>6.A + 6.B + 6.C.1 + 6.C.2 + 6.C.3</t>
  </si>
  <si>
    <t>Tot.7</t>
  </si>
  <si>
    <t>Tot.8</t>
  </si>
  <si>
    <t>Provisão para férias, 13º salário , ausências legais, Rescisão</t>
  </si>
  <si>
    <t>Tot.2.1 + Tot.3 + Tot.4.1</t>
  </si>
  <si>
    <t>Outros (ausências legais, paternidade,  acidente de trabalho, maternidade, outros)</t>
  </si>
  <si>
    <r>
      <t xml:space="preserve">(3.B + 3.C)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</si>
  <si>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3.E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</si>
  <si>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(4.1.C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dias) ÷ 12 meses</t>
    </r>
  </si>
  <si>
    <r>
      <t xml:space="preserve">7.F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</si>
  <si>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</si>
  <si>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(7.F + 6.A + 6.B) ÷ </t>
    </r>
    <r>
      <rPr>
        <sz val="8"/>
        <color rgb="FFFF0000"/>
        <rFont val="Tahoma"/>
        <family val="2"/>
      </rPr>
      <t>XX</t>
    </r>
  </si>
  <si>
    <r>
      <t xml:space="preserve">6.C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>%</t>
    </r>
  </si>
  <si>
    <r>
      <t xml:space="preserve">(8.B + 8.C)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</si>
  <si>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r>
      <t xml:space="preserve">(8.B + 8.C + 8.D)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</si>
  <si>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7.F + 7.G</t>
  </si>
  <si>
    <t>7.A + 7.B + 7.C + 7.D + 7.E</t>
  </si>
  <si>
    <r>
      <t xml:space="preserve">1.A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(10%, 20% ou 40%)</t>
    </r>
  </si>
  <si>
    <t>2.2.H x 40%</t>
  </si>
  <si>
    <r>
      <t xml:space="preserve">{[(Tot.1+Tot.2.1+Tot.2.2)÷30 dias]x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dias}÷ </t>
    </r>
    <r>
      <rPr>
        <sz val="7.5"/>
        <color rgb="FFFF0000"/>
        <rFont val="Tahoma"/>
        <family val="2"/>
      </rPr>
      <t>XX</t>
    </r>
    <r>
      <rPr>
        <sz val="7.5"/>
        <rFont val="Tahoma"/>
        <family val="2"/>
      </rPr>
      <t xml:space="preserve"> meses</t>
    </r>
  </si>
  <si>
    <t>QUADRO-RESUMO DO PAGAMENTO MENSAL SEM FATO GERADOR E/OU OUTRAS OCORRÊNCIAS</t>
  </si>
  <si>
    <t>Encargos Previdenciários, FGTS e outras contribuições</t>
  </si>
  <si>
    <t>8.A - 8.G</t>
  </si>
  <si>
    <r>
      <t xml:space="preserve">(8.B + 8.C + 8.D + 8.E) x </t>
    </r>
    <r>
      <rPr>
        <sz val="8"/>
        <color rgb="FFFF0000"/>
        <rFont val="Tahoma"/>
        <family val="2"/>
      </rPr>
      <t>XX</t>
    </r>
    <r>
      <rPr>
        <sz val="8"/>
        <color theme="1"/>
        <rFont val="Tahoma"/>
        <family val="2"/>
      </rPr>
      <t>%</t>
    </r>
  </si>
  <si>
    <t>8.B + 8.C + 8.D + 8.E + 8.F</t>
  </si>
  <si>
    <t>Aviso Prévio - Lei nº 12.506/2011, Art. 1º</t>
  </si>
  <si>
    <t>[(1.A + 1.B) x 20%]/220h x 8h x nº dias trabalhados mês</t>
  </si>
  <si>
    <r>
      <t xml:space="preserve">{[(1.A + 1.B + 1.C) ÷ 220h]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h}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% </t>
    </r>
    <r>
      <rPr>
        <sz val="8"/>
        <color rgb="FFFF0000"/>
        <rFont val="Tahoma"/>
        <family val="2"/>
      </rPr>
      <t>(50% ou 100%)</t>
    </r>
  </si>
  <si>
    <t>(Tot.1 + Tot.2.1 + 2.2.H + Tot.2.3 - 2.3.A) ÷ 12 meses</t>
  </si>
  <si>
    <t>Tot. 2.1 x Encargos % 2.2</t>
  </si>
  <si>
    <r>
      <t xml:space="preserve">(Tot.1 + Tot.2 + Tot.3) ÷ 220h x (1+50%) x </t>
    </r>
    <r>
      <rPr>
        <sz val="8"/>
        <color rgb="FFFF0000"/>
        <rFont val="Tahoma"/>
        <family val="2"/>
      </rPr>
      <t>XX</t>
    </r>
    <r>
      <rPr>
        <sz val="8"/>
        <rFont val="Tahoma"/>
        <family val="2"/>
      </rPr>
      <t xml:space="preserve"> dias</t>
    </r>
  </si>
  <si>
    <r>
      <t>[Local]</t>
    </r>
    <r>
      <rPr>
        <sz val="9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rFont val="Tahoma"/>
        <family val="2"/>
      </rPr>
      <t>.</t>
    </r>
  </si>
  <si>
    <t>________________________________________</t>
  </si>
  <si>
    <t>[Assinatura do Representante legal]</t>
  </si>
  <si>
    <t xml:space="preserve"> Nome: ___________________</t>
  </si>
  <si>
    <t xml:space="preserve"> Cargo: ___________________</t>
  </si>
  <si>
    <t>CPF: ____________________</t>
  </si>
  <si>
    <t>RG: _____________________</t>
  </si>
  <si>
    <t>Arquiteto</t>
  </si>
  <si>
    <t>8,5 x salário mínimo - Lei 4950-A/1966</t>
  </si>
  <si>
    <t>Auxílio saúde</t>
  </si>
  <si>
    <t>Seguro de vida</t>
  </si>
  <si>
    <t>(Valor CCT) - (Custo do empregado)</t>
  </si>
  <si>
    <t>Outros (Registro de ponto)</t>
  </si>
  <si>
    <t>ARQUITETO</t>
  </si>
  <si>
    <t>Enc. de Manutenção</t>
  </si>
  <si>
    <t>Café da manhã</t>
  </si>
  <si>
    <t>lei municipal 1418/1989</t>
  </si>
  <si>
    <t>Encarregado de Manutenção, Manutenção Elétrica e Manutenção Predial</t>
  </si>
  <si>
    <t>Calça jeans</t>
  </si>
  <si>
    <t>Camisa polo</t>
  </si>
  <si>
    <t>Cinto preto</t>
  </si>
  <si>
    <t>Par de meias</t>
  </si>
  <si>
    <t>Casaco preto</t>
  </si>
  <si>
    <t>EPIs</t>
  </si>
  <si>
    <t>Óculos de proteção</t>
  </si>
  <si>
    <t>Luvas pigmentadas</t>
  </si>
  <si>
    <t>Luvas raspas</t>
  </si>
  <si>
    <t>Botas de couro</t>
  </si>
  <si>
    <t>Capacete</t>
  </si>
  <si>
    <t>Quantidade</t>
  </si>
  <si>
    <t xml:space="preserve">Cinturão para ferramentas </t>
  </si>
  <si>
    <t>Alicate</t>
  </si>
  <si>
    <t>Furadeira de impacto</t>
  </si>
  <si>
    <t>Paquímetro</t>
  </si>
  <si>
    <t>Alicate amperímetro digital</t>
  </si>
  <si>
    <t>Jogo de grampos tipo C</t>
  </si>
  <si>
    <t>Torno encanador fixo nº3</t>
  </si>
  <si>
    <t>Alicate Universal 8 pol. Isolamento 1000v</t>
  </si>
  <si>
    <t>Alicate descascador de fio com cabo automático</t>
  </si>
  <si>
    <t>Serra tico-tico</t>
  </si>
  <si>
    <t>Trena 10m com trava</t>
  </si>
  <si>
    <t>Lixadeira excêntrica roto orbital com coletor</t>
  </si>
  <si>
    <t>Termômetro infra vermelhor -50 à 150</t>
  </si>
  <si>
    <t>Jogo de limas 5 peças</t>
  </si>
  <si>
    <t>Chave inglesa 10 pol.</t>
  </si>
  <si>
    <t>Multímetro digital</t>
  </si>
  <si>
    <t>Arco de serra ajustável</t>
  </si>
  <si>
    <t>Régua de aço inox 60cm</t>
  </si>
  <si>
    <t>Bomba à vacuo</t>
  </si>
  <si>
    <t>Capacímetro</t>
  </si>
  <si>
    <t>Jogo de chave de fendas e philips</t>
  </si>
  <si>
    <t>Alicate bomba d'água 12 pol.</t>
  </si>
  <si>
    <t>Nível de alumínio com base magnética de 12 pol.</t>
  </si>
  <si>
    <t>Jogo de formões 6 peças 16~120</t>
  </si>
  <si>
    <t>Kit manifold</t>
  </si>
  <si>
    <t>Maçarico portátil automático</t>
  </si>
  <si>
    <t>Ponteiro para martelete 400mm</t>
  </si>
  <si>
    <t>Parafusadeira com acessórios</t>
  </si>
  <si>
    <t>Martelo unha 25mm</t>
  </si>
  <si>
    <t>Esquadro profissional 12 pol.</t>
  </si>
  <si>
    <t>Detector de vazamento eletrônico</t>
  </si>
  <si>
    <t>Talhadeira para martelete 400mm x 25mm</t>
  </si>
  <si>
    <t>Jogo de soquetes</t>
  </si>
  <si>
    <t>Kit serra copo</t>
  </si>
  <si>
    <t>Corta-tubos 1/2 a 2 pol.</t>
  </si>
  <si>
    <t>Pente de aletas metal</t>
  </si>
  <si>
    <t>Jogo de chave canhão 9 peças</t>
  </si>
  <si>
    <t>Alicate bico fino</t>
  </si>
  <si>
    <t>Alicate de cripagem CAT6 RJ45</t>
  </si>
  <si>
    <t>Alicate de inserção punch down</t>
  </si>
  <si>
    <t>Medidor de potência e perda relativa óptica</t>
  </si>
  <si>
    <t>Máquina copiadora de chaves</t>
  </si>
  <si>
    <t>Conjunto de chaves inglesas</t>
  </si>
  <si>
    <t>Máquina serra mármore</t>
  </si>
  <si>
    <t>Alicate de pressão</t>
  </si>
  <si>
    <t>Torques</t>
  </si>
  <si>
    <t>Rebitador</t>
  </si>
  <si>
    <t>Esmerilhadeira</t>
  </si>
  <si>
    <t>Conjunto chave allen</t>
  </si>
  <si>
    <t>1 unidade</t>
  </si>
  <si>
    <t>3 unidade</t>
  </si>
  <si>
    <t>1 unidades</t>
  </si>
  <si>
    <t xml:space="preserve">1 unidade </t>
  </si>
  <si>
    <t>1 Unidade</t>
  </si>
  <si>
    <t>1 jogo</t>
  </si>
  <si>
    <t xml:space="preserve"> 1 unidade</t>
  </si>
  <si>
    <t>1 KIT</t>
  </si>
  <si>
    <t xml:space="preserve">1 jogo </t>
  </si>
  <si>
    <t>jogo de 5 peças</t>
  </si>
  <si>
    <t>1 jogo 12 peças</t>
  </si>
  <si>
    <t>Jogo de 5 peças</t>
  </si>
  <si>
    <t>Manutenção Elétrica</t>
  </si>
  <si>
    <t>Manutenção Predial</t>
  </si>
  <si>
    <t>Item 01</t>
  </si>
  <si>
    <t>Grupo 1 (Itens 02, 03 e 04)</t>
  </si>
  <si>
    <t>Item 02 - Encarregado de Manutenção</t>
  </si>
  <si>
    <t>Item 03 - Manut. Elétrica_h extra</t>
  </si>
  <si>
    <t xml:space="preserve">Item 03 - Manut. Elétrica </t>
  </si>
  <si>
    <t>Item 04 - Manut. Predial_h extra</t>
  </si>
  <si>
    <t xml:space="preserve">Item 04 - Manut. Predial </t>
  </si>
  <si>
    <t>VALOR TOTAL GLOBAL ESTIMADO</t>
  </si>
  <si>
    <t>Prazo de depreciação do equipamento (meses)</t>
  </si>
  <si>
    <t xml:space="preserve">dias,  a contar do dia da sessão de recebimento </t>
  </si>
  <si>
    <t xml:space="preserve"> da mesma (observar o subitem 5.5 do Edital).</t>
  </si>
  <si>
    <t>Ref.: Pregão eletrônico nº 11/2022</t>
  </si>
  <si>
    <r>
      <t>OBJETO:</t>
    </r>
    <r>
      <rPr>
        <sz val="9"/>
        <rFont val="Tahoma"/>
        <family val="2"/>
      </rPr>
      <t xml:space="preserve"> Contratação de pessoa jurídica especializada na prestação de serviços continuados de Manutenção Predial nas dependências da Finep/RJ, com dedicação exclusiva de mão-de-obra e fornecimento de todos os insumos necessários à execução dos serviços, conforme especificações e quantitativos estabelecidos no Termo de Referência. </t>
    </r>
  </si>
  <si>
    <t>2 - CUSTO POR EMPREGADO</t>
  </si>
  <si>
    <t>3 - PAGAMENTO MÍNIMO MENSAL SEM FATO GERADOR E/OU OUTRAS OCORRÊNCIAS</t>
  </si>
  <si>
    <t>Preencher apenas as células em amarelo e substituir os caracteres em vermelho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</si>
</sst>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#,##0.00_ ;\-#,##0.00\ "/>
    <numFmt numFmtId="166" formatCode="#,##0_ ;\-#,##0\ "/>
  </numFmts>
  <fonts count="3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Tahoma"/>
      <family val="2"/>
    </font>
    <font>
      <b/>
      <sz val="9"/>
      <color rgb="FFFF0000"/>
      <name val="Tahoma"/>
      <family val="2"/>
    </font>
    <font>
      <sz val="9"/>
      <color indexed="10"/>
      <name val="Tahoma"/>
      <family val="2"/>
    </font>
    <font>
      <sz val="9"/>
      <color rgb="FFFF0000"/>
      <name val="Tahoma"/>
      <family val="2"/>
    </font>
    <font>
      <b/>
      <sz val="11"/>
      <color theme="1"/>
      <name val="Tahoma"/>
      <family val="2"/>
    </font>
    <font>
      <sz val="8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sz val="8"/>
      <name val="Tahoma"/>
      <family val="2"/>
    </font>
    <font>
      <sz val="8"/>
      <color rgb="FFFF0000"/>
      <name val="Arial"/>
      <family val="2"/>
    </font>
    <font>
      <sz val="8"/>
      <color rgb="FFFF0000"/>
      <name val="Tahoma"/>
      <family val="2"/>
    </font>
    <font>
      <b/>
      <sz val="8"/>
      <color rgb="FFFF0000"/>
      <name val="Tahoma"/>
      <family val="2"/>
    </font>
    <font>
      <b/>
      <sz val="9"/>
      <color theme="3"/>
      <name val="Tahoma"/>
      <family val="2"/>
    </font>
    <font>
      <sz val="9"/>
      <color indexed="8"/>
      <name val="Tahoma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name val="Tahoma"/>
      <family val="2"/>
    </font>
    <font>
      <sz val="12"/>
      <name val="Arial"/>
      <family val="2"/>
    </font>
    <font>
      <sz val="12"/>
      <color rgb="FFFF0000"/>
      <name val="Tahoma"/>
      <family val="2"/>
    </font>
    <font>
      <sz val="12"/>
      <name val="Tahoma"/>
      <family val="2"/>
    </font>
    <font>
      <b/>
      <sz val="8"/>
      <color theme="1"/>
      <name val="Tahoma"/>
      <family val="2"/>
    </font>
    <font>
      <sz val="7.5"/>
      <name val="Tahoma"/>
      <family val="2"/>
    </font>
    <font>
      <sz val="7.5"/>
      <color rgb="FFFF0000"/>
      <name val="Tahoma"/>
      <family val="2"/>
    </font>
    <font>
      <b/>
      <sz val="10"/>
      <color rgb="FFFF0000"/>
      <name val="Tahoma"/>
      <family val="2"/>
    </font>
    <font>
      <sz val="9"/>
      <color theme="3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14">
    <xf numFmtId="0" fontId="0" fillId="0" borderId="0"/>
    <xf numFmtId="164" fontId="3" fillId="0" borderId="0" applyFill="0" applyBorder="0" applyAlignment="0" applyProtection="0"/>
    <xf numFmtId="9" fontId="3" fillId="0" borderId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85">
    <xf numFmtId="0" fontId="0" fillId="0" borderId="0" xfId="0"/>
    <xf numFmtId="0" fontId="17" fillId="0" borderId="0" xfId="0" applyFont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8" fontId="17" fillId="0" borderId="1" xfId="0" applyNumberFormat="1" applyFont="1" applyBorder="1" applyAlignment="1">
      <alignment vertical="center" wrapText="1"/>
    </xf>
    <xf numFmtId="8" fontId="17" fillId="5" borderId="1" xfId="0" applyNumberFormat="1" applyFont="1" applyFill="1" applyBorder="1" applyAlignment="1">
      <alignment horizontal="right" vertical="center" wrapText="1"/>
    </xf>
    <xf numFmtId="8" fontId="18" fillId="0" borderId="1" xfId="0" applyNumberFormat="1" applyFont="1" applyBorder="1" applyAlignment="1">
      <alignment vertical="center"/>
    </xf>
    <xf numFmtId="8" fontId="9" fillId="0" borderId="1" xfId="0" applyNumberFormat="1" applyFont="1" applyFill="1" applyBorder="1" applyAlignment="1">
      <alignment vertical="center"/>
    </xf>
    <xf numFmtId="0" fontId="24" fillId="6" borderId="42" xfId="0" applyFont="1" applyFill="1" applyBorder="1" applyAlignment="1">
      <alignment horizontal="center" vertical="center"/>
    </xf>
    <xf numFmtId="165" fontId="17" fillId="5" borderId="1" xfId="0" applyNumberFormat="1" applyFont="1" applyFill="1" applyBorder="1" applyAlignment="1">
      <alignment vertical="center"/>
    </xf>
    <xf numFmtId="10" fontId="17" fillId="0" borderId="1" xfId="2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21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43" fontId="10" fillId="0" borderId="1" xfId="3" applyFont="1" applyBorder="1" applyAlignment="1">
      <alignment vertical="center"/>
    </xf>
    <xf numFmtId="43" fontId="9" fillId="3" borderId="1" xfId="3" applyFont="1" applyFill="1" applyBorder="1" applyAlignment="1">
      <alignment vertical="center"/>
    </xf>
    <xf numFmtId="43" fontId="9" fillId="0" borderId="0" xfId="3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0" fontId="10" fillId="0" borderId="1" xfId="0" applyNumberFormat="1" applyFont="1" applyFill="1" applyBorder="1" applyAlignment="1">
      <alignment horizontal="center" vertical="center"/>
    </xf>
    <xf numFmtId="43" fontId="10" fillId="0" borderId="1" xfId="3" applyFont="1" applyFill="1" applyBorder="1" applyAlignment="1">
      <alignment vertical="center"/>
    </xf>
    <xf numFmtId="10" fontId="9" fillId="3" borderId="1" xfId="0" applyNumberFormat="1" applyFont="1" applyFill="1" applyBorder="1" applyAlignment="1">
      <alignment horizontal="center" vertical="center"/>
    </xf>
    <xf numFmtId="10" fontId="9" fillId="3" borderId="36" xfId="0" applyNumberFormat="1" applyFont="1" applyFill="1" applyBorder="1" applyAlignment="1">
      <alignment horizontal="center" vertical="center"/>
    </xf>
    <xf numFmtId="43" fontId="9" fillId="3" borderId="36" xfId="3" applyFont="1" applyFill="1" applyBorder="1" applyAlignment="1">
      <alignment vertical="center"/>
    </xf>
    <xf numFmtId="43" fontId="9" fillId="0" borderId="1" xfId="3" applyFont="1" applyFill="1" applyBorder="1" applyAlignment="1">
      <alignment vertical="center"/>
    </xf>
    <xf numFmtId="10" fontId="14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 wrapText="1"/>
    </xf>
    <xf numFmtId="43" fontId="10" fillId="0" borderId="1" xfId="3" applyFont="1" applyFill="1" applyBorder="1" applyAlignment="1">
      <alignment horizontal="center" vertical="center"/>
    </xf>
    <xf numFmtId="2" fontId="9" fillId="0" borderId="0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4" fontId="9" fillId="3" borderId="1" xfId="1" applyFont="1" applyFill="1" applyBorder="1" applyAlignment="1">
      <alignment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5" xfId="0" applyFont="1" applyBorder="1" applyAlignment="1">
      <alignment vertical="center"/>
    </xf>
    <xf numFmtId="2" fontId="7" fillId="0" borderId="12" xfId="0" applyNumberFormat="1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2" fontId="7" fillId="0" borderId="13" xfId="0" applyNumberFormat="1" applyFont="1" applyFill="1" applyBorder="1" applyAlignment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40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2" fontId="7" fillId="0" borderId="14" xfId="0" applyNumberFormat="1" applyFont="1" applyFill="1" applyBorder="1" applyAlignment="1">
      <alignment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2" fontId="8" fillId="0" borderId="10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left" vertical="center"/>
    </xf>
    <xf numFmtId="0" fontId="7" fillId="0" borderId="41" xfId="0" applyFont="1" applyBorder="1" applyAlignment="1">
      <alignment horizontal="left" vertical="center"/>
    </xf>
    <xf numFmtId="0" fontId="7" fillId="0" borderId="33" xfId="0" applyFont="1" applyBorder="1" applyAlignment="1">
      <alignment horizontal="left" vertical="center"/>
    </xf>
    <xf numFmtId="2" fontId="7" fillId="0" borderId="5" xfId="0" applyNumberFormat="1" applyFont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2" fontId="7" fillId="0" borderId="2" xfId="0" applyNumberFormat="1" applyFont="1" applyFill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27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vertical="center"/>
    </xf>
    <xf numFmtId="43" fontId="10" fillId="0" borderId="1" xfId="0" applyNumberFormat="1" applyFont="1" applyFill="1" applyBorder="1" applyAlignment="1">
      <alignment vertical="center"/>
    </xf>
    <xf numFmtId="9" fontId="10" fillId="7" borderId="7" xfId="0" applyNumberFormat="1" applyFont="1" applyFill="1" applyBorder="1" applyAlignment="1">
      <alignment horizontal="center" vertical="center"/>
    </xf>
    <xf numFmtId="0" fontId="10" fillId="7" borderId="7" xfId="0" applyFont="1" applyFill="1" applyBorder="1" applyAlignment="1">
      <alignment horizontal="center" vertical="center"/>
    </xf>
    <xf numFmtId="43" fontId="10" fillId="7" borderId="1" xfId="3" applyFont="1" applyFill="1" applyBorder="1" applyAlignment="1">
      <alignment horizontal="right" vertical="center"/>
    </xf>
    <xf numFmtId="10" fontId="10" fillId="7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/>
    </xf>
    <xf numFmtId="9" fontId="10" fillId="3" borderId="1" xfId="0" applyNumberFormat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4" fontId="18" fillId="4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center" vertical="center" wrapText="1"/>
    </xf>
    <xf numFmtId="0" fontId="18" fillId="5" borderId="0" xfId="0" applyFont="1" applyFill="1" applyAlignment="1">
      <alignment horizontal="center" vertical="center" wrapText="1"/>
    </xf>
    <xf numFmtId="4" fontId="17" fillId="5" borderId="1" xfId="0" applyNumberFormat="1" applyFont="1" applyFill="1" applyBorder="1" applyAlignment="1">
      <alignment horizontal="center" vertical="center" wrapText="1"/>
    </xf>
    <xf numFmtId="3" fontId="17" fillId="5" borderId="1" xfId="0" applyNumberFormat="1" applyFont="1" applyFill="1" applyBorder="1" applyAlignment="1">
      <alignment horizontal="center" vertical="center" wrapText="1"/>
    </xf>
    <xf numFmtId="0" fontId="17" fillId="5" borderId="0" xfId="0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horizontal="center" vertical="center" wrapText="1"/>
    </xf>
    <xf numFmtId="4" fontId="18" fillId="5" borderId="0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left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3" fontId="17" fillId="7" borderId="1" xfId="0" applyNumberFormat="1" applyFont="1" applyFill="1" applyBorder="1" applyAlignment="1">
      <alignment horizontal="center" vertical="center" wrapText="1"/>
    </xf>
    <xf numFmtId="10" fontId="10" fillId="7" borderId="1" xfId="0" applyNumberFormat="1" applyFont="1" applyFill="1" applyBorder="1" applyAlignment="1">
      <alignment horizontal="right" vertical="center"/>
    </xf>
    <xf numFmtId="10" fontId="10" fillId="7" borderId="1" xfId="2" applyNumberFormat="1" applyFont="1" applyFill="1" applyBorder="1" applyAlignment="1">
      <alignment horizontal="right" vertical="center"/>
    </xf>
    <xf numFmtId="0" fontId="10" fillId="3" borderId="1" xfId="2" applyNumberFormat="1" applyFont="1" applyFill="1" applyBorder="1" applyAlignment="1">
      <alignment horizontal="right" vertical="center"/>
    </xf>
    <xf numFmtId="43" fontId="10" fillId="0" borderId="1" xfId="3" applyFont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166" fontId="17" fillId="0" borderId="1" xfId="3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8" fontId="10" fillId="0" borderId="0" xfId="0" applyNumberFormat="1" applyFont="1" applyAlignment="1">
      <alignment vertical="center"/>
    </xf>
    <xf numFmtId="8" fontId="9" fillId="2" borderId="1" xfId="0" applyNumberFormat="1" applyFont="1" applyFill="1" applyBorder="1" applyAlignment="1">
      <alignment vertical="center"/>
    </xf>
    <xf numFmtId="2" fontId="10" fillId="7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6" fillId="5" borderId="0" xfId="0" applyFont="1" applyFill="1" applyAlignment="1">
      <alignment vertical="center"/>
    </xf>
    <xf numFmtId="0" fontId="21" fillId="5" borderId="0" xfId="0" applyFont="1" applyFill="1" applyAlignment="1">
      <alignment vertical="center"/>
    </xf>
    <xf numFmtId="0" fontId="19" fillId="5" borderId="0" xfId="0" applyFont="1" applyFill="1" applyAlignment="1">
      <alignment vertical="center"/>
    </xf>
    <xf numFmtId="0" fontId="5" fillId="5" borderId="0" xfId="0" applyFont="1" applyFill="1" applyAlignment="1">
      <alignment vertical="center"/>
    </xf>
    <xf numFmtId="0" fontId="22" fillId="5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11" fillId="5" borderId="0" xfId="0" applyFont="1" applyFill="1" applyBorder="1" applyAlignment="1">
      <alignment horizontal="left" vertical="center"/>
    </xf>
    <xf numFmtId="0" fontId="10" fillId="5" borderId="23" xfId="0" applyFont="1" applyFill="1" applyBorder="1" applyAlignment="1">
      <alignment vertical="center"/>
    </xf>
    <xf numFmtId="0" fontId="10" fillId="5" borderId="9" xfId="0" applyFont="1" applyFill="1" applyBorder="1" applyAlignment="1">
      <alignment vertical="center"/>
    </xf>
    <xf numFmtId="0" fontId="10" fillId="5" borderId="24" xfId="0" applyFont="1" applyFill="1" applyBorder="1" applyAlignment="1">
      <alignment vertical="center"/>
    </xf>
    <xf numFmtId="43" fontId="10" fillId="5" borderId="1" xfId="3" applyFont="1" applyFill="1" applyBorder="1" applyAlignment="1">
      <alignment vertical="center"/>
    </xf>
    <xf numFmtId="0" fontId="30" fillId="5" borderId="0" xfId="0" applyFont="1" applyFill="1" applyAlignment="1">
      <alignment vertical="center"/>
    </xf>
    <xf numFmtId="0" fontId="31" fillId="5" borderId="0" xfId="0" applyFont="1" applyFill="1" applyAlignment="1">
      <alignment vertical="center"/>
    </xf>
    <xf numFmtId="0" fontId="29" fillId="5" borderId="0" xfId="0" applyFont="1" applyFill="1" applyAlignment="1">
      <alignment vertical="center"/>
    </xf>
    <xf numFmtId="0" fontId="21" fillId="5" borderId="0" xfId="0" applyFont="1" applyFill="1" applyAlignment="1">
      <alignment horizontal="left" vertical="center"/>
    </xf>
    <xf numFmtId="2" fontId="19" fillId="5" borderId="0" xfId="0" applyNumberFormat="1" applyFont="1" applyFill="1" applyAlignment="1">
      <alignment vertical="center"/>
    </xf>
    <xf numFmtId="10" fontId="21" fillId="5" borderId="0" xfId="0" applyNumberFormat="1" applyFont="1" applyFill="1" applyAlignment="1">
      <alignment vertical="center"/>
    </xf>
    <xf numFmtId="43" fontId="9" fillId="5" borderId="0" xfId="3" applyFont="1" applyFill="1" applyBorder="1" applyAlignment="1">
      <alignment vertical="center"/>
    </xf>
    <xf numFmtId="0" fontId="21" fillId="5" borderId="0" xfId="0" applyFont="1" applyFill="1" applyBorder="1" applyAlignment="1">
      <alignment vertical="center"/>
    </xf>
    <xf numFmtId="0" fontId="22" fillId="5" borderId="0" xfId="0" applyFont="1" applyFill="1" applyBorder="1" applyAlignment="1">
      <alignment vertical="center"/>
    </xf>
    <xf numFmtId="2" fontId="22" fillId="5" borderId="0" xfId="0" applyNumberFormat="1" applyFont="1" applyFill="1" applyAlignment="1">
      <alignment vertical="center"/>
    </xf>
    <xf numFmtId="43" fontId="21" fillId="5" borderId="0" xfId="0" applyNumberFormat="1" applyFont="1" applyFill="1" applyBorder="1" applyAlignment="1">
      <alignment vertical="center"/>
    </xf>
    <xf numFmtId="43" fontId="5" fillId="5" borderId="0" xfId="0" applyNumberFormat="1" applyFont="1" applyFill="1" applyAlignment="1">
      <alignment vertical="center"/>
    </xf>
    <xf numFmtId="0" fontId="3" fillId="5" borderId="0" xfId="0" applyFont="1" applyFill="1" applyAlignment="1">
      <alignment vertical="center"/>
    </xf>
    <xf numFmtId="2" fontId="21" fillId="5" borderId="0" xfId="0" applyNumberFormat="1" applyFont="1" applyFill="1" applyBorder="1" applyAlignment="1">
      <alignment vertical="center"/>
    </xf>
    <xf numFmtId="43" fontId="5" fillId="5" borderId="0" xfId="3" applyFont="1" applyFill="1" applyAlignment="1">
      <alignment vertical="center"/>
    </xf>
    <xf numFmtId="9" fontId="5" fillId="5" borderId="0" xfId="2" applyFont="1" applyFill="1" applyAlignment="1">
      <alignment vertical="center"/>
    </xf>
    <xf numFmtId="10" fontId="5" fillId="5" borderId="0" xfId="2" applyNumberFormat="1" applyFont="1" applyFill="1" applyAlignment="1">
      <alignment vertical="center"/>
    </xf>
    <xf numFmtId="0" fontId="19" fillId="5" borderId="37" xfId="0" applyFont="1" applyFill="1" applyBorder="1" applyAlignment="1">
      <alignment horizontal="left" vertical="center" wrapText="1"/>
    </xf>
    <xf numFmtId="0" fontId="19" fillId="5" borderId="0" xfId="0" applyFont="1" applyFill="1" applyBorder="1" applyAlignment="1">
      <alignment horizontal="left" vertical="center" wrapText="1"/>
    </xf>
    <xf numFmtId="0" fontId="19" fillId="5" borderId="43" xfId="0" applyFont="1" applyFill="1" applyBorder="1" applyAlignment="1">
      <alignment horizontal="left" vertical="center" wrapText="1"/>
    </xf>
    <xf numFmtId="2" fontId="5" fillId="5" borderId="0" xfId="0" applyNumberFormat="1" applyFont="1" applyFill="1" applyAlignment="1">
      <alignment vertical="center"/>
    </xf>
    <xf numFmtId="10" fontId="9" fillId="5" borderId="0" xfId="0" applyNumberFormat="1" applyFont="1" applyFill="1" applyBorder="1" applyAlignment="1">
      <alignment horizontal="center" vertical="center"/>
    </xf>
    <xf numFmtId="2" fontId="9" fillId="5" borderId="0" xfId="0" applyNumberFormat="1" applyFont="1" applyFill="1" applyBorder="1" applyAlignment="1">
      <alignment vertical="center"/>
    </xf>
    <xf numFmtId="164" fontId="22" fillId="5" borderId="0" xfId="1" applyFont="1" applyFill="1" applyAlignment="1">
      <alignment vertical="center"/>
    </xf>
    <xf numFmtId="2" fontId="21" fillId="5" borderId="0" xfId="0" applyNumberFormat="1" applyFont="1" applyFill="1" applyAlignment="1">
      <alignment vertical="center"/>
    </xf>
    <xf numFmtId="43" fontId="21" fillId="5" borderId="0" xfId="3" applyFont="1" applyFill="1" applyAlignment="1">
      <alignment vertical="center"/>
    </xf>
    <xf numFmtId="0" fontId="20" fillId="5" borderId="0" xfId="0" applyFont="1" applyFill="1" applyAlignment="1">
      <alignment vertical="center"/>
    </xf>
    <xf numFmtId="43" fontId="20" fillId="5" borderId="0" xfId="0" applyNumberFormat="1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17" fillId="7" borderId="1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2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9" fillId="0" borderId="23" xfId="0" applyFont="1" applyFill="1" applyBorder="1" applyAlignment="1">
      <alignment vertical="center"/>
    </xf>
    <xf numFmtId="0" fontId="10" fillId="0" borderId="23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5" borderId="1" xfId="0" applyFont="1" applyFill="1" applyBorder="1" applyAlignment="1">
      <alignment vertical="center" wrapText="1"/>
    </xf>
    <xf numFmtId="43" fontId="9" fillId="0" borderId="1" xfId="3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/>
    </xf>
    <xf numFmtId="0" fontId="10" fillId="0" borderId="9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center"/>
    </xf>
    <xf numFmtId="0" fontId="12" fillId="5" borderId="0" xfId="0" applyFont="1" applyFill="1" applyBorder="1" applyAlignment="1">
      <alignment horizontal="center" vertical="center"/>
    </xf>
    <xf numFmtId="43" fontId="6" fillId="5" borderId="0" xfId="0" quotePrefix="1" applyNumberFormat="1" applyFont="1" applyFill="1" applyAlignment="1">
      <alignment vertical="center"/>
    </xf>
    <xf numFmtId="0" fontId="20" fillId="5" borderId="0" xfId="0" quotePrefix="1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0" fillId="5" borderId="0" xfId="0" quotePrefix="1" applyFont="1" applyFill="1" applyAlignment="1">
      <alignment vertical="center"/>
    </xf>
    <xf numFmtId="43" fontId="10" fillId="0" borderId="0" xfId="3" applyFont="1" applyBorder="1" applyAlignment="1">
      <alignment vertical="center"/>
    </xf>
    <xf numFmtId="43" fontId="10" fillId="5" borderId="0" xfId="3" applyFont="1" applyFill="1" applyBorder="1" applyAlignment="1">
      <alignment vertical="center"/>
    </xf>
    <xf numFmtId="43" fontId="10" fillId="0" borderId="0" xfId="3" applyFont="1" applyBorder="1" applyAlignment="1">
      <alignment horizontal="center" vertical="center"/>
    </xf>
    <xf numFmtId="43" fontId="10" fillId="0" borderId="0" xfId="0" applyNumberFormat="1" applyFont="1" applyFill="1" applyBorder="1" applyAlignment="1">
      <alignment vertical="center"/>
    </xf>
    <xf numFmtId="43" fontId="10" fillId="0" borderId="0" xfId="3" applyFont="1" applyFill="1" applyBorder="1" applyAlignment="1">
      <alignment vertical="center"/>
    </xf>
    <xf numFmtId="0" fontId="9" fillId="5" borderId="0" xfId="0" applyFont="1" applyFill="1" applyBorder="1" applyAlignment="1">
      <alignment horizontal="center" vertical="center" wrapText="1"/>
    </xf>
    <xf numFmtId="43" fontId="9" fillId="0" borderId="0" xfId="3" applyFont="1" applyFill="1" applyBorder="1" applyAlignment="1">
      <alignment horizontal="center" vertical="center"/>
    </xf>
    <xf numFmtId="43" fontId="10" fillId="0" borderId="0" xfId="3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165" fontId="17" fillId="5" borderId="0" xfId="0" applyNumberFormat="1" applyFont="1" applyFill="1" applyBorder="1" applyAlignment="1">
      <alignment vertical="center"/>
    </xf>
    <xf numFmtId="165" fontId="14" fillId="0" borderId="0" xfId="1" applyNumberFormat="1" applyFont="1" applyBorder="1" applyAlignment="1">
      <alignment horizontal="right" vertical="center" wrapText="1"/>
    </xf>
    <xf numFmtId="0" fontId="14" fillId="0" borderId="0" xfId="0" applyFont="1" applyBorder="1" applyAlignment="1">
      <alignment horizontal="left" vertical="center" wrapText="1"/>
    </xf>
    <xf numFmtId="0" fontId="0" fillId="0" borderId="0" xfId="0" applyFont="1" applyFill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165" fontId="17" fillId="0" borderId="1" xfId="0" applyNumberFormat="1" applyFont="1" applyFill="1" applyBorder="1" applyAlignment="1">
      <alignment vertical="center"/>
    </xf>
    <xf numFmtId="165" fontId="17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43" fontId="10" fillId="0" borderId="0" xfId="3" applyFont="1" applyFill="1" applyBorder="1" applyAlignment="1">
      <alignment horizontal="right" vertical="center"/>
    </xf>
    <xf numFmtId="164" fontId="9" fillId="0" borderId="0" xfId="1" applyFont="1" applyFill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18" fillId="0" borderId="0" xfId="0" applyNumberFormat="1" applyFont="1" applyFill="1" applyBorder="1" applyAlignment="1">
      <alignment vertical="center"/>
    </xf>
    <xf numFmtId="43" fontId="9" fillId="0" borderId="0" xfId="0" applyNumberFormat="1" applyFont="1" applyFill="1" applyBorder="1" applyAlignment="1">
      <alignment horizontal="center" vertical="center"/>
    </xf>
    <xf numFmtId="43" fontId="14" fillId="5" borderId="0" xfId="3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23" fillId="5" borderId="0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 vertical="center" wrapText="1"/>
    </xf>
    <xf numFmtId="4" fontId="1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10" fontId="10" fillId="0" borderId="1" xfId="2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/>
    </xf>
    <xf numFmtId="43" fontId="17" fillId="0" borderId="1" xfId="3" applyFont="1" applyFill="1" applyBorder="1" applyAlignment="1">
      <alignment horizontal="center" vertical="center" wrapText="1"/>
    </xf>
    <xf numFmtId="3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9" fontId="10" fillId="0" borderId="1" xfId="2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8" fontId="9" fillId="0" borderId="0" xfId="0" applyNumberFormat="1" applyFont="1" applyFill="1" applyBorder="1" applyAlignment="1">
      <alignment vertical="center"/>
    </xf>
    <xf numFmtId="8" fontId="17" fillId="0" borderId="24" xfId="0" applyNumberFormat="1" applyFont="1" applyBorder="1" applyAlignment="1">
      <alignment vertical="center" wrapText="1"/>
    </xf>
    <xf numFmtId="8" fontId="9" fillId="9" borderId="1" xfId="0" applyNumberFormat="1" applyFont="1" applyFill="1" applyBorder="1" applyAlignment="1">
      <alignment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23" fillId="0" borderId="1" xfId="0" applyFont="1" applyBorder="1" applyAlignment="1">
      <alignment vertical="center" wrapText="1"/>
    </xf>
    <xf numFmtId="165" fontId="23" fillId="0" borderId="1" xfId="1" applyNumberFormat="1" applyFont="1" applyBorder="1" applyAlignment="1">
      <alignment horizontal="right" vertical="center" wrapText="1"/>
    </xf>
    <xf numFmtId="0" fontId="18" fillId="2" borderId="36" xfId="0" applyFont="1" applyFill="1" applyBorder="1" applyAlignment="1">
      <alignment horizontal="center" vertical="center"/>
    </xf>
    <xf numFmtId="165" fontId="18" fillId="2" borderId="36" xfId="0" applyNumberFormat="1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8" fillId="3" borderId="20" xfId="0" applyFont="1" applyFill="1" applyBorder="1" applyAlignment="1">
      <alignment horizontal="center" vertical="center"/>
    </xf>
    <xf numFmtId="0" fontId="28" fillId="3" borderId="18" xfId="0" applyFont="1" applyFill="1" applyBorder="1" applyAlignment="1">
      <alignment horizontal="center" vertical="center"/>
    </xf>
    <xf numFmtId="0" fontId="28" fillId="3" borderId="11" xfId="0" applyFont="1" applyFill="1" applyBorder="1" applyAlignment="1">
      <alignment horizontal="center" vertical="center"/>
    </xf>
    <xf numFmtId="0" fontId="6" fillId="5" borderId="0" xfId="0" quotePrefix="1" applyFont="1" applyFill="1" applyBorder="1" applyAlignment="1">
      <alignment horizontal="center" vertical="center"/>
    </xf>
    <xf numFmtId="0" fontId="16" fillId="0" borderId="23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5" borderId="23" xfId="0" applyFont="1" applyFill="1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16" fillId="5" borderId="24" xfId="0" applyFont="1" applyFill="1" applyBorder="1" applyAlignment="1">
      <alignment horizontal="left" vertical="center"/>
    </xf>
    <xf numFmtId="0" fontId="32" fillId="2" borderId="34" xfId="0" applyFont="1" applyFill="1" applyBorder="1" applyAlignment="1">
      <alignment horizontal="left" vertical="center"/>
    </xf>
    <xf numFmtId="0" fontId="32" fillId="2" borderId="35" xfId="0" applyFont="1" applyFill="1" applyBorder="1" applyAlignment="1">
      <alignment horizontal="left" vertical="center"/>
    </xf>
    <xf numFmtId="0" fontId="32" fillId="2" borderId="38" xfId="0" applyFont="1" applyFill="1" applyBorder="1" applyAlignment="1">
      <alignment horizontal="left" vertical="center"/>
    </xf>
    <xf numFmtId="0" fontId="36" fillId="0" borderId="45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6" fillId="0" borderId="23" xfId="0" applyFont="1" applyFill="1" applyBorder="1" applyAlignment="1">
      <alignment horizontal="left" vertical="center"/>
    </xf>
    <xf numFmtId="0" fontId="16" fillId="0" borderId="9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left" vertical="center"/>
    </xf>
    <xf numFmtId="0" fontId="25" fillId="3" borderId="23" xfId="0" applyFont="1" applyFill="1" applyBorder="1" applyAlignment="1">
      <alignment horizontal="left" vertical="center"/>
    </xf>
    <xf numFmtId="0" fontId="25" fillId="3" borderId="9" xfId="0" applyFont="1" applyFill="1" applyBorder="1" applyAlignment="1">
      <alignment horizontal="left" vertical="center"/>
    </xf>
    <xf numFmtId="0" fontId="25" fillId="3" borderId="24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24" xfId="0" applyFont="1" applyFill="1" applyBorder="1" applyAlignment="1">
      <alignment horizontal="left" vertical="center"/>
    </xf>
    <xf numFmtId="0" fontId="25" fillId="0" borderId="23" xfId="0" applyFont="1" applyFill="1" applyBorder="1" applyAlignment="1">
      <alignment horizontal="left" vertical="center"/>
    </xf>
    <xf numFmtId="0" fontId="25" fillId="0" borderId="9" xfId="0" applyFont="1" applyFill="1" applyBorder="1" applyAlignment="1">
      <alignment horizontal="left" vertical="center"/>
    </xf>
    <xf numFmtId="0" fontId="25" fillId="0" borderId="24" xfId="0" applyFont="1" applyFill="1" applyBorder="1" applyAlignment="1">
      <alignment horizontal="left" vertical="center"/>
    </xf>
    <xf numFmtId="0" fontId="23" fillId="5" borderId="0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/>
    </xf>
    <xf numFmtId="0" fontId="9" fillId="3" borderId="23" xfId="0" applyFont="1" applyFill="1" applyBorder="1" applyAlignment="1">
      <alignment horizontal="left" vertical="center"/>
    </xf>
    <xf numFmtId="0" fontId="9" fillId="3" borderId="9" xfId="0" applyFont="1" applyFill="1" applyBorder="1" applyAlignment="1">
      <alignment horizontal="left" vertical="center"/>
    </xf>
    <xf numFmtId="0" fontId="9" fillId="3" borderId="24" xfId="0" applyFont="1" applyFill="1" applyBorder="1" applyAlignment="1">
      <alignment horizontal="left" vertical="center"/>
    </xf>
    <xf numFmtId="0" fontId="9" fillId="5" borderId="21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33" fillId="0" borderId="23" xfId="0" applyFont="1" applyFill="1" applyBorder="1" applyAlignment="1">
      <alignment horizontal="left" vertical="center"/>
    </xf>
    <xf numFmtId="0" fontId="33" fillId="0" borderId="24" xfId="0" applyFont="1" applyFill="1" applyBorder="1" applyAlignment="1">
      <alignment horizontal="left" vertical="center"/>
    </xf>
    <xf numFmtId="0" fontId="9" fillId="5" borderId="35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center"/>
    </xf>
    <xf numFmtId="0" fontId="17" fillId="7" borderId="1" xfId="0" applyFont="1" applyFill="1" applyBorder="1" applyAlignment="1">
      <alignment horizontal="left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left" vertical="center"/>
    </xf>
    <xf numFmtId="0" fontId="10" fillId="0" borderId="2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10" fontId="10" fillId="0" borderId="38" xfId="0" applyNumberFormat="1" applyFont="1" applyFill="1" applyBorder="1" applyAlignment="1">
      <alignment horizontal="center" vertical="center"/>
    </xf>
    <xf numFmtId="10" fontId="10" fillId="0" borderId="39" xfId="0" applyNumberFormat="1" applyFont="1" applyFill="1" applyBorder="1" applyAlignment="1">
      <alignment horizontal="center" vertical="center"/>
    </xf>
    <xf numFmtId="43" fontId="10" fillId="0" borderId="36" xfId="3" applyFont="1" applyFill="1" applyBorder="1" applyAlignment="1">
      <alignment horizontal="center" vertical="center"/>
    </xf>
    <xf numFmtId="43" fontId="10" fillId="0" borderId="7" xfId="3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35" fillId="4" borderId="1" xfId="0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8" borderId="23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0" fontId="18" fillId="8" borderId="24" xfId="0" applyFont="1" applyFill="1" applyBorder="1" applyAlignment="1">
      <alignment horizontal="center" vertic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</cellXfs>
  <cellStyles count="14">
    <cellStyle name="Moeda" xfId="1" builtinId="4"/>
    <cellStyle name="Moeda 2" xfId="6"/>
    <cellStyle name="Moeda 3" xfId="11"/>
    <cellStyle name="Normal" xfId="0" builtinId="0"/>
    <cellStyle name="Normal 2" xfId="5"/>
    <cellStyle name="Normal 3" xfId="4"/>
    <cellStyle name="Normal 4" xfId="12"/>
    <cellStyle name="Porcentagem" xfId="2" builtinId="5"/>
    <cellStyle name="Porcentagem 2" xfId="7"/>
    <cellStyle name="Porcentagem 3" xfId="10"/>
    <cellStyle name="Vírgula" xfId="3" builtinId="3"/>
    <cellStyle name="Vírgula 2" xfId="8"/>
    <cellStyle name="Vírgula 3" xfId="9"/>
    <cellStyle name="Vírgula 4" xfId="13"/>
  </cellStyles>
  <dxfs count="0"/>
  <tableStyles count="0" defaultTableStyle="TableStyleMedium9" defaultPivotStyle="PivotStyleLight16"/>
  <colors>
    <mruColors>
      <color rgb="FFFFFF99"/>
      <color rgb="FF00CC00"/>
      <color rgb="FF33C3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B1:H37"/>
  <sheetViews>
    <sheetView showGridLines="0" zoomScaleNormal="100" workbookViewId="0">
      <selection activeCell="I9" sqref="I9"/>
    </sheetView>
  </sheetViews>
  <sheetFormatPr defaultRowHeight="22.5" customHeight="1" x14ac:dyDescent="0.2"/>
  <cols>
    <col min="1" max="1" width="3.28515625" style="111" customWidth="1"/>
    <col min="2" max="2" width="20.85546875" style="111" customWidth="1"/>
    <col min="3" max="4" width="13.28515625" style="111" customWidth="1"/>
    <col min="5" max="5" width="14.28515625" style="111" customWidth="1"/>
    <col min="6" max="6" width="14.42578125" style="111" bestFit="1" customWidth="1"/>
    <col min="7" max="7" width="16.140625" style="111" bestFit="1" customWidth="1"/>
    <col min="8" max="8" width="14.7109375" style="111" bestFit="1" customWidth="1"/>
    <col min="9" max="16384" width="9.140625" style="111"/>
  </cols>
  <sheetData>
    <row r="1" spans="2:8" ht="22.5" customHeight="1" x14ac:dyDescent="0.2">
      <c r="B1" s="278" t="s">
        <v>152</v>
      </c>
      <c r="C1" s="278"/>
      <c r="D1" s="278"/>
      <c r="E1" s="278"/>
      <c r="F1" s="278"/>
      <c r="G1" s="278"/>
    </row>
    <row r="3" spans="2:8" ht="22.5" customHeight="1" x14ac:dyDescent="0.2">
      <c r="B3" s="115" t="s">
        <v>317</v>
      </c>
    </row>
    <row r="4" spans="2:8" ht="22.5" customHeight="1" x14ac:dyDescent="0.2">
      <c r="B4" s="282" t="s">
        <v>318</v>
      </c>
      <c r="C4" s="282"/>
      <c r="D4" s="282"/>
      <c r="E4" s="282"/>
      <c r="F4" s="282"/>
      <c r="G4" s="282"/>
      <c r="H4" s="112"/>
    </row>
    <row r="5" spans="2:8" ht="22.5" customHeight="1" x14ac:dyDescent="0.2">
      <c r="B5" s="282"/>
      <c r="C5" s="282"/>
      <c r="D5" s="282"/>
      <c r="E5" s="282"/>
      <c r="F5" s="282"/>
      <c r="G5" s="282"/>
      <c r="H5" s="112"/>
    </row>
    <row r="6" spans="2:8" ht="22.5" customHeight="1" thickBot="1" x14ac:dyDescent="0.25"/>
    <row r="7" spans="2:8" ht="22.5" customHeight="1" thickBot="1" x14ac:dyDescent="0.25">
      <c r="B7" s="285" t="s">
        <v>109</v>
      </c>
      <c r="C7" s="286"/>
      <c r="D7" s="286"/>
      <c r="E7" s="286"/>
      <c r="F7" s="286"/>
      <c r="G7" s="287"/>
    </row>
    <row r="8" spans="2:8" ht="22.5" customHeight="1" x14ac:dyDescent="0.2">
      <c r="B8" s="267"/>
      <c r="C8" s="267"/>
      <c r="D8" s="267"/>
      <c r="E8" s="267"/>
      <c r="F8" s="267"/>
      <c r="G8" s="267"/>
    </row>
    <row r="9" spans="2:8" ht="22.5" customHeight="1" x14ac:dyDescent="0.2">
      <c r="B9" s="279" t="s">
        <v>306</v>
      </c>
      <c r="C9" s="279"/>
      <c r="D9" s="279"/>
      <c r="E9" s="279"/>
      <c r="F9" s="279"/>
      <c r="G9" s="279"/>
    </row>
    <row r="10" spans="2:8" ht="22.5" customHeight="1" x14ac:dyDescent="0.2">
      <c r="B10" s="90" t="s">
        <v>105</v>
      </c>
      <c r="C10" s="90" t="s">
        <v>151</v>
      </c>
      <c r="D10" s="90" t="s">
        <v>106</v>
      </c>
      <c r="E10" s="90" t="s">
        <v>117</v>
      </c>
      <c r="F10" s="90" t="s">
        <v>107</v>
      </c>
      <c r="G10" s="90" t="s">
        <v>108</v>
      </c>
    </row>
    <row r="11" spans="2:8" ht="22.5" customHeight="1" x14ac:dyDescent="0.2">
      <c r="B11" s="268" t="s">
        <v>220</v>
      </c>
      <c r="C11" s="110">
        <v>1</v>
      </c>
      <c r="D11" s="6">
        <v>30</v>
      </c>
      <c r="E11" s="7">
        <f>Arquiteto!H136</f>
        <v>29431.209999999992</v>
      </c>
      <c r="F11" s="8">
        <f>E11*C11</f>
        <v>29431.209999999992</v>
      </c>
      <c r="G11" s="8">
        <f>F11*D11</f>
        <v>882936.29999999981</v>
      </c>
    </row>
    <row r="12" spans="2:8" ht="22.5" customHeight="1" x14ac:dyDescent="0.2">
      <c r="B12" s="25" t="s">
        <v>78</v>
      </c>
      <c r="C12" s="110">
        <f>SUM(C11:C11)</f>
        <v>1</v>
      </c>
      <c r="D12" s="280"/>
      <c r="E12" s="281"/>
      <c r="F12" s="10">
        <f>SUM(F11:F11)</f>
        <v>29431.209999999992</v>
      </c>
      <c r="G12" s="9">
        <f>SUM(G11:G11)</f>
        <v>882936.29999999981</v>
      </c>
    </row>
    <row r="13" spans="2:8" ht="22.5" customHeight="1" x14ac:dyDescent="0.2">
      <c r="B13" s="283" t="s">
        <v>149</v>
      </c>
      <c r="C13" s="283"/>
      <c r="D13" s="283"/>
      <c r="E13" s="283"/>
      <c r="F13" s="283"/>
      <c r="G13" s="113">
        <f>G12</f>
        <v>882936.29999999981</v>
      </c>
    </row>
    <row r="14" spans="2:8" ht="22.5" customHeight="1" x14ac:dyDescent="0.2">
      <c r="B14" s="234"/>
      <c r="C14" s="234"/>
      <c r="D14" s="234"/>
      <c r="E14" s="234"/>
      <c r="F14" s="234"/>
      <c r="G14" s="269"/>
    </row>
    <row r="15" spans="2:8" ht="22.5" customHeight="1" x14ac:dyDescent="0.2">
      <c r="B15" s="279" t="s">
        <v>307</v>
      </c>
      <c r="C15" s="279"/>
      <c r="D15" s="279"/>
      <c r="E15" s="279"/>
      <c r="F15" s="279"/>
      <c r="G15" s="279"/>
    </row>
    <row r="16" spans="2:8" ht="22.5" customHeight="1" x14ac:dyDescent="0.2">
      <c r="B16" s="253" t="s">
        <v>105</v>
      </c>
      <c r="C16" s="253" t="s">
        <v>151</v>
      </c>
      <c r="D16" s="253" t="s">
        <v>106</v>
      </c>
      <c r="E16" s="253" t="s">
        <v>117</v>
      </c>
      <c r="F16" s="253" t="s">
        <v>107</v>
      </c>
      <c r="G16" s="253" t="s">
        <v>108</v>
      </c>
    </row>
    <row r="17" spans="2:7" ht="22.5" customHeight="1" x14ac:dyDescent="0.2">
      <c r="B17" s="268" t="s">
        <v>308</v>
      </c>
      <c r="C17" s="110">
        <v>1</v>
      </c>
      <c r="D17" s="6">
        <v>30</v>
      </c>
      <c r="E17" s="7">
        <f>'Encarregado de Manutenção'!H136</f>
        <v>11367.9406</v>
      </c>
      <c r="F17" s="8">
        <f>E17*C17</f>
        <v>11367.9406</v>
      </c>
      <c r="G17" s="8">
        <f>F17*D17</f>
        <v>341038.21799999999</v>
      </c>
    </row>
    <row r="18" spans="2:7" ht="22.5" customHeight="1" x14ac:dyDescent="0.2">
      <c r="B18" s="268" t="s">
        <v>309</v>
      </c>
      <c r="C18" s="110">
        <v>1</v>
      </c>
      <c r="D18" s="6">
        <v>30</v>
      </c>
      <c r="E18" s="270">
        <f>'Manut. Elétrica_h extra'!H136</f>
        <v>9518.3531999999977</v>
      </c>
      <c r="F18" s="8">
        <f t="shared" ref="F18:F21" si="0">E18*C18</f>
        <v>9518.3531999999977</v>
      </c>
      <c r="G18" s="8">
        <f t="shared" ref="G18:G21" si="1">F18*D18</f>
        <v>285550.5959999999</v>
      </c>
    </row>
    <row r="19" spans="2:7" ht="22.5" customHeight="1" x14ac:dyDescent="0.2">
      <c r="B19" s="268" t="s">
        <v>310</v>
      </c>
      <c r="C19" s="110">
        <v>1</v>
      </c>
      <c r="D19" s="6">
        <v>30</v>
      </c>
      <c r="E19" s="270">
        <f>'Manutenção Elétrica'!H133</f>
        <v>8029.9332000000004</v>
      </c>
      <c r="F19" s="8">
        <f t="shared" si="0"/>
        <v>8029.9332000000004</v>
      </c>
      <c r="G19" s="8">
        <f t="shared" si="1"/>
        <v>240897.99600000001</v>
      </c>
    </row>
    <row r="20" spans="2:7" ht="22.5" customHeight="1" x14ac:dyDescent="0.2">
      <c r="B20" s="268" t="s">
        <v>311</v>
      </c>
      <c r="C20" s="110">
        <v>4</v>
      </c>
      <c r="D20" s="6">
        <v>30</v>
      </c>
      <c r="E20" s="270">
        <f>'Manut. Predial_h extra'!H136</f>
        <v>9518.3531999999977</v>
      </c>
      <c r="F20" s="8">
        <f t="shared" si="0"/>
        <v>38073.412799999991</v>
      </c>
      <c r="G20" s="8">
        <f t="shared" si="1"/>
        <v>1142202.3839999996</v>
      </c>
    </row>
    <row r="21" spans="2:7" ht="22.5" customHeight="1" x14ac:dyDescent="0.2">
      <c r="B21" s="268" t="s">
        <v>312</v>
      </c>
      <c r="C21" s="110">
        <v>5</v>
      </c>
      <c r="D21" s="6">
        <v>30</v>
      </c>
      <c r="E21" s="270">
        <f>'Manut. Predial'!H133</f>
        <v>8029.9332000000004</v>
      </c>
      <c r="F21" s="8">
        <f t="shared" si="0"/>
        <v>40149.666000000005</v>
      </c>
      <c r="G21" s="8">
        <f t="shared" si="1"/>
        <v>1204489.9800000002</v>
      </c>
    </row>
    <row r="22" spans="2:7" ht="22.5" customHeight="1" x14ac:dyDescent="0.2">
      <c r="B22" s="247" t="s">
        <v>78</v>
      </c>
      <c r="C22" s="110">
        <f>SUM(C17:C17)</f>
        <v>1</v>
      </c>
      <c r="D22" s="280"/>
      <c r="E22" s="281"/>
      <c r="F22" s="10">
        <f>SUM(F17:F21)</f>
        <v>107139.3058</v>
      </c>
      <c r="G22" s="9">
        <f>SUM(G17:G21)</f>
        <v>3214179.1739999996</v>
      </c>
    </row>
    <row r="23" spans="2:7" ht="22.5" customHeight="1" x14ac:dyDescent="0.2">
      <c r="B23" s="283" t="s">
        <v>149</v>
      </c>
      <c r="C23" s="283"/>
      <c r="D23" s="283"/>
      <c r="E23" s="283"/>
      <c r="F23" s="283"/>
      <c r="G23" s="113">
        <f>G22</f>
        <v>3214179.1739999996</v>
      </c>
    </row>
    <row r="24" spans="2:7" ht="22.5" customHeight="1" x14ac:dyDescent="0.2">
      <c r="B24" s="234"/>
      <c r="C24" s="234"/>
      <c r="D24" s="234"/>
      <c r="E24" s="234"/>
      <c r="F24" s="234"/>
      <c r="G24" s="269"/>
    </row>
    <row r="25" spans="2:7" ht="22.5" customHeight="1" x14ac:dyDescent="0.2">
      <c r="B25" s="284" t="s">
        <v>313</v>
      </c>
      <c r="C25" s="284"/>
      <c r="D25" s="284"/>
      <c r="E25" s="284"/>
      <c r="F25" s="284"/>
      <c r="G25" s="271">
        <f>G13+G23</f>
        <v>4097115.4739999995</v>
      </c>
    </row>
    <row r="26" spans="2:7" ht="22.5" customHeight="1" x14ac:dyDescent="0.2">
      <c r="F26" s="2"/>
    </row>
    <row r="27" spans="2:7" ht="22.5" customHeight="1" x14ac:dyDescent="0.2">
      <c r="B27" s="3" t="s">
        <v>71</v>
      </c>
      <c r="C27" s="4"/>
      <c r="D27" s="159"/>
      <c r="E27" s="1" t="s">
        <v>315</v>
      </c>
      <c r="F27" s="2"/>
    </row>
    <row r="28" spans="2:7" ht="22.5" customHeight="1" x14ac:dyDescent="0.2">
      <c r="B28" s="111" t="s">
        <v>316</v>
      </c>
      <c r="F28" s="1"/>
    </row>
    <row r="29" spans="2:7" ht="22.5" customHeight="1" x14ac:dyDescent="0.2">
      <c r="F29" s="1"/>
    </row>
    <row r="30" spans="2:7" ht="22.5" customHeight="1" x14ac:dyDescent="0.2">
      <c r="E30" s="219" t="s">
        <v>213</v>
      </c>
      <c r="F30" s="1"/>
    </row>
    <row r="31" spans="2:7" ht="22.5" customHeight="1" x14ac:dyDescent="0.2">
      <c r="E31" s="220"/>
    </row>
    <row r="32" spans="2:7" ht="22.5" customHeight="1" x14ac:dyDescent="0.2">
      <c r="E32" s="220" t="s">
        <v>214</v>
      </c>
    </row>
    <row r="33" spans="5:5" ht="22.5" customHeight="1" x14ac:dyDescent="0.2">
      <c r="E33" s="220" t="s">
        <v>215</v>
      </c>
    </row>
    <row r="34" spans="5:5" ht="22.5" customHeight="1" x14ac:dyDescent="0.2">
      <c r="E34" s="220" t="s">
        <v>216</v>
      </c>
    </row>
    <row r="35" spans="5:5" ht="22.5" customHeight="1" x14ac:dyDescent="0.2">
      <c r="E35" s="220" t="s">
        <v>217</v>
      </c>
    </row>
    <row r="36" spans="5:5" ht="22.5" customHeight="1" x14ac:dyDescent="0.2">
      <c r="E36" s="220" t="s">
        <v>218</v>
      </c>
    </row>
    <row r="37" spans="5:5" ht="22.5" customHeight="1" x14ac:dyDescent="0.2">
      <c r="E37" s="220" t="s">
        <v>219</v>
      </c>
    </row>
  </sheetData>
  <mergeCells count="10">
    <mergeCell ref="B23:F23"/>
    <mergeCell ref="B25:F25"/>
    <mergeCell ref="B7:G7"/>
    <mergeCell ref="B13:F13"/>
    <mergeCell ref="D12:E12"/>
    <mergeCell ref="B1:G1"/>
    <mergeCell ref="B9:G9"/>
    <mergeCell ref="B15:G15"/>
    <mergeCell ref="D22:E22"/>
    <mergeCell ref="B4:G5"/>
  </mergeCells>
  <printOptions horizontalCentered="1"/>
  <pageMargins left="0.51181102362204722" right="0.51181102362204722" top="0.98425196850393704" bottom="0.78740157480314965" header="0.31496062992125984" footer="0.31496062992125984"/>
  <pageSetup paperSize="9" scale="88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B1:T169"/>
  <sheetViews>
    <sheetView showGridLines="0" topLeftCell="B1" workbookViewId="0">
      <selection activeCell="B3" sqref="B3:H3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1" t="s">
        <v>68</v>
      </c>
      <c r="C2" s="371"/>
      <c r="D2" s="371"/>
      <c r="E2" s="371"/>
      <c r="F2" s="371"/>
      <c r="G2" s="371"/>
      <c r="H2" s="371"/>
      <c r="I2" s="184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2" t="s">
        <v>321</v>
      </c>
      <c r="C3" s="372"/>
      <c r="D3" s="372"/>
      <c r="E3" s="372"/>
      <c r="F3" s="372"/>
      <c r="G3" s="372"/>
      <c r="H3" s="372"/>
      <c r="I3" s="186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3" t="s">
        <v>155</v>
      </c>
      <c r="C6" s="373"/>
      <c r="D6" s="373"/>
      <c r="E6" s="373"/>
      <c r="F6" s="373"/>
      <c r="G6" s="374" t="s">
        <v>220</v>
      </c>
      <c r="H6" s="374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4" t="s">
        <v>69</v>
      </c>
      <c r="C8" s="304"/>
      <c r="D8" s="304"/>
      <c r="E8" s="304"/>
      <c r="F8" s="304"/>
      <c r="G8" s="304"/>
      <c r="H8" s="304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5">
        <v>1</v>
      </c>
      <c r="C9" s="356" t="s">
        <v>70</v>
      </c>
      <c r="D9" s="356"/>
      <c r="E9" s="356"/>
      <c r="F9" s="356"/>
      <c r="G9" s="356"/>
      <c r="H9" s="356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5"/>
      <c r="C10" s="357"/>
      <c r="D10" s="357"/>
      <c r="E10" s="357"/>
      <c r="F10" s="357"/>
      <c r="G10" s="357"/>
      <c r="H10" s="357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5">
        <v>2</v>
      </c>
      <c r="C11" s="356" t="s">
        <v>72</v>
      </c>
      <c r="D11" s="356"/>
      <c r="E11" s="356"/>
      <c r="F11" s="356"/>
      <c r="G11" s="356"/>
      <c r="H11" s="356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5"/>
      <c r="C12" s="357"/>
      <c r="D12" s="357"/>
      <c r="E12" s="357"/>
      <c r="F12" s="357"/>
      <c r="G12" s="357"/>
      <c r="H12" s="357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5">
        <v>3</v>
      </c>
      <c r="C13" s="356" t="s">
        <v>73</v>
      </c>
      <c r="D13" s="356"/>
      <c r="E13" s="356"/>
      <c r="F13" s="356"/>
      <c r="G13" s="356"/>
      <c r="H13" s="356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5"/>
      <c r="C14" s="357"/>
      <c r="D14" s="357"/>
      <c r="E14" s="357"/>
      <c r="F14" s="357"/>
      <c r="G14" s="357"/>
      <c r="H14" s="357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5">
        <v>4</v>
      </c>
      <c r="C15" s="356" t="s">
        <v>74</v>
      </c>
      <c r="D15" s="356"/>
      <c r="E15" s="356"/>
      <c r="F15" s="356"/>
      <c r="G15" s="356"/>
      <c r="H15" s="356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5"/>
      <c r="C16" s="357"/>
      <c r="D16" s="357"/>
      <c r="E16" s="357"/>
      <c r="F16" s="357"/>
      <c r="G16" s="357"/>
      <c r="H16" s="357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5">
        <v>5</v>
      </c>
      <c r="C17" s="356" t="s">
        <v>75</v>
      </c>
      <c r="D17" s="356"/>
      <c r="E17" s="356"/>
      <c r="F17" s="356"/>
      <c r="G17" s="356"/>
      <c r="H17" s="356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5"/>
      <c r="C18" s="357"/>
      <c r="D18" s="357"/>
      <c r="E18" s="357"/>
      <c r="F18" s="357"/>
      <c r="G18" s="357"/>
      <c r="H18" s="357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5">
        <v>6</v>
      </c>
      <c r="C19" s="356" t="s">
        <v>76</v>
      </c>
      <c r="D19" s="356"/>
      <c r="E19" s="356"/>
      <c r="F19" s="356"/>
      <c r="G19" s="356"/>
      <c r="H19" s="356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5"/>
      <c r="C20" s="357"/>
      <c r="D20" s="357"/>
      <c r="E20" s="357"/>
      <c r="F20" s="357"/>
      <c r="G20" s="357"/>
      <c r="H20" s="357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3" t="s">
        <v>95</v>
      </c>
      <c r="C22" s="323"/>
      <c r="D22" s="323"/>
      <c r="E22" s="323"/>
      <c r="F22" s="323"/>
      <c r="G22" s="323"/>
      <c r="H22" s="32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4" t="s">
        <v>83</v>
      </c>
      <c r="C24" s="324"/>
      <c r="D24" s="324"/>
      <c r="E24" s="324"/>
      <c r="F24" s="324"/>
      <c r="G24" s="324"/>
      <c r="H24" s="32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0" t="s">
        <v>77</v>
      </c>
      <c r="D25" s="328"/>
      <c r="E25" s="328"/>
      <c r="F25" s="281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17" t="s">
        <v>221</v>
      </c>
      <c r="E26" s="318"/>
      <c r="F26" s="319"/>
      <c r="G26" s="21"/>
      <c r="H26" s="27">
        <f>8.5*1212</f>
        <v>10302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17" t="s">
        <v>156</v>
      </c>
      <c r="E27" s="318"/>
      <c r="F27" s="319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17" t="s">
        <v>199</v>
      </c>
      <c r="E28" s="318"/>
      <c r="F28" s="319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17" t="s">
        <v>208</v>
      </c>
      <c r="E29" s="318"/>
      <c r="F29" s="319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0" t="s">
        <v>9</v>
      </c>
      <c r="C30" s="176" t="s">
        <v>130</v>
      </c>
      <c r="D30" s="317" t="s">
        <v>209</v>
      </c>
      <c r="E30" s="318"/>
      <c r="F30" s="319"/>
      <c r="G30" s="261">
        <v>0.5</v>
      </c>
      <c r="H30" s="27">
        <f>TRUNC($G$34*$H34*(1+G$30),2)</f>
        <v>561.84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0" t="s">
        <v>10</v>
      </c>
      <c r="C31" s="176" t="s">
        <v>3</v>
      </c>
      <c r="D31" s="317"/>
      <c r="E31" s="318"/>
      <c r="F31" s="319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173" t="s">
        <v>157</v>
      </c>
      <c r="C32" s="280" t="s">
        <v>78</v>
      </c>
      <c r="D32" s="328"/>
      <c r="E32" s="328"/>
      <c r="F32" s="281"/>
      <c r="G32" s="36"/>
      <c r="H32" s="23">
        <f>SUM(H26:H31)</f>
        <v>10863.84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182"/>
      <c r="C33" s="324" t="s">
        <v>145</v>
      </c>
      <c r="D33" s="324"/>
      <c r="E33" s="324"/>
      <c r="F33" s="324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182"/>
      <c r="C34" s="324"/>
      <c r="D34" s="324"/>
      <c r="E34" s="324"/>
      <c r="F34" s="324"/>
      <c r="G34" s="107">
        <v>8</v>
      </c>
      <c r="H34" s="83">
        <f>IF(G34="",0,TRUNC((H26+H27+H28)/220,2))</f>
        <v>46.82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182"/>
      <c r="C35" s="182"/>
      <c r="D35" s="182"/>
      <c r="E35" s="182"/>
      <c r="F35" s="182"/>
      <c r="G35" s="182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182"/>
      <c r="C36" s="182"/>
      <c r="D36" s="182"/>
      <c r="E36" s="182"/>
      <c r="F36" s="182"/>
      <c r="G36" s="182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24" t="s">
        <v>84</v>
      </c>
      <c r="C37" s="324"/>
      <c r="D37" s="324"/>
      <c r="E37" s="324"/>
      <c r="F37" s="324"/>
      <c r="G37" s="324"/>
      <c r="H37" s="324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67"/>
      <c r="C38" s="368"/>
      <c r="D38" s="368"/>
      <c r="E38" s="368"/>
      <c r="F38" s="368"/>
      <c r="G38" s="368"/>
      <c r="H38" s="369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70" t="s">
        <v>54</v>
      </c>
      <c r="C39" s="370"/>
      <c r="D39" s="370"/>
      <c r="E39" s="370"/>
      <c r="F39" s="370"/>
      <c r="G39" s="370"/>
      <c r="H39" s="370"/>
      <c r="I39" s="183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0" t="s">
        <v>45</v>
      </c>
      <c r="D40" s="328"/>
      <c r="E40" s="328"/>
      <c r="F40" s="281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173" t="s">
        <v>5</v>
      </c>
      <c r="C41" s="175" t="s">
        <v>133</v>
      </c>
      <c r="D41" s="317" t="s">
        <v>158</v>
      </c>
      <c r="E41" s="318"/>
      <c r="F41" s="319"/>
      <c r="G41" s="26">
        <f>1/12</f>
        <v>8.3333333333333329E-2</v>
      </c>
      <c r="H41" s="27">
        <f>TRUNC((H$32*$G41),2)</f>
        <v>905.32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173" t="s">
        <v>6</v>
      </c>
      <c r="C42" s="175" t="s">
        <v>82</v>
      </c>
      <c r="D42" s="317" t="s">
        <v>160</v>
      </c>
      <c r="E42" s="318"/>
      <c r="F42" s="319"/>
      <c r="G42" s="26">
        <f>(1/12)+(1/3/12)</f>
        <v>0.1111111111111111</v>
      </c>
      <c r="H42" s="27">
        <f>TRUNC((H$32*$G42),2)</f>
        <v>1207.0899999999999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173" t="s">
        <v>159</v>
      </c>
      <c r="C43" s="280" t="s">
        <v>78</v>
      </c>
      <c r="D43" s="328"/>
      <c r="E43" s="328"/>
      <c r="F43" s="281"/>
      <c r="G43" s="28">
        <f>TRUNC(SUM(G41:G42),4)</f>
        <v>0.19439999999999999</v>
      </c>
      <c r="H43" s="23">
        <f>SUM(H41:H42)</f>
        <v>2112.41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44"/>
      <c r="C44" s="343"/>
      <c r="D44" s="343"/>
      <c r="E44" s="343"/>
      <c r="F44" s="343"/>
      <c r="G44" s="343"/>
      <c r="H44" s="345"/>
      <c r="I44" s="184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50" t="s">
        <v>85</v>
      </c>
      <c r="C45" s="351"/>
      <c r="D45" s="351"/>
      <c r="E45" s="351"/>
      <c r="F45" s="351"/>
      <c r="G45" s="351"/>
      <c r="H45" s="352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0" t="s">
        <v>86</v>
      </c>
      <c r="D46" s="328"/>
      <c r="E46" s="328"/>
      <c r="F46" s="281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173" t="s">
        <v>5</v>
      </c>
      <c r="C47" s="175" t="s">
        <v>48</v>
      </c>
      <c r="D47" s="317" t="s">
        <v>161</v>
      </c>
      <c r="E47" s="318"/>
      <c r="F47" s="319"/>
      <c r="G47" s="26">
        <v>0.2</v>
      </c>
      <c r="H47" s="27">
        <f>TRUNC((H$32+H$43)*$G47,2)</f>
        <v>2595.25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173" t="s">
        <v>6</v>
      </c>
      <c r="C48" s="160" t="s">
        <v>49</v>
      </c>
      <c r="D48" s="317" t="s">
        <v>162</v>
      </c>
      <c r="E48" s="318"/>
      <c r="F48" s="319"/>
      <c r="G48" s="26">
        <v>2.5000000000000001E-2</v>
      </c>
      <c r="H48" s="27">
        <f>TRUNC((H$32+H$43)*$G48,2)</f>
        <v>324.39999999999998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58" t="s">
        <v>7</v>
      </c>
      <c r="C49" s="360" t="s">
        <v>124</v>
      </c>
      <c r="D49" s="362" t="s">
        <v>168</v>
      </c>
      <c r="E49" s="11" t="s">
        <v>125</v>
      </c>
      <c r="F49" s="11" t="s">
        <v>123</v>
      </c>
      <c r="G49" s="363">
        <f>E50*F50</f>
        <v>0.03</v>
      </c>
      <c r="H49" s="365">
        <f>TRUNC((H$32+H$43)*$G49,2)</f>
        <v>389.28</v>
      </c>
      <c r="I49" s="198"/>
      <c r="J49" s="353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59"/>
      <c r="C50" s="361"/>
      <c r="D50" s="362"/>
      <c r="E50" s="84">
        <v>0.03</v>
      </c>
      <c r="F50" s="85">
        <v>1</v>
      </c>
      <c r="G50" s="364"/>
      <c r="H50" s="366"/>
      <c r="I50" s="198"/>
      <c r="J50" s="353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173" t="s">
        <v>8</v>
      </c>
      <c r="C51" s="175" t="s">
        <v>47</v>
      </c>
      <c r="D51" s="317" t="s">
        <v>163</v>
      </c>
      <c r="E51" s="318"/>
      <c r="F51" s="319"/>
      <c r="G51" s="26">
        <v>1.4999999999999999E-2</v>
      </c>
      <c r="H51" s="27">
        <f>TRUNC((H$32+H$43)*$G51,2)</f>
        <v>194.64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173" t="s">
        <v>9</v>
      </c>
      <c r="C52" s="175" t="s">
        <v>50</v>
      </c>
      <c r="D52" s="317" t="s">
        <v>164</v>
      </c>
      <c r="E52" s="318"/>
      <c r="F52" s="319"/>
      <c r="G52" s="26">
        <v>0.01</v>
      </c>
      <c r="H52" s="27">
        <f>TRUNC((H$32+H$43)*$G52,2)</f>
        <v>129.76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173" t="s">
        <v>10</v>
      </c>
      <c r="C53" s="175" t="s">
        <v>51</v>
      </c>
      <c r="D53" s="317" t="s">
        <v>165</v>
      </c>
      <c r="E53" s="318"/>
      <c r="F53" s="319"/>
      <c r="G53" s="26">
        <v>6.0000000000000001E-3</v>
      </c>
      <c r="H53" s="27">
        <f>TRUNC((H$32+H$43)*$G53,2)</f>
        <v>77.849999999999994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173" t="s">
        <v>11</v>
      </c>
      <c r="C54" s="175" t="s">
        <v>52</v>
      </c>
      <c r="D54" s="317" t="s">
        <v>166</v>
      </c>
      <c r="E54" s="318"/>
      <c r="F54" s="319"/>
      <c r="G54" s="26">
        <v>2E-3</v>
      </c>
      <c r="H54" s="27">
        <f>TRUNC((H$32+H$43)*$G54,2)</f>
        <v>25.95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173" t="s">
        <v>12</v>
      </c>
      <c r="C55" s="175" t="s">
        <v>53</v>
      </c>
      <c r="D55" s="317" t="s">
        <v>167</v>
      </c>
      <c r="E55" s="318"/>
      <c r="F55" s="319"/>
      <c r="G55" s="26">
        <v>0.08</v>
      </c>
      <c r="H55" s="27">
        <f>TRUNC((H$32+H$43)*$G55,2)</f>
        <v>1038.0999999999999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3" t="s">
        <v>169</v>
      </c>
      <c r="C56" s="280" t="s">
        <v>78</v>
      </c>
      <c r="D56" s="328"/>
      <c r="E56" s="328"/>
      <c r="F56" s="281"/>
      <c r="G56" s="29">
        <f>SUM(G47:G55)</f>
        <v>0.36800000000000005</v>
      </c>
      <c r="H56" s="30">
        <f>SUM(H47:H55)</f>
        <v>4775.2299999999996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47"/>
      <c r="C57" s="348"/>
      <c r="D57" s="348"/>
      <c r="E57" s="348"/>
      <c r="F57" s="348"/>
      <c r="G57" s="348"/>
      <c r="H57" s="349"/>
      <c r="I57" s="211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50" t="s">
        <v>55</v>
      </c>
      <c r="C58" s="351"/>
      <c r="D58" s="351"/>
      <c r="E58" s="351"/>
      <c r="F58" s="351"/>
      <c r="G58" s="351"/>
      <c r="H58" s="352"/>
      <c r="I58" s="211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0" t="s">
        <v>59</v>
      </c>
      <c r="D59" s="328"/>
      <c r="E59" s="328"/>
      <c r="F59" s="328"/>
      <c r="G59" s="281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173" t="s">
        <v>5</v>
      </c>
      <c r="C60" s="175" t="s">
        <v>65</v>
      </c>
      <c r="D60" s="317" t="s">
        <v>172</v>
      </c>
      <c r="E60" s="318"/>
      <c r="F60" s="318"/>
      <c r="G60" s="319"/>
      <c r="H60" s="86"/>
      <c r="I60" s="212"/>
      <c r="J60" s="354"/>
      <c r="K60" s="354"/>
      <c r="L60" s="354"/>
      <c r="M60" s="354"/>
      <c r="N60" s="354"/>
      <c r="O60" s="121"/>
      <c r="P60" s="121"/>
      <c r="Q60" s="121"/>
      <c r="R60" s="121"/>
    </row>
    <row r="61" spans="2:18" ht="12.75" customHeight="1" x14ac:dyDescent="0.2">
      <c r="B61" s="173" t="s">
        <v>6</v>
      </c>
      <c r="C61" s="175" t="s">
        <v>66</v>
      </c>
      <c r="D61" s="317" t="s">
        <v>173</v>
      </c>
      <c r="E61" s="318"/>
      <c r="F61" s="318"/>
      <c r="G61" s="319"/>
      <c r="H61" s="86">
        <f>32*22</f>
        <v>704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173" t="s">
        <v>7</v>
      </c>
      <c r="C62" s="175" t="s">
        <v>222</v>
      </c>
      <c r="D62" s="317" t="s">
        <v>224</v>
      </c>
      <c r="E62" s="318"/>
      <c r="F62" s="318"/>
      <c r="G62" s="319"/>
      <c r="H62" s="86">
        <v>200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31" t="s">
        <v>8</v>
      </c>
      <c r="C63" s="175" t="s">
        <v>223</v>
      </c>
      <c r="D63" s="223"/>
      <c r="E63" s="224"/>
      <c r="F63" s="224"/>
      <c r="G63" s="22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s="142" customFormat="1" x14ac:dyDescent="0.2">
      <c r="B64" s="173" t="s">
        <v>9</v>
      </c>
      <c r="C64" s="175" t="s">
        <v>3</v>
      </c>
      <c r="D64" s="317"/>
      <c r="E64" s="318"/>
      <c r="F64" s="318"/>
      <c r="G64" s="319"/>
      <c r="H64" s="86">
        <v>0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173" t="s">
        <v>170</v>
      </c>
      <c r="C65" s="280" t="s">
        <v>78</v>
      </c>
      <c r="D65" s="328"/>
      <c r="E65" s="328"/>
      <c r="F65" s="328"/>
      <c r="G65" s="281"/>
      <c r="H65" s="30">
        <f>SUM(H60:H64)</f>
        <v>909</v>
      </c>
      <c r="I65" s="24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344"/>
      <c r="C66" s="343"/>
      <c r="D66" s="343"/>
      <c r="E66" s="343"/>
      <c r="F66" s="343"/>
      <c r="G66" s="343"/>
      <c r="H66" s="345"/>
      <c r="I66" s="184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46" t="s">
        <v>88</v>
      </c>
      <c r="C67" s="346"/>
      <c r="D67" s="346"/>
      <c r="E67" s="346"/>
      <c r="F67" s="346"/>
      <c r="G67" s="346"/>
      <c r="H67" s="346"/>
      <c r="I67" s="184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177">
        <v>2</v>
      </c>
      <c r="C68" s="280" t="s">
        <v>87</v>
      </c>
      <c r="D68" s="328"/>
      <c r="E68" s="328"/>
      <c r="F68" s="328"/>
      <c r="G68" s="281"/>
      <c r="H68" s="177" t="s">
        <v>67</v>
      </c>
      <c r="I68" s="208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173" t="s">
        <v>56</v>
      </c>
      <c r="C69" s="163" t="s">
        <v>45</v>
      </c>
      <c r="D69" s="317" t="s">
        <v>159</v>
      </c>
      <c r="E69" s="318"/>
      <c r="F69" s="318"/>
      <c r="G69" s="319"/>
      <c r="H69" s="27">
        <f>H43</f>
        <v>2112.41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173" t="s">
        <v>57</v>
      </c>
      <c r="C70" s="163" t="s">
        <v>46</v>
      </c>
      <c r="D70" s="317" t="s">
        <v>169</v>
      </c>
      <c r="E70" s="318"/>
      <c r="F70" s="318"/>
      <c r="G70" s="319"/>
      <c r="H70" s="27">
        <f>H56</f>
        <v>4775.2299999999996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173" t="s">
        <v>58</v>
      </c>
      <c r="C71" s="163" t="s">
        <v>59</v>
      </c>
      <c r="D71" s="317" t="s">
        <v>170</v>
      </c>
      <c r="E71" s="318"/>
      <c r="F71" s="318"/>
      <c r="G71" s="319"/>
      <c r="H71" s="27">
        <f>H65</f>
        <v>909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173" t="s">
        <v>171</v>
      </c>
      <c r="C72" s="280" t="s">
        <v>78</v>
      </c>
      <c r="D72" s="328"/>
      <c r="E72" s="328"/>
      <c r="F72" s="328"/>
      <c r="G72" s="281"/>
      <c r="H72" s="23">
        <f>SUM(H69:H71)</f>
        <v>7796.6399999999994</v>
      </c>
      <c r="I72" s="24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43"/>
      <c r="C73" s="343"/>
      <c r="D73" s="343"/>
      <c r="E73" s="343"/>
      <c r="F73" s="343"/>
      <c r="G73" s="343"/>
      <c r="H73" s="343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182"/>
      <c r="C74" s="182"/>
      <c r="D74" s="182"/>
      <c r="E74" s="182"/>
      <c r="F74" s="182"/>
      <c r="G74" s="182"/>
      <c r="H74" s="182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324" t="s">
        <v>89</v>
      </c>
      <c r="C75" s="324"/>
      <c r="D75" s="324"/>
      <c r="E75" s="324"/>
      <c r="F75" s="324"/>
      <c r="G75" s="324"/>
      <c r="H75" s="324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177">
        <v>3</v>
      </c>
      <c r="C76" s="280" t="s">
        <v>79</v>
      </c>
      <c r="D76" s="328"/>
      <c r="E76" s="328"/>
      <c r="F76" s="281"/>
      <c r="G76" s="177" t="s">
        <v>2</v>
      </c>
      <c r="H76" s="177" t="s">
        <v>67</v>
      </c>
      <c r="I76" s="208"/>
      <c r="J76" s="143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173" t="s">
        <v>5</v>
      </c>
      <c r="C77" s="164" t="s">
        <v>118</v>
      </c>
      <c r="D77" s="317" t="s">
        <v>188</v>
      </c>
      <c r="E77" s="318"/>
      <c r="F77" s="319"/>
      <c r="G77" s="87">
        <v>0.3</v>
      </c>
      <c r="H77" s="31">
        <f>TRUNC((H$78+H$79)*$G77,2)</f>
        <v>497.65</v>
      </c>
      <c r="I77" s="24"/>
      <c r="J77" s="140"/>
      <c r="K77" s="119"/>
      <c r="L77" s="119"/>
      <c r="M77" s="120"/>
      <c r="N77" s="121"/>
      <c r="O77" s="144"/>
      <c r="P77" s="121"/>
      <c r="Q77" s="121"/>
      <c r="R77" s="121"/>
    </row>
    <row r="78" spans="2:18" x14ac:dyDescent="0.2">
      <c r="B78" s="173" t="s">
        <v>6</v>
      </c>
      <c r="C78" s="175" t="s">
        <v>119</v>
      </c>
      <c r="D78" s="317" t="s">
        <v>210</v>
      </c>
      <c r="E78" s="318"/>
      <c r="F78" s="319"/>
      <c r="G78" s="32"/>
      <c r="H78" s="27">
        <f>TRUNC((H$32+H$43+H$55+H$65-H60)/12,2)</f>
        <v>1243.6099999999999</v>
      </c>
      <c r="I78" s="195"/>
      <c r="J78" s="137"/>
      <c r="K78" s="119"/>
      <c r="L78" s="119"/>
      <c r="M78" s="120"/>
      <c r="N78" s="121"/>
      <c r="O78" s="145"/>
      <c r="P78" s="121"/>
      <c r="Q78" s="121"/>
      <c r="R78" s="121"/>
    </row>
    <row r="79" spans="2:18" x14ac:dyDescent="0.2">
      <c r="B79" s="173" t="s">
        <v>7</v>
      </c>
      <c r="C79" s="175" t="s">
        <v>120</v>
      </c>
      <c r="D79" s="317" t="s">
        <v>200</v>
      </c>
      <c r="E79" s="319"/>
      <c r="F79" s="89">
        <v>0.4</v>
      </c>
      <c r="G79" s="32"/>
      <c r="H79" s="27">
        <f>TRUNC(H$55*$F79,2)</f>
        <v>415.24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173" t="s">
        <v>8</v>
      </c>
      <c r="C80" s="164" t="s">
        <v>121</v>
      </c>
      <c r="D80" s="317" t="s">
        <v>189</v>
      </c>
      <c r="E80" s="318"/>
      <c r="F80" s="319"/>
      <c r="G80" s="87">
        <v>1</v>
      </c>
      <c r="H80" s="168">
        <f>IF($G80&gt;=1,(TRUNC(H$81*$G80,2)),"ERRO")</f>
        <v>415.24</v>
      </c>
      <c r="I80" s="197"/>
      <c r="J80" s="137"/>
      <c r="K80" s="119"/>
      <c r="L80" s="119"/>
      <c r="M80" s="120"/>
      <c r="N80" s="121"/>
      <c r="O80" s="141"/>
      <c r="P80" s="121"/>
      <c r="Q80" s="121"/>
      <c r="R80" s="121"/>
    </row>
    <row r="81" spans="2:18" x14ac:dyDescent="0.2">
      <c r="B81" s="173" t="s">
        <v>9</v>
      </c>
      <c r="C81" s="175" t="s">
        <v>122</v>
      </c>
      <c r="D81" s="317" t="s">
        <v>200</v>
      </c>
      <c r="E81" s="319"/>
      <c r="F81" s="89">
        <v>0.4</v>
      </c>
      <c r="G81" s="32"/>
      <c r="H81" s="27">
        <f>TRUNC(H$55*$F81,2)</f>
        <v>415.24</v>
      </c>
      <c r="I81" s="195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173" t="s">
        <v>10</v>
      </c>
      <c r="C82" s="164" t="s">
        <v>207</v>
      </c>
      <c r="D82" s="341" t="s">
        <v>201</v>
      </c>
      <c r="E82" s="342"/>
      <c r="F82" s="88">
        <v>12</v>
      </c>
      <c r="G82" s="88">
        <v>3</v>
      </c>
      <c r="H82" s="27">
        <f>TRUNC(((H$32+H$43+H$56)/30)*$G82/$F82,2)</f>
        <v>147.91999999999999</v>
      </c>
      <c r="I82" s="195"/>
      <c r="J82" s="190"/>
      <c r="K82" s="120"/>
      <c r="L82" s="120"/>
      <c r="M82" s="120"/>
      <c r="N82" s="121"/>
      <c r="O82" s="141"/>
      <c r="P82" s="121"/>
      <c r="Q82" s="121"/>
      <c r="R82" s="121"/>
    </row>
    <row r="83" spans="2:18" x14ac:dyDescent="0.2">
      <c r="B83" s="173" t="s">
        <v>175</v>
      </c>
      <c r="C83" s="280" t="s">
        <v>78</v>
      </c>
      <c r="D83" s="328"/>
      <c r="E83" s="328"/>
      <c r="F83" s="328"/>
      <c r="G83" s="281"/>
      <c r="H83" s="23">
        <f>H$77+H$80+H$82</f>
        <v>1060.81</v>
      </c>
      <c r="I83" s="24"/>
      <c r="J83" s="121"/>
      <c r="K83" s="121"/>
      <c r="L83" s="121"/>
      <c r="M83" s="120"/>
      <c r="N83" s="121"/>
      <c r="O83" s="121"/>
      <c r="P83" s="121"/>
      <c r="Q83" s="121"/>
      <c r="R83" s="121"/>
    </row>
    <row r="84" spans="2:18" x14ac:dyDescent="0.2">
      <c r="B84" s="178"/>
      <c r="C84" s="178"/>
      <c r="D84" s="178"/>
      <c r="E84" s="178"/>
      <c r="F84" s="178"/>
      <c r="G84" s="178"/>
      <c r="H84" s="178"/>
      <c r="I84" s="185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182"/>
      <c r="C85" s="182"/>
      <c r="D85" s="182"/>
      <c r="E85" s="182"/>
      <c r="F85" s="182"/>
      <c r="G85" s="182"/>
      <c r="H85" s="182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324" t="s">
        <v>90</v>
      </c>
      <c r="C86" s="324"/>
      <c r="D86" s="324"/>
      <c r="E86" s="324"/>
      <c r="F86" s="324"/>
      <c r="G86" s="324"/>
      <c r="H86" s="324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35" t="s">
        <v>110</v>
      </c>
      <c r="C87" s="336"/>
      <c r="D87" s="336"/>
      <c r="E87" s="336"/>
      <c r="F87" s="336"/>
      <c r="G87" s="336"/>
      <c r="H87" s="337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177" t="s">
        <v>17</v>
      </c>
      <c r="C88" s="280" t="s">
        <v>111</v>
      </c>
      <c r="D88" s="328"/>
      <c r="E88" s="328"/>
      <c r="F88" s="281"/>
      <c r="G88" s="177" t="s">
        <v>126</v>
      </c>
      <c r="H88" s="177" t="s">
        <v>67</v>
      </c>
      <c r="I88" s="208"/>
      <c r="J88" s="119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173" t="s">
        <v>5</v>
      </c>
      <c r="C89" s="175" t="s">
        <v>132</v>
      </c>
      <c r="D89" s="317" t="s">
        <v>181</v>
      </c>
      <c r="E89" s="318"/>
      <c r="F89" s="319"/>
      <c r="G89" s="88">
        <v>30</v>
      </c>
      <c r="H89" s="27">
        <f>TRUNC((H$91*$G89)/12,2)</f>
        <v>1643.42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ht="22.5" x14ac:dyDescent="0.2">
      <c r="B90" s="173" t="s">
        <v>6</v>
      </c>
      <c r="C90" s="165" t="s">
        <v>187</v>
      </c>
      <c r="D90" s="338" t="s">
        <v>190</v>
      </c>
      <c r="E90" s="339"/>
      <c r="F90" s="340"/>
      <c r="G90" s="114">
        <v>8</v>
      </c>
      <c r="H90" s="27">
        <f>TRUNC((H$91*$G90)/12,2)</f>
        <v>438.24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x14ac:dyDescent="0.2">
      <c r="B91" s="173" t="s">
        <v>7</v>
      </c>
      <c r="C91" s="175" t="s">
        <v>134</v>
      </c>
      <c r="D91" s="317" t="s">
        <v>174</v>
      </c>
      <c r="E91" s="318"/>
      <c r="F91" s="318"/>
      <c r="G91" s="319"/>
      <c r="H91" s="27">
        <f>TRUNC((H$32+H$72+H$83)/30,2)</f>
        <v>657.37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173" t="s">
        <v>176</v>
      </c>
      <c r="C92" s="280" t="s">
        <v>78</v>
      </c>
      <c r="D92" s="328"/>
      <c r="E92" s="328"/>
      <c r="F92" s="328"/>
      <c r="G92" s="281"/>
      <c r="H92" s="23">
        <f>TRUNC(H$89+H$90,2)</f>
        <v>2081.66</v>
      </c>
      <c r="I92" s="24"/>
      <c r="J92" s="140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47"/>
      <c r="C93" s="148"/>
      <c r="D93" s="148"/>
      <c r="E93" s="148"/>
      <c r="F93" s="148"/>
      <c r="G93" s="148"/>
      <c r="H93" s="149"/>
      <c r="I93" s="33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332" t="s">
        <v>112</v>
      </c>
      <c r="C94" s="333"/>
      <c r="D94" s="333"/>
      <c r="E94" s="333"/>
      <c r="F94" s="333"/>
      <c r="G94" s="333"/>
      <c r="H94" s="334"/>
      <c r="I94" s="208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177" t="s">
        <v>18</v>
      </c>
      <c r="C95" s="280" t="s">
        <v>113</v>
      </c>
      <c r="D95" s="328"/>
      <c r="E95" s="328"/>
      <c r="F95" s="281"/>
      <c r="G95" s="177" t="s">
        <v>126</v>
      </c>
      <c r="H95" s="177" t="s">
        <v>67</v>
      </c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ht="22.5" x14ac:dyDescent="0.2">
      <c r="B96" s="173" t="s">
        <v>5</v>
      </c>
      <c r="C96" s="165" t="s">
        <v>114</v>
      </c>
      <c r="D96" s="317" t="s">
        <v>212</v>
      </c>
      <c r="E96" s="318"/>
      <c r="F96" s="319"/>
      <c r="G96" s="88"/>
      <c r="H96" s="27">
        <f>TRUNC(((H$32+H72+H83)/220)*(1+50%)*G96,2)</f>
        <v>0</v>
      </c>
      <c r="I96" s="195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173" t="s">
        <v>177</v>
      </c>
      <c r="C97" s="280" t="s">
        <v>78</v>
      </c>
      <c r="D97" s="328"/>
      <c r="E97" s="328"/>
      <c r="F97" s="328"/>
      <c r="G97" s="281"/>
      <c r="H97" s="23">
        <f>H96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180"/>
      <c r="C98" s="179"/>
      <c r="D98" s="179"/>
      <c r="E98" s="179"/>
      <c r="F98" s="179"/>
      <c r="G98" s="179"/>
      <c r="H98" s="181"/>
      <c r="I98" s="217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332" t="s">
        <v>91</v>
      </c>
      <c r="C99" s="333"/>
      <c r="D99" s="333"/>
      <c r="E99" s="333"/>
      <c r="F99" s="333"/>
      <c r="G99" s="333"/>
      <c r="H99" s="334"/>
      <c r="I99" s="208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177">
        <v>4</v>
      </c>
      <c r="C100" s="280" t="s">
        <v>92</v>
      </c>
      <c r="D100" s="328"/>
      <c r="E100" s="328"/>
      <c r="F100" s="328"/>
      <c r="G100" s="281"/>
      <c r="H100" s="177" t="s">
        <v>67</v>
      </c>
      <c r="I100" s="208"/>
      <c r="J100" s="137"/>
      <c r="K100" s="119"/>
      <c r="L100" s="119"/>
      <c r="M100" s="120"/>
      <c r="N100" s="150"/>
      <c r="O100" s="121"/>
      <c r="P100" s="121"/>
      <c r="Q100" s="121"/>
      <c r="R100" s="121"/>
    </row>
    <row r="101" spans="2:18" x14ac:dyDescent="0.2">
      <c r="B101" s="173" t="s">
        <v>17</v>
      </c>
      <c r="C101" s="175" t="s">
        <v>60</v>
      </c>
      <c r="D101" s="317" t="s">
        <v>176</v>
      </c>
      <c r="E101" s="318"/>
      <c r="F101" s="318"/>
      <c r="G101" s="319"/>
      <c r="H101" s="27">
        <f>H92</f>
        <v>2081.66</v>
      </c>
      <c r="I101" s="195"/>
      <c r="J101" s="137"/>
      <c r="K101" s="137"/>
      <c r="L101" s="137"/>
      <c r="M101" s="137"/>
      <c r="N101" s="121"/>
      <c r="O101" s="121"/>
      <c r="P101" s="121"/>
      <c r="Q101" s="121"/>
      <c r="R101" s="121"/>
    </row>
    <row r="102" spans="2:18" x14ac:dyDescent="0.2">
      <c r="B102" s="173" t="s">
        <v>18</v>
      </c>
      <c r="C102" s="175" t="s">
        <v>62</v>
      </c>
      <c r="D102" s="317" t="s">
        <v>177</v>
      </c>
      <c r="E102" s="318"/>
      <c r="F102" s="318"/>
      <c r="G102" s="319"/>
      <c r="H102" s="27">
        <f>H97</f>
        <v>0</v>
      </c>
      <c r="I102" s="195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173" t="s">
        <v>178</v>
      </c>
      <c r="C103" s="280" t="s">
        <v>78</v>
      </c>
      <c r="D103" s="328"/>
      <c r="E103" s="328"/>
      <c r="F103" s="328"/>
      <c r="G103" s="281"/>
      <c r="H103" s="23">
        <f>SUM(H101:H102)</f>
        <v>2081.66</v>
      </c>
      <c r="I103" s="24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182"/>
      <c r="C104" s="182"/>
      <c r="D104" s="182"/>
      <c r="E104" s="182"/>
      <c r="F104" s="182"/>
      <c r="G104" s="182"/>
      <c r="H104" s="182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182"/>
      <c r="C105" s="182"/>
      <c r="D105" s="182"/>
      <c r="E105" s="182"/>
      <c r="F105" s="182"/>
      <c r="G105" s="182"/>
      <c r="H105" s="182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324" t="s">
        <v>93</v>
      </c>
      <c r="C106" s="324"/>
      <c r="D106" s="324"/>
      <c r="E106" s="324"/>
      <c r="F106" s="324"/>
      <c r="G106" s="324"/>
      <c r="H106" s="324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177">
        <v>5</v>
      </c>
      <c r="C107" s="329" t="s">
        <v>80</v>
      </c>
      <c r="D107" s="330"/>
      <c r="E107" s="330"/>
      <c r="F107" s="330"/>
      <c r="G107" s="331"/>
      <c r="H107" s="177" t="s">
        <v>67</v>
      </c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173" t="s">
        <v>5</v>
      </c>
      <c r="C108" s="126" t="s">
        <v>63</v>
      </c>
      <c r="D108" s="127"/>
      <c r="E108" s="127"/>
      <c r="F108" s="127"/>
      <c r="G108" s="128"/>
      <c r="H108" s="129"/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173" t="s">
        <v>6</v>
      </c>
      <c r="C109" s="126" t="s">
        <v>13</v>
      </c>
      <c r="D109" s="127"/>
      <c r="E109" s="127"/>
      <c r="F109" s="127"/>
      <c r="G109" s="128"/>
      <c r="H109" s="129"/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173" t="s">
        <v>7</v>
      </c>
      <c r="C110" s="126" t="s">
        <v>14</v>
      </c>
      <c r="D110" s="127"/>
      <c r="E110" s="127"/>
      <c r="F110" s="127"/>
      <c r="G110" s="128"/>
      <c r="H110" s="129"/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173" t="s">
        <v>8</v>
      </c>
      <c r="C111" s="126" t="s">
        <v>225</v>
      </c>
      <c r="D111" s="127"/>
      <c r="E111" s="127"/>
      <c r="F111" s="127"/>
      <c r="G111" s="128"/>
      <c r="H111" s="129">
        <f>Insumos!H33</f>
        <v>47.51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173" t="s">
        <v>179</v>
      </c>
      <c r="C112" s="161" t="s">
        <v>78</v>
      </c>
      <c r="D112" s="161"/>
      <c r="E112" s="161"/>
      <c r="F112" s="161"/>
      <c r="G112" s="162"/>
      <c r="H112" s="23">
        <f>SUM(H108:H111)</f>
        <v>47.51</v>
      </c>
      <c r="I112" s="24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182"/>
      <c r="C113" s="182"/>
      <c r="D113" s="182"/>
      <c r="E113" s="182"/>
      <c r="F113" s="182"/>
      <c r="G113" s="151"/>
      <c r="H113" s="136"/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182"/>
      <c r="C114" s="182"/>
      <c r="D114" s="182"/>
      <c r="E114" s="182"/>
      <c r="F114" s="182"/>
      <c r="G114" s="182"/>
      <c r="H114" s="182"/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324" t="s">
        <v>94</v>
      </c>
      <c r="C115" s="324"/>
      <c r="D115" s="324"/>
      <c r="E115" s="324"/>
      <c r="F115" s="324"/>
      <c r="G115" s="324"/>
      <c r="H115" s="324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177">
        <v>6</v>
      </c>
      <c r="C116" s="280" t="s">
        <v>81</v>
      </c>
      <c r="D116" s="328"/>
      <c r="E116" s="328"/>
      <c r="F116" s="281"/>
      <c r="G116" s="177" t="s">
        <v>2</v>
      </c>
      <c r="H116" s="177" t="s">
        <v>67</v>
      </c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173" t="s">
        <v>5</v>
      </c>
      <c r="C117" s="175" t="s">
        <v>19</v>
      </c>
      <c r="D117" s="317" t="s">
        <v>191</v>
      </c>
      <c r="E117" s="318"/>
      <c r="F117" s="319"/>
      <c r="G117" s="103">
        <v>0.05</v>
      </c>
      <c r="H117" s="27">
        <f>TRUNC(H$134*$G117,2)</f>
        <v>1092.52</v>
      </c>
      <c r="I117" s="195"/>
      <c r="J117" s="119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173" t="s">
        <v>6</v>
      </c>
      <c r="C118" s="175" t="s">
        <v>4</v>
      </c>
      <c r="D118" s="317" t="s">
        <v>192</v>
      </c>
      <c r="E118" s="318"/>
      <c r="F118" s="319"/>
      <c r="G118" s="103">
        <v>0.1</v>
      </c>
      <c r="H118" s="27">
        <f>TRUNC((H$134+H$117)*$G118,2)</f>
        <v>2294.29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173" t="s">
        <v>7</v>
      </c>
      <c r="C119" s="175" t="s">
        <v>143</v>
      </c>
      <c r="D119" s="317" t="s">
        <v>193</v>
      </c>
      <c r="E119" s="318"/>
      <c r="F119" s="319"/>
      <c r="G119" s="105">
        <f>1-(G120+G121+G122)</f>
        <v>0.85749999999999993</v>
      </c>
      <c r="H119" s="34">
        <f>TRUNC(((H$134+H$117+H$118)/$G119),2)</f>
        <v>29431.21</v>
      </c>
      <c r="I119" s="198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173" t="s">
        <v>40</v>
      </c>
      <c r="C120" s="175" t="s">
        <v>37</v>
      </c>
      <c r="D120" s="317" t="s">
        <v>194</v>
      </c>
      <c r="E120" s="318"/>
      <c r="F120" s="319"/>
      <c r="G120" s="104">
        <v>1.6500000000000001E-2</v>
      </c>
      <c r="H120" s="27">
        <f>TRUNC(H$119*$G120,2)</f>
        <v>485.61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173" t="s">
        <v>41</v>
      </c>
      <c r="C121" s="175" t="s">
        <v>38</v>
      </c>
      <c r="D121" s="317" t="s">
        <v>194</v>
      </c>
      <c r="E121" s="318"/>
      <c r="F121" s="319"/>
      <c r="G121" s="104">
        <v>7.5999999999999998E-2</v>
      </c>
      <c r="H121" s="27">
        <f>TRUNC(H$119*$G121,2)</f>
        <v>2236.77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173" t="s">
        <v>42</v>
      </c>
      <c r="C122" s="175" t="s">
        <v>39</v>
      </c>
      <c r="D122" s="317" t="s">
        <v>194</v>
      </c>
      <c r="E122" s="318"/>
      <c r="F122" s="319"/>
      <c r="G122" s="104">
        <v>0.05</v>
      </c>
      <c r="H122" s="27">
        <f>TRUNC(H$119*$G122,2)</f>
        <v>1471.56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173" t="s">
        <v>180</v>
      </c>
      <c r="C123" s="170" t="s">
        <v>78</v>
      </c>
      <c r="D123" s="309" t="s">
        <v>182</v>
      </c>
      <c r="E123" s="309"/>
      <c r="F123" s="309"/>
      <c r="G123" s="310"/>
      <c r="H123" s="23">
        <f>SUM(H117:H122)-H119</f>
        <v>7580.7499999999927</v>
      </c>
      <c r="I123" s="24"/>
      <c r="J123" s="140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124"/>
      <c r="C124" s="124"/>
      <c r="D124" s="124"/>
      <c r="E124" s="124"/>
      <c r="F124" s="124"/>
      <c r="G124" s="124"/>
      <c r="H124" s="152"/>
      <c r="I124" s="35"/>
      <c r="J124" s="119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23" t="s">
        <v>319</v>
      </c>
      <c r="C125" s="323"/>
      <c r="D125" s="323"/>
      <c r="E125" s="323"/>
      <c r="F125" s="323"/>
      <c r="G125" s="323"/>
      <c r="H125" s="323"/>
      <c r="I125" s="209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174"/>
      <c r="C126" s="174"/>
      <c r="D126" s="174"/>
      <c r="E126" s="174"/>
      <c r="F126" s="174"/>
      <c r="G126" s="174"/>
      <c r="H126" s="174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324" t="s">
        <v>116</v>
      </c>
      <c r="C127" s="324"/>
      <c r="D127" s="324"/>
      <c r="E127" s="324"/>
      <c r="F127" s="324"/>
      <c r="G127" s="324"/>
      <c r="H127" s="324"/>
      <c r="I127" s="208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ht="12.75" customHeight="1" x14ac:dyDescent="0.2">
      <c r="B128" s="36"/>
      <c r="C128" s="325" t="s">
        <v>144</v>
      </c>
      <c r="D128" s="326"/>
      <c r="E128" s="326"/>
      <c r="F128" s="326"/>
      <c r="G128" s="327"/>
      <c r="H128" s="177" t="s">
        <v>67</v>
      </c>
      <c r="I128" s="208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173" t="s">
        <v>5</v>
      </c>
      <c r="C129" s="165" t="s">
        <v>97</v>
      </c>
      <c r="D129" s="317" t="s">
        <v>157</v>
      </c>
      <c r="E129" s="318"/>
      <c r="F129" s="318"/>
      <c r="G129" s="319"/>
      <c r="H129" s="27">
        <f>H32</f>
        <v>10863.84</v>
      </c>
      <c r="I129" s="195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173" t="s">
        <v>6</v>
      </c>
      <c r="C130" s="165" t="s">
        <v>98</v>
      </c>
      <c r="D130" s="317" t="s">
        <v>171</v>
      </c>
      <c r="E130" s="318"/>
      <c r="F130" s="318"/>
      <c r="G130" s="319"/>
      <c r="H130" s="27">
        <f>H72</f>
        <v>7796.6399999999994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173" t="s">
        <v>7</v>
      </c>
      <c r="C131" s="165" t="s">
        <v>99</v>
      </c>
      <c r="D131" s="317" t="s">
        <v>175</v>
      </c>
      <c r="E131" s="318"/>
      <c r="F131" s="318"/>
      <c r="G131" s="319"/>
      <c r="H131" s="27">
        <f>H83</f>
        <v>1060.81</v>
      </c>
      <c r="I131" s="195"/>
      <c r="J131" s="119"/>
      <c r="K131" s="153"/>
      <c r="L131" s="119"/>
      <c r="M131" s="120"/>
      <c r="N131" s="121"/>
      <c r="O131" s="121"/>
      <c r="P131" s="121"/>
      <c r="Q131" s="121"/>
      <c r="R131" s="121"/>
    </row>
    <row r="132" spans="2:18" ht="22.5" x14ac:dyDescent="0.2">
      <c r="B132" s="173" t="s">
        <v>8</v>
      </c>
      <c r="C132" s="165" t="s">
        <v>61</v>
      </c>
      <c r="D132" s="317" t="s">
        <v>178</v>
      </c>
      <c r="E132" s="318"/>
      <c r="F132" s="318"/>
      <c r="G132" s="319"/>
      <c r="H132" s="27">
        <f>H103</f>
        <v>2081.66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173" t="s">
        <v>9</v>
      </c>
      <c r="C133" s="165" t="s">
        <v>100</v>
      </c>
      <c r="D133" s="317" t="s">
        <v>179</v>
      </c>
      <c r="E133" s="318"/>
      <c r="F133" s="318"/>
      <c r="G133" s="319"/>
      <c r="H133" s="27">
        <f>H112</f>
        <v>47.51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172" t="s">
        <v>10</v>
      </c>
      <c r="C134" s="164" t="s">
        <v>64</v>
      </c>
      <c r="D134" s="320" t="s">
        <v>198</v>
      </c>
      <c r="E134" s="321"/>
      <c r="F134" s="321"/>
      <c r="G134" s="322"/>
      <c r="H134" s="31">
        <f>SUM(H129:H133)</f>
        <v>21850.46</v>
      </c>
      <c r="I134" s="24"/>
      <c r="J134" s="119"/>
      <c r="K134" s="154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173" t="s">
        <v>11</v>
      </c>
      <c r="C135" s="175" t="s">
        <v>101</v>
      </c>
      <c r="D135" s="317" t="s">
        <v>180</v>
      </c>
      <c r="E135" s="318"/>
      <c r="F135" s="318"/>
      <c r="G135" s="319"/>
      <c r="H135" s="27">
        <f>H123</f>
        <v>7580.7499999999927</v>
      </c>
      <c r="I135" s="195"/>
      <c r="J135" s="119"/>
      <c r="K135" s="119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173" t="s">
        <v>183</v>
      </c>
      <c r="C136" s="169" t="s">
        <v>96</v>
      </c>
      <c r="D136" s="308" t="s">
        <v>197</v>
      </c>
      <c r="E136" s="309"/>
      <c r="F136" s="309"/>
      <c r="G136" s="310"/>
      <c r="H136" s="37">
        <f>SUM(H134:H135)</f>
        <v>29431.209999999992</v>
      </c>
      <c r="I136" s="213"/>
      <c r="J136" s="119"/>
      <c r="K136" s="155"/>
      <c r="L136" s="119"/>
      <c r="M136" s="120"/>
      <c r="N136" s="121"/>
      <c r="O136" s="121"/>
      <c r="P136" s="121"/>
      <c r="Q136" s="121"/>
      <c r="R136" s="121"/>
    </row>
    <row r="137" spans="2:18" ht="12.75" hidden="1" customHeight="1" x14ac:dyDescent="0.2">
      <c r="B137" s="14"/>
      <c r="C137" s="14"/>
      <c r="D137" s="14"/>
      <c r="E137" s="14"/>
      <c r="F137" s="14"/>
      <c r="G137" s="14"/>
      <c r="H137" s="38"/>
      <c r="I137" s="214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40.5" hidden="1" customHeight="1" x14ac:dyDescent="0.2">
      <c r="B138" s="39"/>
      <c r="C138" s="39" t="s">
        <v>20</v>
      </c>
      <c r="D138" s="39"/>
      <c r="E138" s="39"/>
      <c r="F138" s="39"/>
      <c r="G138" s="40"/>
      <c r="H138" s="40"/>
      <c r="I138" s="215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39" hidden="1" customHeight="1" x14ac:dyDescent="0.2">
      <c r="B139" s="311" t="s">
        <v>22</v>
      </c>
      <c r="C139" s="312"/>
      <c r="D139" s="171"/>
      <c r="E139" s="171"/>
      <c r="F139" s="171"/>
      <c r="G139" s="41" t="s">
        <v>21</v>
      </c>
      <c r="H139" s="42" t="s">
        <v>0</v>
      </c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3" t="s">
        <v>23</v>
      </c>
      <c r="C140" s="314"/>
      <c r="D140" s="43"/>
      <c r="E140" s="43"/>
      <c r="F140" s="43"/>
      <c r="G140" s="44"/>
      <c r="H140" s="45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5" t="s">
        <v>24</v>
      </c>
      <c r="C141" s="316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15" t="s">
        <v>25</v>
      </c>
      <c r="C142" s="316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15" t="s">
        <v>26</v>
      </c>
      <c r="C143" s="316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299"/>
      <c r="C144" s="300"/>
      <c r="D144" s="49"/>
      <c r="E144" s="49"/>
      <c r="F144" s="49"/>
      <c r="G144" s="50"/>
      <c r="H144" s="48"/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3.5" hidden="1" customHeight="1" x14ac:dyDescent="0.2">
      <c r="B145" s="301"/>
      <c r="C145" s="302"/>
      <c r="D145" s="51"/>
      <c r="E145" s="51"/>
      <c r="F145" s="51"/>
      <c r="G145" s="52"/>
      <c r="H145" s="53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54" t="s">
        <v>27</v>
      </c>
      <c r="C146" s="55"/>
      <c r="D146" s="55"/>
      <c r="E146" s="55"/>
      <c r="F146" s="55"/>
      <c r="G146" s="56"/>
      <c r="H146" s="57">
        <f>SUM(H144:H145)</f>
        <v>0</v>
      </c>
      <c r="I146" s="200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2.75" hidden="1" customHeight="1" x14ac:dyDescent="0.2">
      <c r="B147" s="14"/>
      <c r="C147" s="14"/>
      <c r="D147" s="14"/>
      <c r="E147" s="14"/>
      <c r="F147" s="14"/>
      <c r="G147" s="14"/>
      <c r="H147" s="14"/>
      <c r="I147" s="18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3.5" hidden="1" customHeight="1" x14ac:dyDescent="0.2">
      <c r="B148" s="39" t="s">
        <v>28</v>
      </c>
      <c r="C148" s="39" t="s">
        <v>29</v>
      </c>
      <c r="D148" s="39"/>
      <c r="E148" s="39"/>
      <c r="F148" s="39"/>
      <c r="G148" s="40"/>
      <c r="H148" s="40"/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58" t="s">
        <v>30</v>
      </c>
      <c r="C149" s="59"/>
      <c r="D149" s="59"/>
      <c r="E149" s="59"/>
      <c r="F149" s="59"/>
      <c r="G149" s="59"/>
      <c r="H149" s="6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2.75" hidden="1" customHeight="1" x14ac:dyDescent="0.2">
      <c r="B150" s="61"/>
      <c r="C150" s="62" t="s">
        <v>31</v>
      </c>
      <c r="D150" s="63"/>
      <c r="E150" s="63"/>
      <c r="F150" s="63"/>
      <c r="G150" s="64"/>
      <c r="H150" s="42" t="s">
        <v>0</v>
      </c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5" t="s">
        <v>5</v>
      </c>
      <c r="C151" s="66" t="s">
        <v>32</v>
      </c>
      <c r="D151" s="67"/>
      <c r="E151" s="67"/>
      <c r="F151" s="67"/>
      <c r="G151" s="68"/>
      <c r="H151" s="69">
        <f>H120</f>
        <v>485.61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0" t="s">
        <v>6</v>
      </c>
      <c r="C152" s="71" t="s">
        <v>33</v>
      </c>
      <c r="D152" s="72"/>
      <c r="E152" s="72"/>
      <c r="F152" s="72"/>
      <c r="G152" s="73"/>
      <c r="H152" s="74" t="e">
        <f>#REF!</f>
        <v>#REF!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7</v>
      </c>
      <c r="C153" s="75" t="s">
        <v>34</v>
      </c>
      <c r="D153" s="76"/>
      <c r="E153" s="76"/>
      <c r="F153" s="76"/>
      <c r="G153" s="77"/>
      <c r="H153" s="74">
        <f>H123</f>
        <v>7580.7499999999927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8" t="s">
        <v>16</v>
      </c>
      <c r="C154" s="79"/>
      <c r="D154" s="79"/>
      <c r="E154" s="79"/>
      <c r="F154" s="79"/>
      <c r="G154" s="80"/>
      <c r="H154" s="57" t="e">
        <f>SUM(H151:H153)</f>
        <v>#REF!</v>
      </c>
      <c r="I154" s="200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2.75" hidden="1" customHeight="1" x14ac:dyDescent="0.2">
      <c r="B155" s="81" t="s">
        <v>15</v>
      </c>
      <c r="C155" s="14" t="s">
        <v>35</v>
      </c>
      <c r="D155" s="14"/>
      <c r="E155" s="14"/>
      <c r="F155" s="14"/>
      <c r="G155" s="14"/>
      <c r="H155" s="14"/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14"/>
      <c r="C156" s="14"/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x14ac:dyDescent="0.2"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B158" s="303" t="s">
        <v>320</v>
      </c>
      <c r="C158" s="303"/>
      <c r="D158" s="303"/>
      <c r="E158" s="303"/>
      <c r="F158" s="303"/>
      <c r="I158" s="18"/>
      <c r="J158" s="188"/>
      <c r="K158" s="157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158"/>
      <c r="C159" s="158"/>
      <c r="D159" s="158"/>
      <c r="E159" s="142"/>
      <c r="F159" s="142"/>
      <c r="I159" s="18"/>
    </row>
    <row r="160" spans="2:18" x14ac:dyDescent="0.2">
      <c r="B160" s="304" t="s">
        <v>202</v>
      </c>
      <c r="C160" s="304"/>
      <c r="D160" s="304"/>
      <c r="E160" s="304"/>
      <c r="F160" s="304"/>
      <c r="G160" s="304"/>
      <c r="H160" s="304"/>
      <c r="I160" s="210"/>
      <c r="J160" s="188"/>
    </row>
    <row r="161" spans="2:14" x14ac:dyDescent="0.2">
      <c r="B161" s="173" t="s">
        <v>5</v>
      </c>
      <c r="C161" s="167" t="s">
        <v>127</v>
      </c>
      <c r="D161" s="292" t="s">
        <v>183</v>
      </c>
      <c r="E161" s="293"/>
      <c r="F161" s="293"/>
      <c r="G161" s="294"/>
      <c r="H161" s="12">
        <f>H136</f>
        <v>29431.209999999992</v>
      </c>
      <c r="I161" s="207"/>
    </row>
    <row r="162" spans="2:14" ht="22.5" x14ac:dyDescent="0.2">
      <c r="B162" s="173" t="s">
        <v>6</v>
      </c>
      <c r="C162" s="166" t="s">
        <v>185</v>
      </c>
      <c r="D162" s="292" t="s">
        <v>186</v>
      </c>
      <c r="E162" s="293"/>
      <c r="F162" s="293"/>
      <c r="G162" s="294"/>
      <c r="H162" s="12">
        <f>H43+H83+H101</f>
        <v>5254.8799999999992</v>
      </c>
      <c r="I162" s="201"/>
    </row>
    <row r="163" spans="2:14" ht="22.5" x14ac:dyDescent="0.2">
      <c r="B163" s="189" t="s">
        <v>7</v>
      </c>
      <c r="C163" s="205" t="s">
        <v>203</v>
      </c>
      <c r="D163" s="305" t="s">
        <v>211</v>
      </c>
      <c r="E163" s="306"/>
      <c r="F163" s="306"/>
      <c r="G163" s="307"/>
      <c r="H163" s="206">
        <f>TRUNC((H$43*$G56),2)</f>
        <v>777.36</v>
      </c>
      <c r="I163" s="207"/>
      <c r="J163" s="187"/>
    </row>
    <row r="164" spans="2:14" ht="12.75" customHeight="1" x14ac:dyDescent="0.2">
      <c r="B164" s="173" t="s">
        <v>8</v>
      </c>
      <c r="C164" s="166" t="s">
        <v>19</v>
      </c>
      <c r="D164" s="289" t="s">
        <v>195</v>
      </c>
      <c r="E164" s="290"/>
      <c r="F164" s="291"/>
      <c r="G164" s="13">
        <f>G117</f>
        <v>0.05</v>
      </c>
      <c r="H164" s="12">
        <f>TRUNC((H$162+H$163)*$G164,2)</f>
        <v>301.61</v>
      </c>
      <c r="I164" s="201"/>
      <c r="J164" s="288"/>
      <c r="K164" s="288"/>
      <c r="L164" s="288"/>
      <c r="M164" s="288"/>
      <c r="N164" s="288"/>
    </row>
    <row r="165" spans="2:14" ht="12.75" customHeight="1" x14ac:dyDescent="0.2">
      <c r="B165" s="173" t="s">
        <v>9</v>
      </c>
      <c r="C165" s="166" t="s">
        <v>4</v>
      </c>
      <c r="D165" s="289" t="s">
        <v>196</v>
      </c>
      <c r="E165" s="290"/>
      <c r="F165" s="291"/>
      <c r="G165" s="13">
        <f>G118</f>
        <v>0.1</v>
      </c>
      <c r="H165" s="12">
        <f>TRUNC((H$162+H$163+H$164)*$G165,2)</f>
        <v>633.38</v>
      </c>
      <c r="I165" s="201"/>
      <c r="J165" s="288"/>
      <c r="K165" s="288"/>
      <c r="L165" s="288"/>
      <c r="M165" s="288"/>
      <c r="N165" s="288"/>
    </row>
    <row r="166" spans="2:14" ht="12.75" customHeight="1" x14ac:dyDescent="0.2">
      <c r="B166" s="173" t="s">
        <v>10</v>
      </c>
      <c r="C166" s="166" t="s">
        <v>128</v>
      </c>
      <c r="D166" s="289" t="s">
        <v>205</v>
      </c>
      <c r="E166" s="290"/>
      <c r="F166" s="291"/>
      <c r="G166" s="13">
        <f>G120+G121+G122</f>
        <v>0.14250000000000002</v>
      </c>
      <c r="H166" s="12">
        <f>TRUNC((H$162+H$163+H$164+H$165)/(1-$G166)-(H$162+H$163+H$164+H$165),2)</f>
        <v>1157.81</v>
      </c>
      <c r="I166" s="201"/>
      <c r="J166" s="288"/>
      <c r="K166" s="288"/>
      <c r="L166" s="288"/>
      <c r="M166" s="288"/>
      <c r="N166" s="288"/>
    </row>
    <row r="167" spans="2:14" ht="22.5" x14ac:dyDescent="0.2">
      <c r="B167" s="173" t="s">
        <v>11</v>
      </c>
      <c r="C167" s="274" t="s">
        <v>129</v>
      </c>
      <c r="D167" s="292" t="s">
        <v>206</v>
      </c>
      <c r="E167" s="293"/>
      <c r="F167" s="293"/>
      <c r="G167" s="294"/>
      <c r="H167" s="275">
        <f>SUM(H162:H166)</f>
        <v>8125.0399999999991</v>
      </c>
      <c r="I167" s="202"/>
    </row>
    <row r="168" spans="2:14" x14ac:dyDescent="0.2">
      <c r="B168" s="272" t="s">
        <v>184</v>
      </c>
      <c r="C168" s="276" t="s">
        <v>154</v>
      </c>
      <c r="D168" s="295" t="s">
        <v>204</v>
      </c>
      <c r="E168" s="296"/>
      <c r="F168" s="296"/>
      <c r="G168" s="297"/>
      <c r="H168" s="277">
        <f>H161-H167</f>
        <v>21306.169999999991</v>
      </c>
      <c r="I168" s="216"/>
    </row>
    <row r="169" spans="2:14" ht="45" customHeight="1" x14ac:dyDescent="0.2">
      <c r="B169" s="298" t="s">
        <v>153</v>
      </c>
      <c r="C169" s="298"/>
      <c r="D169" s="298"/>
      <c r="E169" s="298"/>
      <c r="F169" s="298"/>
      <c r="G169" s="298"/>
      <c r="H169" s="298"/>
      <c r="I169" s="203"/>
    </row>
  </sheetData>
  <mergeCells count="141">
    <mergeCell ref="D27:F27"/>
    <mergeCell ref="D28:F28"/>
    <mergeCell ref="D29:F29"/>
    <mergeCell ref="D30:F30"/>
    <mergeCell ref="B2:H2"/>
    <mergeCell ref="B3:H3"/>
    <mergeCell ref="B6:F6"/>
    <mergeCell ref="G6:H6"/>
    <mergeCell ref="B8:H8"/>
    <mergeCell ref="B9:B10"/>
    <mergeCell ref="C9:H9"/>
    <mergeCell ref="C10:H10"/>
    <mergeCell ref="B17:B18"/>
    <mergeCell ref="C17:H17"/>
    <mergeCell ref="C18:H18"/>
    <mergeCell ref="B15:B16"/>
    <mergeCell ref="C15:H15"/>
    <mergeCell ref="C16:H16"/>
    <mergeCell ref="B11:B12"/>
    <mergeCell ref="C11:H11"/>
    <mergeCell ref="C12:H12"/>
    <mergeCell ref="B13:B14"/>
    <mergeCell ref="C13:H13"/>
    <mergeCell ref="C14:H14"/>
    <mergeCell ref="B19:B20"/>
    <mergeCell ref="C19:H19"/>
    <mergeCell ref="C20:H20"/>
    <mergeCell ref="B22:H22"/>
    <mergeCell ref="B24:H24"/>
    <mergeCell ref="C25:F25"/>
    <mergeCell ref="B49:B50"/>
    <mergeCell ref="C49:C50"/>
    <mergeCell ref="D49:D50"/>
    <mergeCell ref="C40:F40"/>
    <mergeCell ref="D41:F41"/>
    <mergeCell ref="D42:F42"/>
    <mergeCell ref="C43:F43"/>
    <mergeCell ref="B44:H44"/>
    <mergeCell ref="B45:H45"/>
    <mergeCell ref="G49:G50"/>
    <mergeCell ref="H49:H50"/>
    <mergeCell ref="D31:F31"/>
    <mergeCell ref="C32:F32"/>
    <mergeCell ref="C33:F34"/>
    <mergeCell ref="B37:H37"/>
    <mergeCell ref="B38:H38"/>
    <mergeCell ref="B39:H39"/>
    <mergeCell ref="D26:F26"/>
    <mergeCell ref="J49:J50"/>
    <mergeCell ref="D51:F51"/>
    <mergeCell ref="D52:F52"/>
    <mergeCell ref="D53:F53"/>
    <mergeCell ref="C46:F46"/>
    <mergeCell ref="D47:F47"/>
    <mergeCell ref="D48:F48"/>
    <mergeCell ref="D60:G60"/>
    <mergeCell ref="J60:N60"/>
    <mergeCell ref="D61:G61"/>
    <mergeCell ref="D62:G62"/>
    <mergeCell ref="D64:G64"/>
    <mergeCell ref="C65:G65"/>
    <mergeCell ref="D54:F54"/>
    <mergeCell ref="D55:F55"/>
    <mergeCell ref="C56:F56"/>
    <mergeCell ref="B57:H57"/>
    <mergeCell ref="B58:H58"/>
    <mergeCell ref="C59:G59"/>
    <mergeCell ref="C72:G72"/>
    <mergeCell ref="B73:H73"/>
    <mergeCell ref="B75:H75"/>
    <mergeCell ref="C76:F76"/>
    <mergeCell ref="D77:F77"/>
    <mergeCell ref="D78:F78"/>
    <mergeCell ref="B66:H66"/>
    <mergeCell ref="B67:H67"/>
    <mergeCell ref="C68:G68"/>
    <mergeCell ref="D69:G69"/>
    <mergeCell ref="D70:G70"/>
    <mergeCell ref="D71:G71"/>
    <mergeCell ref="B87:H87"/>
    <mergeCell ref="C88:F88"/>
    <mergeCell ref="D89:F89"/>
    <mergeCell ref="D90:F90"/>
    <mergeCell ref="D91:G91"/>
    <mergeCell ref="C92:G92"/>
    <mergeCell ref="D79:E79"/>
    <mergeCell ref="D80:F80"/>
    <mergeCell ref="D81:E81"/>
    <mergeCell ref="D82:E82"/>
    <mergeCell ref="C83:G83"/>
    <mergeCell ref="B86:H86"/>
    <mergeCell ref="D101:G101"/>
    <mergeCell ref="D102:G102"/>
    <mergeCell ref="C103:G103"/>
    <mergeCell ref="B106:H106"/>
    <mergeCell ref="C107:G107"/>
    <mergeCell ref="B115:H115"/>
    <mergeCell ref="B94:H94"/>
    <mergeCell ref="C95:F95"/>
    <mergeCell ref="D96:F96"/>
    <mergeCell ref="B99:H99"/>
    <mergeCell ref="C100:G100"/>
    <mergeCell ref="C97:G97"/>
    <mergeCell ref="D122:F122"/>
    <mergeCell ref="D123:G123"/>
    <mergeCell ref="B125:H125"/>
    <mergeCell ref="B127:H127"/>
    <mergeCell ref="C128:G128"/>
    <mergeCell ref="D129:G129"/>
    <mergeCell ref="C116:F116"/>
    <mergeCell ref="D117:F117"/>
    <mergeCell ref="D118:F118"/>
    <mergeCell ref="D119:F119"/>
    <mergeCell ref="D120:F120"/>
    <mergeCell ref="D121:F121"/>
    <mergeCell ref="D136:G136"/>
    <mergeCell ref="B139:C139"/>
    <mergeCell ref="B140:C140"/>
    <mergeCell ref="B141:C141"/>
    <mergeCell ref="B142:C142"/>
    <mergeCell ref="B143:C143"/>
    <mergeCell ref="D130:G130"/>
    <mergeCell ref="D131:G131"/>
    <mergeCell ref="D132:G132"/>
    <mergeCell ref="D133:G133"/>
    <mergeCell ref="D134:G134"/>
    <mergeCell ref="D135:G135"/>
    <mergeCell ref="J164:N166"/>
    <mergeCell ref="D164:F164"/>
    <mergeCell ref="D165:F165"/>
    <mergeCell ref="D166:F166"/>
    <mergeCell ref="D167:G167"/>
    <mergeCell ref="D168:G168"/>
    <mergeCell ref="B169:H169"/>
    <mergeCell ref="B144:C144"/>
    <mergeCell ref="B145:C145"/>
    <mergeCell ref="B158:F158"/>
    <mergeCell ref="B160:H160"/>
    <mergeCell ref="D161:G161"/>
    <mergeCell ref="D163:G163"/>
    <mergeCell ref="D162:G162"/>
  </mergeCells>
  <dataValidations disablePrompts="1" count="11">
    <dataValidation type="list" allowBlank="1" showInputMessage="1" showErrorMessage="1" sqref="G82">
      <formula1>"3,6,9,12,15"</formula1>
    </dataValidation>
    <dataValidation type="custom" allowBlank="1" showInputMessage="1" showErrorMessage="1" sqref="G119">
      <formula1>1-(G120+G121+G122)</formula1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allowBlank="1" showInputMessage="1" showErrorMessage="1" sqref="G30">
      <formula1>"0, 50%, 100%"</formula1>
    </dataValidation>
    <dataValidation type="list" allowBlank="1" showInputMessage="1" showErrorMessage="1" sqref="G120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B1:T169"/>
  <sheetViews>
    <sheetView showGridLines="0" topLeftCell="B130" workbookViewId="0">
      <selection activeCell="J19" sqref="J19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1" t="s">
        <v>68</v>
      </c>
      <c r="C2" s="371"/>
      <c r="D2" s="371"/>
      <c r="E2" s="371"/>
      <c r="F2" s="371"/>
      <c r="G2" s="371"/>
      <c r="H2" s="371"/>
      <c r="I2" s="235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2" t="s">
        <v>321</v>
      </c>
      <c r="C3" s="372"/>
      <c r="D3" s="372"/>
      <c r="E3" s="372"/>
      <c r="F3" s="372"/>
      <c r="G3" s="372"/>
      <c r="H3" s="372"/>
      <c r="I3" s="236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3" t="s">
        <v>155</v>
      </c>
      <c r="C6" s="373"/>
      <c r="D6" s="373"/>
      <c r="E6" s="373"/>
      <c r="F6" s="373"/>
      <c r="G6" s="374" t="s">
        <v>227</v>
      </c>
      <c r="H6" s="374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4" t="s">
        <v>69</v>
      </c>
      <c r="C8" s="304"/>
      <c r="D8" s="304"/>
      <c r="E8" s="304"/>
      <c r="F8" s="304"/>
      <c r="G8" s="304"/>
      <c r="H8" s="304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5">
        <v>1</v>
      </c>
      <c r="C9" s="356" t="s">
        <v>70</v>
      </c>
      <c r="D9" s="356"/>
      <c r="E9" s="356"/>
      <c r="F9" s="356"/>
      <c r="G9" s="356"/>
      <c r="H9" s="356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5"/>
      <c r="C10" s="357"/>
      <c r="D10" s="357"/>
      <c r="E10" s="357"/>
      <c r="F10" s="357"/>
      <c r="G10" s="357"/>
      <c r="H10" s="357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5">
        <v>2</v>
      </c>
      <c r="C11" s="356" t="s">
        <v>72</v>
      </c>
      <c r="D11" s="356"/>
      <c r="E11" s="356"/>
      <c r="F11" s="356"/>
      <c r="G11" s="356"/>
      <c r="H11" s="356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5"/>
      <c r="C12" s="357"/>
      <c r="D12" s="357"/>
      <c r="E12" s="357"/>
      <c r="F12" s="357"/>
      <c r="G12" s="357"/>
      <c r="H12" s="357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5">
        <v>3</v>
      </c>
      <c r="C13" s="356" t="s">
        <v>73</v>
      </c>
      <c r="D13" s="356"/>
      <c r="E13" s="356"/>
      <c r="F13" s="356"/>
      <c r="G13" s="356"/>
      <c r="H13" s="356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5"/>
      <c r="C14" s="357"/>
      <c r="D14" s="357"/>
      <c r="E14" s="357"/>
      <c r="F14" s="357"/>
      <c r="G14" s="357"/>
      <c r="H14" s="357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5">
        <v>4</v>
      </c>
      <c r="C15" s="356" t="s">
        <v>74</v>
      </c>
      <c r="D15" s="356"/>
      <c r="E15" s="356"/>
      <c r="F15" s="356"/>
      <c r="G15" s="356"/>
      <c r="H15" s="356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5"/>
      <c r="C16" s="357"/>
      <c r="D16" s="357"/>
      <c r="E16" s="357"/>
      <c r="F16" s="357"/>
      <c r="G16" s="357"/>
      <c r="H16" s="357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5">
        <v>5</v>
      </c>
      <c r="C17" s="356" t="s">
        <v>75</v>
      </c>
      <c r="D17" s="356"/>
      <c r="E17" s="356"/>
      <c r="F17" s="356"/>
      <c r="G17" s="356"/>
      <c r="H17" s="356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5"/>
      <c r="C18" s="357"/>
      <c r="D18" s="357"/>
      <c r="E18" s="357"/>
      <c r="F18" s="357"/>
      <c r="G18" s="357"/>
      <c r="H18" s="357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5">
        <v>6</v>
      </c>
      <c r="C19" s="356" t="s">
        <v>76</v>
      </c>
      <c r="D19" s="356"/>
      <c r="E19" s="356"/>
      <c r="F19" s="356"/>
      <c r="G19" s="356"/>
      <c r="H19" s="356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5"/>
      <c r="C20" s="357"/>
      <c r="D20" s="357"/>
      <c r="E20" s="357"/>
      <c r="F20" s="357"/>
      <c r="G20" s="357"/>
      <c r="H20" s="357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3" t="s">
        <v>95</v>
      </c>
      <c r="C22" s="323"/>
      <c r="D22" s="323"/>
      <c r="E22" s="323"/>
      <c r="F22" s="323"/>
      <c r="G22" s="323"/>
      <c r="H22" s="32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4" t="s">
        <v>83</v>
      </c>
      <c r="C24" s="324"/>
      <c r="D24" s="324"/>
      <c r="E24" s="324"/>
      <c r="F24" s="324"/>
      <c r="G24" s="324"/>
      <c r="H24" s="32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0" t="s">
        <v>77</v>
      </c>
      <c r="D25" s="328"/>
      <c r="E25" s="328"/>
      <c r="F25" s="281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17" t="s">
        <v>221</v>
      </c>
      <c r="E26" s="318"/>
      <c r="F26" s="319"/>
      <c r="G26" s="21"/>
      <c r="H26" s="82">
        <v>3257.49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17" t="s">
        <v>156</v>
      </c>
      <c r="E27" s="318"/>
      <c r="F27" s="319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17" t="s">
        <v>199</v>
      </c>
      <c r="E28" s="318"/>
      <c r="F28" s="319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17" t="s">
        <v>208</v>
      </c>
      <c r="E29" s="318"/>
      <c r="F29" s="319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32" t="s">
        <v>9</v>
      </c>
      <c r="C30" s="176" t="s">
        <v>130</v>
      </c>
      <c r="D30" s="317" t="s">
        <v>209</v>
      </c>
      <c r="E30" s="318"/>
      <c r="F30" s="319"/>
      <c r="G30" s="261">
        <v>0.5</v>
      </c>
      <c r="H30" s="27">
        <f>TRUNC($G$34*$H34*(1+G$30),2)</f>
        <v>710.4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31" t="s">
        <v>10</v>
      </c>
      <c r="C31" s="176" t="s">
        <v>3</v>
      </c>
      <c r="D31" s="317"/>
      <c r="E31" s="318"/>
      <c r="F31" s="319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31" t="s">
        <v>157</v>
      </c>
      <c r="C32" s="280" t="s">
        <v>78</v>
      </c>
      <c r="D32" s="328"/>
      <c r="E32" s="328"/>
      <c r="F32" s="281"/>
      <c r="G32" s="36"/>
      <c r="H32" s="23">
        <f>SUM(H26:H31)</f>
        <v>3967.89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5"/>
      <c r="C33" s="324" t="s">
        <v>145</v>
      </c>
      <c r="D33" s="324"/>
      <c r="E33" s="324"/>
      <c r="F33" s="324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5"/>
      <c r="C34" s="324"/>
      <c r="D34" s="324"/>
      <c r="E34" s="324"/>
      <c r="F34" s="324"/>
      <c r="G34" s="107">
        <v>32</v>
      </c>
      <c r="H34" s="83">
        <f>IF(G34="",0,TRUNC((H26+H27+H28)/220,2))</f>
        <v>14.8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5"/>
      <c r="C35" s="235"/>
      <c r="D35" s="235"/>
      <c r="E35" s="235"/>
      <c r="F35" s="235"/>
      <c r="G35" s="235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5"/>
      <c r="C36" s="235"/>
      <c r="D36" s="235"/>
      <c r="E36" s="235"/>
      <c r="F36" s="235"/>
      <c r="G36" s="235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24" t="s">
        <v>84</v>
      </c>
      <c r="C37" s="324"/>
      <c r="D37" s="324"/>
      <c r="E37" s="324"/>
      <c r="F37" s="324"/>
      <c r="G37" s="324"/>
      <c r="H37" s="324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67"/>
      <c r="C38" s="368"/>
      <c r="D38" s="368"/>
      <c r="E38" s="368"/>
      <c r="F38" s="368"/>
      <c r="G38" s="368"/>
      <c r="H38" s="369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70" t="s">
        <v>54</v>
      </c>
      <c r="C39" s="370"/>
      <c r="D39" s="370"/>
      <c r="E39" s="370"/>
      <c r="F39" s="370"/>
      <c r="G39" s="370"/>
      <c r="H39" s="370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0" t="s">
        <v>45</v>
      </c>
      <c r="D40" s="328"/>
      <c r="E40" s="328"/>
      <c r="F40" s="281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31" t="s">
        <v>5</v>
      </c>
      <c r="C41" s="175" t="s">
        <v>133</v>
      </c>
      <c r="D41" s="317" t="s">
        <v>158</v>
      </c>
      <c r="E41" s="318"/>
      <c r="F41" s="319"/>
      <c r="G41" s="26">
        <f>1/12</f>
        <v>8.3333333333333329E-2</v>
      </c>
      <c r="H41" s="27">
        <f>TRUNC((H$32*$G41),2)</f>
        <v>330.65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31" t="s">
        <v>6</v>
      </c>
      <c r="C42" s="175" t="s">
        <v>82</v>
      </c>
      <c r="D42" s="317" t="s">
        <v>160</v>
      </c>
      <c r="E42" s="318"/>
      <c r="F42" s="319"/>
      <c r="G42" s="26">
        <f>(1/12)+(1/3/12)</f>
        <v>0.1111111111111111</v>
      </c>
      <c r="H42" s="27">
        <f>TRUNC((H$32*$G42),2)</f>
        <v>440.87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31" t="s">
        <v>159</v>
      </c>
      <c r="C43" s="280" t="s">
        <v>78</v>
      </c>
      <c r="D43" s="328"/>
      <c r="E43" s="328"/>
      <c r="F43" s="281"/>
      <c r="G43" s="28">
        <f>TRUNC(SUM(G41:G42),4)</f>
        <v>0.19439999999999999</v>
      </c>
      <c r="H43" s="23">
        <f>SUM(H41:H42)</f>
        <v>771.52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44"/>
      <c r="C44" s="343"/>
      <c r="D44" s="343"/>
      <c r="E44" s="343"/>
      <c r="F44" s="343"/>
      <c r="G44" s="343"/>
      <c r="H44" s="345"/>
      <c r="I44" s="235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50" t="s">
        <v>85</v>
      </c>
      <c r="C45" s="351"/>
      <c r="D45" s="351"/>
      <c r="E45" s="351"/>
      <c r="F45" s="351"/>
      <c r="G45" s="351"/>
      <c r="H45" s="352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0" t="s">
        <v>86</v>
      </c>
      <c r="D46" s="328"/>
      <c r="E46" s="328"/>
      <c r="F46" s="281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31" t="s">
        <v>5</v>
      </c>
      <c r="C47" s="175" t="s">
        <v>48</v>
      </c>
      <c r="D47" s="317" t="s">
        <v>161</v>
      </c>
      <c r="E47" s="318"/>
      <c r="F47" s="319"/>
      <c r="G47" s="26">
        <v>0.2</v>
      </c>
      <c r="H47" s="27">
        <f>TRUNC((H$32+H$43)*$G47,2)</f>
        <v>947.88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31" t="s">
        <v>6</v>
      </c>
      <c r="C48" s="160" t="s">
        <v>49</v>
      </c>
      <c r="D48" s="317" t="s">
        <v>162</v>
      </c>
      <c r="E48" s="318"/>
      <c r="F48" s="319"/>
      <c r="G48" s="26">
        <v>2.5000000000000001E-2</v>
      </c>
      <c r="H48" s="27">
        <f>TRUNC((H$32+H$43)*$G48,2)</f>
        <v>118.48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58" t="s">
        <v>7</v>
      </c>
      <c r="C49" s="360" t="s">
        <v>124</v>
      </c>
      <c r="D49" s="362" t="s">
        <v>168</v>
      </c>
      <c r="E49" s="11" t="s">
        <v>125</v>
      </c>
      <c r="F49" s="11" t="s">
        <v>123</v>
      </c>
      <c r="G49" s="363">
        <f>E50*F50</f>
        <v>0.03</v>
      </c>
      <c r="H49" s="365">
        <f>TRUNC((H$32+H$43)*$G49,2)</f>
        <v>142.18</v>
      </c>
      <c r="I49" s="198"/>
      <c r="J49" s="353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59"/>
      <c r="C50" s="361"/>
      <c r="D50" s="362"/>
      <c r="E50" s="84">
        <v>0.03</v>
      </c>
      <c r="F50" s="85">
        <v>1</v>
      </c>
      <c r="G50" s="364"/>
      <c r="H50" s="366"/>
      <c r="I50" s="198"/>
      <c r="J50" s="353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31" t="s">
        <v>8</v>
      </c>
      <c r="C51" s="175" t="s">
        <v>47</v>
      </c>
      <c r="D51" s="317" t="s">
        <v>163</v>
      </c>
      <c r="E51" s="318"/>
      <c r="F51" s="319"/>
      <c r="G51" s="26">
        <v>1.4999999999999999E-2</v>
      </c>
      <c r="H51" s="27">
        <f>TRUNC((H$32+H$43)*$G51,2)</f>
        <v>71.09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31" t="s">
        <v>9</v>
      </c>
      <c r="C52" s="175" t="s">
        <v>50</v>
      </c>
      <c r="D52" s="317" t="s">
        <v>164</v>
      </c>
      <c r="E52" s="318"/>
      <c r="F52" s="319"/>
      <c r="G52" s="26">
        <v>0.01</v>
      </c>
      <c r="H52" s="27">
        <f>TRUNC((H$32+H$43)*$G52,2)</f>
        <v>47.39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31" t="s">
        <v>10</v>
      </c>
      <c r="C53" s="175" t="s">
        <v>51</v>
      </c>
      <c r="D53" s="317" t="s">
        <v>165</v>
      </c>
      <c r="E53" s="318"/>
      <c r="F53" s="319"/>
      <c r="G53" s="26">
        <v>6.0000000000000001E-3</v>
      </c>
      <c r="H53" s="27">
        <f>TRUNC((H$32+H$43)*$G53,2)</f>
        <v>28.43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31" t="s">
        <v>11</v>
      </c>
      <c r="C54" s="175" t="s">
        <v>52</v>
      </c>
      <c r="D54" s="317" t="s">
        <v>166</v>
      </c>
      <c r="E54" s="318"/>
      <c r="F54" s="319"/>
      <c r="G54" s="26">
        <v>2E-3</v>
      </c>
      <c r="H54" s="27">
        <f>TRUNC((H$32+H$43)*$G54,2)</f>
        <v>9.4700000000000006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31" t="s">
        <v>12</v>
      </c>
      <c r="C55" s="175" t="s">
        <v>53</v>
      </c>
      <c r="D55" s="317" t="s">
        <v>167</v>
      </c>
      <c r="E55" s="318"/>
      <c r="F55" s="319"/>
      <c r="G55" s="26">
        <v>0.08</v>
      </c>
      <c r="H55" s="27">
        <f>TRUNC((H$32+H$43)*$G55,2)</f>
        <v>379.15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31" t="s">
        <v>169</v>
      </c>
      <c r="C56" s="280" t="s">
        <v>78</v>
      </c>
      <c r="D56" s="328"/>
      <c r="E56" s="328"/>
      <c r="F56" s="281"/>
      <c r="G56" s="29">
        <f>SUM(G47:G55)</f>
        <v>0.36800000000000005</v>
      </c>
      <c r="H56" s="30">
        <f>SUM(H47:H55)</f>
        <v>1744.0700000000002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47"/>
      <c r="C57" s="348"/>
      <c r="D57" s="348"/>
      <c r="E57" s="348"/>
      <c r="F57" s="348"/>
      <c r="G57" s="348"/>
      <c r="H57" s="349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50" t="s">
        <v>55</v>
      </c>
      <c r="C58" s="351"/>
      <c r="D58" s="351"/>
      <c r="E58" s="351"/>
      <c r="F58" s="351"/>
      <c r="G58" s="351"/>
      <c r="H58" s="352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0" t="s">
        <v>59</v>
      </c>
      <c r="D59" s="328"/>
      <c r="E59" s="328"/>
      <c r="F59" s="328"/>
      <c r="G59" s="281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31" t="s">
        <v>5</v>
      </c>
      <c r="C60" s="175" t="s">
        <v>65</v>
      </c>
      <c r="D60" s="317" t="s">
        <v>172</v>
      </c>
      <c r="E60" s="318"/>
      <c r="F60" s="318"/>
      <c r="G60" s="319"/>
      <c r="H60" s="86">
        <f>(8.55*2*22)-(H26*6%)</f>
        <v>180.75060000000008</v>
      </c>
      <c r="I60" s="212"/>
      <c r="J60" s="354"/>
      <c r="K60" s="354"/>
      <c r="L60" s="354"/>
      <c r="M60" s="354"/>
      <c r="N60" s="354"/>
      <c r="O60" s="121"/>
      <c r="P60" s="121"/>
      <c r="Q60" s="121"/>
      <c r="R60" s="121"/>
    </row>
    <row r="61" spans="2:18" ht="12.75" customHeight="1" x14ac:dyDescent="0.2">
      <c r="B61" s="231" t="s">
        <v>6</v>
      </c>
      <c r="C61" s="175" t="s">
        <v>66</v>
      </c>
      <c r="D61" s="317" t="s">
        <v>173</v>
      </c>
      <c r="E61" s="318"/>
      <c r="F61" s="318"/>
      <c r="G61" s="319"/>
      <c r="H61" s="86">
        <f>15*22</f>
        <v>330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31" t="s">
        <v>7</v>
      </c>
      <c r="C62" s="175" t="s">
        <v>228</v>
      </c>
      <c r="D62" s="317" t="s">
        <v>229</v>
      </c>
      <c r="E62" s="318"/>
      <c r="F62" s="318"/>
      <c r="G62" s="319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31" t="s">
        <v>8</v>
      </c>
      <c r="C63" s="175" t="s">
        <v>223</v>
      </c>
      <c r="D63" s="223"/>
      <c r="E63" s="224"/>
      <c r="F63" s="224"/>
      <c r="G63" s="22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s="142" customFormat="1" x14ac:dyDescent="0.2">
      <c r="B64" s="231" t="s">
        <v>9</v>
      </c>
      <c r="C64" s="175" t="s">
        <v>3</v>
      </c>
      <c r="D64" s="317"/>
      <c r="E64" s="318"/>
      <c r="F64" s="318"/>
      <c r="G64" s="319"/>
      <c r="H64" s="86">
        <v>0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231" t="s">
        <v>170</v>
      </c>
      <c r="C65" s="280" t="s">
        <v>78</v>
      </c>
      <c r="D65" s="328"/>
      <c r="E65" s="328"/>
      <c r="F65" s="328"/>
      <c r="G65" s="281"/>
      <c r="H65" s="30">
        <f>SUM(H60:H64)</f>
        <v>581.75060000000008</v>
      </c>
      <c r="I65" s="24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344"/>
      <c r="C66" s="343"/>
      <c r="D66" s="343"/>
      <c r="E66" s="343"/>
      <c r="F66" s="343"/>
      <c r="G66" s="343"/>
      <c r="H66" s="345"/>
      <c r="I66" s="235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46" t="s">
        <v>88</v>
      </c>
      <c r="C67" s="346"/>
      <c r="D67" s="346"/>
      <c r="E67" s="346"/>
      <c r="F67" s="346"/>
      <c r="G67" s="346"/>
      <c r="H67" s="346"/>
      <c r="I67" s="23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177">
        <v>2</v>
      </c>
      <c r="C68" s="280" t="s">
        <v>87</v>
      </c>
      <c r="D68" s="328"/>
      <c r="E68" s="328"/>
      <c r="F68" s="328"/>
      <c r="G68" s="281"/>
      <c r="H68" s="177" t="s">
        <v>67</v>
      </c>
      <c r="I68" s="208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31" t="s">
        <v>56</v>
      </c>
      <c r="C69" s="163" t="s">
        <v>45</v>
      </c>
      <c r="D69" s="317" t="s">
        <v>159</v>
      </c>
      <c r="E69" s="318"/>
      <c r="F69" s="318"/>
      <c r="G69" s="319"/>
      <c r="H69" s="27">
        <f>H43</f>
        <v>771.52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31" t="s">
        <v>57</v>
      </c>
      <c r="C70" s="163" t="s">
        <v>46</v>
      </c>
      <c r="D70" s="317" t="s">
        <v>169</v>
      </c>
      <c r="E70" s="318"/>
      <c r="F70" s="318"/>
      <c r="G70" s="319"/>
      <c r="H70" s="27">
        <f>H56</f>
        <v>1744.0700000000002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31" t="s">
        <v>58</v>
      </c>
      <c r="C71" s="163" t="s">
        <v>59</v>
      </c>
      <c r="D71" s="317" t="s">
        <v>170</v>
      </c>
      <c r="E71" s="318"/>
      <c r="F71" s="318"/>
      <c r="G71" s="319"/>
      <c r="H71" s="27">
        <f>H65</f>
        <v>581.75060000000008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31" t="s">
        <v>171</v>
      </c>
      <c r="C72" s="280" t="s">
        <v>78</v>
      </c>
      <c r="D72" s="328"/>
      <c r="E72" s="328"/>
      <c r="F72" s="328"/>
      <c r="G72" s="281"/>
      <c r="H72" s="23">
        <f>SUM(H69:H71)</f>
        <v>3097.3406000000004</v>
      </c>
      <c r="I72" s="24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43"/>
      <c r="C73" s="343"/>
      <c r="D73" s="343"/>
      <c r="E73" s="343"/>
      <c r="F73" s="343"/>
      <c r="G73" s="343"/>
      <c r="H73" s="343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235"/>
      <c r="C74" s="235"/>
      <c r="D74" s="235"/>
      <c r="E74" s="235"/>
      <c r="F74" s="235"/>
      <c r="G74" s="235"/>
      <c r="H74" s="235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324" t="s">
        <v>89</v>
      </c>
      <c r="C75" s="324"/>
      <c r="D75" s="324"/>
      <c r="E75" s="324"/>
      <c r="F75" s="324"/>
      <c r="G75" s="324"/>
      <c r="H75" s="324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177">
        <v>3</v>
      </c>
      <c r="C76" s="280" t="s">
        <v>79</v>
      </c>
      <c r="D76" s="328"/>
      <c r="E76" s="328"/>
      <c r="F76" s="281"/>
      <c r="G76" s="177" t="s">
        <v>2</v>
      </c>
      <c r="H76" s="177" t="s">
        <v>67</v>
      </c>
      <c r="I76" s="208"/>
      <c r="J76" s="143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231" t="s">
        <v>5</v>
      </c>
      <c r="C77" s="164" t="s">
        <v>118</v>
      </c>
      <c r="D77" s="317" t="s">
        <v>188</v>
      </c>
      <c r="E77" s="318"/>
      <c r="F77" s="319"/>
      <c r="G77" s="87">
        <v>0.3</v>
      </c>
      <c r="H77" s="31">
        <f>TRUNC((H$78+H$79)*$G77,2)</f>
        <v>183.48</v>
      </c>
      <c r="I77" s="24"/>
      <c r="J77" s="140"/>
      <c r="K77" s="119"/>
      <c r="L77" s="119"/>
      <c r="M77" s="120"/>
      <c r="N77" s="121"/>
      <c r="O77" s="144"/>
      <c r="P77" s="121"/>
      <c r="Q77" s="121"/>
      <c r="R77" s="121"/>
    </row>
    <row r="78" spans="2:18" x14ac:dyDescent="0.2">
      <c r="B78" s="231" t="s">
        <v>6</v>
      </c>
      <c r="C78" s="175" t="s">
        <v>119</v>
      </c>
      <c r="D78" s="317" t="s">
        <v>210</v>
      </c>
      <c r="E78" s="318"/>
      <c r="F78" s="319"/>
      <c r="G78" s="32"/>
      <c r="H78" s="27">
        <f>TRUNC((H$32+H$43+H$55+H$65-H60)/12,2)</f>
        <v>459.96</v>
      </c>
      <c r="I78" s="195"/>
      <c r="J78" s="137"/>
      <c r="K78" s="119"/>
      <c r="L78" s="119"/>
      <c r="M78" s="120"/>
      <c r="N78" s="121"/>
      <c r="O78" s="145"/>
      <c r="P78" s="121"/>
      <c r="Q78" s="121"/>
      <c r="R78" s="121"/>
    </row>
    <row r="79" spans="2:18" x14ac:dyDescent="0.2">
      <c r="B79" s="231" t="s">
        <v>7</v>
      </c>
      <c r="C79" s="175" t="s">
        <v>120</v>
      </c>
      <c r="D79" s="317" t="s">
        <v>200</v>
      </c>
      <c r="E79" s="319"/>
      <c r="F79" s="89">
        <v>0.4</v>
      </c>
      <c r="G79" s="32"/>
      <c r="H79" s="27">
        <f>TRUNC(H$55*$F79,2)</f>
        <v>151.66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31" t="s">
        <v>8</v>
      </c>
      <c r="C80" s="164" t="s">
        <v>121</v>
      </c>
      <c r="D80" s="317" t="s">
        <v>189</v>
      </c>
      <c r="E80" s="318"/>
      <c r="F80" s="319"/>
      <c r="G80" s="87">
        <v>1</v>
      </c>
      <c r="H80" s="168">
        <f>IF($G80&gt;=1,(TRUNC(H$81*$G80,2)),"ERRO")</f>
        <v>151.66</v>
      </c>
      <c r="I80" s="197"/>
      <c r="J80" s="137"/>
      <c r="K80" s="119"/>
      <c r="L80" s="119"/>
      <c r="M80" s="120"/>
      <c r="N80" s="121"/>
      <c r="O80" s="141"/>
      <c r="P80" s="121"/>
      <c r="Q80" s="121"/>
      <c r="R80" s="121"/>
    </row>
    <row r="81" spans="2:18" x14ac:dyDescent="0.2">
      <c r="B81" s="231" t="s">
        <v>9</v>
      </c>
      <c r="C81" s="175" t="s">
        <v>122</v>
      </c>
      <c r="D81" s="317" t="s">
        <v>200</v>
      </c>
      <c r="E81" s="319"/>
      <c r="F81" s="89">
        <v>0.4</v>
      </c>
      <c r="G81" s="32"/>
      <c r="H81" s="27">
        <f>TRUNC(H$55*$F81,2)</f>
        <v>151.66</v>
      </c>
      <c r="I81" s="195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31" t="s">
        <v>10</v>
      </c>
      <c r="C82" s="164" t="s">
        <v>207</v>
      </c>
      <c r="D82" s="341" t="s">
        <v>201</v>
      </c>
      <c r="E82" s="342"/>
      <c r="F82" s="88">
        <v>12</v>
      </c>
      <c r="G82" s="88">
        <v>3</v>
      </c>
      <c r="H82" s="27">
        <f>TRUNC(((H$32+H$43+H$56)/30)*$G82/$F82,2)</f>
        <v>54.02</v>
      </c>
      <c r="I82" s="195"/>
      <c r="J82" s="190"/>
      <c r="K82" s="120"/>
      <c r="L82" s="120"/>
      <c r="M82" s="120"/>
      <c r="N82" s="121"/>
      <c r="O82" s="141"/>
      <c r="P82" s="121"/>
      <c r="Q82" s="121"/>
      <c r="R82" s="121"/>
    </row>
    <row r="83" spans="2:18" x14ac:dyDescent="0.2">
      <c r="B83" s="231" t="s">
        <v>175</v>
      </c>
      <c r="C83" s="280" t="s">
        <v>78</v>
      </c>
      <c r="D83" s="328"/>
      <c r="E83" s="328"/>
      <c r="F83" s="328"/>
      <c r="G83" s="281"/>
      <c r="H83" s="23">
        <f>H$77+H$80+H$82</f>
        <v>389.15999999999997</v>
      </c>
      <c r="I83" s="24"/>
      <c r="J83" s="121"/>
      <c r="K83" s="121"/>
      <c r="L83" s="121"/>
      <c r="M83" s="120"/>
      <c r="N83" s="121"/>
      <c r="O83" s="121"/>
      <c r="P83" s="121"/>
      <c r="Q83" s="121"/>
      <c r="R83" s="121"/>
    </row>
    <row r="84" spans="2:18" x14ac:dyDescent="0.2">
      <c r="B84" s="185"/>
      <c r="C84" s="185"/>
      <c r="D84" s="185"/>
      <c r="E84" s="185"/>
      <c r="F84" s="185"/>
      <c r="G84" s="185"/>
      <c r="H84" s="185"/>
      <c r="I84" s="185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235"/>
      <c r="C85" s="235"/>
      <c r="D85" s="235"/>
      <c r="E85" s="235"/>
      <c r="F85" s="235"/>
      <c r="G85" s="235"/>
      <c r="H85" s="235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324" t="s">
        <v>90</v>
      </c>
      <c r="C86" s="324"/>
      <c r="D86" s="324"/>
      <c r="E86" s="324"/>
      <c r="F86" s="324"/>
      <c r="G86" s="324"/>
      <c r="H86" s="324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35" t="s">
        <v>110</v>
      </c>
      <c r="C87" s="336"/>
      <c r="D87" s="336"/>
      <c r="E87" s="336"/>
      <c r="F87" s="336"/>
      <c r="G87" s="336"/>
      <c r="H87" s="337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177" t="s">
        <v>17</v>
      </c>
      <c r="C88" s="280" t="s">
        <v>111</v>
      </c>
      <c r="D88" s="328"/>
      <c r="E88" s="328"/>
      <c r="F88" s="281"/>
      <c r="G88" s="177" t="s">
        <v>126</v>
      </c>
      <c r="H88" s="177" t="s">
        <v>67</v>
      </c>
      <c r="I88" s="208"/>
      <c r="J88" s="119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31" t="s">
        <v>5</v>
      </c>
      <c r="C89" s="175" t="s">
        <v>132</v>
      </c>
      <c r="D89" s="317" t="s">
        <v>181</v>
      </c>
      <c r="E89" s="318"/>
      <c r="F89" s="319"/>
      <c r="G89" s="88">
        <v>30</v>
      </c>
      <c r="H89" s="27">
        <f>TRUNC((H$91*$G89)/12,2)</f>
        <v>621.16999999999996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ht="22.5" x14ac:dyDescent="0.2">
      <c r="B90" s="231" t="s">
        <v>6</v>
      </c>
      <c r="C90" s="165" t="s">
        <v>187</v>
      </c>
      <c r="D90" s="338" t="s">
        <v>190</v>
      </c>
      <c r="E90" s="339"/>
      <c r="F90" s="340"/>
      <c r="G90" s="114">
        <v>8</v>
      </c>
      <c r="H90" s="27">
        <f>TRUNC((H$91*$G90)/12,2)</f>
        <v>165.64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x14ac:dyDescent="0.2">
      <c r="B91" s="231" t="s">
        <v>7</v>
      </c>
      <c r="C91" s="175" t="s">
        <v>134</v>
      </c>
      <c r="D91" s="317" t="s">
        <v>174</v>
      </c>
      <c r="E91" s="318"/>
      <c r="F91" s="318"/>
      <c r="G91" s="319"/>
      <c r="H91" s="27">
        <f>TRUNC((H$32+H$72+H$83)/30,2)</f>
        <v>248.47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31" t="s">
        <v>176</v>
      </c>
      <c r="C92" s="280" t="s">
        <v>78</v>
      </c>
      <c r="D92" s="328"/>
      <c r="E92" s="328"/>
      <c r="F92" s="328"/>
      <c r="G92" s="281"/>
      <c r="H92" s="23">
        <f>TRUNC(H$89+H$90,2)</f>
        <v>786.81</v>
      </c>
      <c r="I92" s="24"/>
      <c r="J92" s="140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47"/>
      <c r="C93" s="148"/>
      <c r="D93" s="148"/>
      <c r="E93" s="148"/>
      <c r="F93" s="148"/>
      <c r="G93" s="148"/>
      <c r="H93" s="149"/>
      <c r="I93" s="33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332" t="s">
        <v>112</v>
      </c>
      <c r="C94" s="333"/>
      <c r="D94" s="333"/>
      <c r="E94" s="333"/>
      <c r="F94" s="333"/>
      <c r="G94" s="333"/>
      <c r="H94" s="334"/>
      <c r="I94" s="208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177" t="s">
        <v>18</v>
      </c>
      <c r="C95" s="280" t="s">
        <v>113</v>
      </c>
      <c r="D95" s="328"/>
      <c r="E95" s="328"/>
      <c r="F95" s="281"/>
      <c r="G95" s="177" t="s">
        <v>126</v>
      </c>
      <c r="H95" s="177" t="s">
        <v>67</v>
      </c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ht="22.5" x14ac:dyDescent="0.2">
      <c r="B96" s="231" t="s">
        <v>5</v>
      </c>
      <c r="C96" s="165" t="s">
        <v>114</v>
      </c>
      <c r="D96" s="317" t="s">
        <v>212</v>
      </c>
      <c r="E96" s="318"/>
      <c r="F96" s="319"/>
      <c r="G96" s="88"/>
      <c r="H96" s="27">
        <f>TRUNC(((H$32+H72+H83)/220)*(1+50%)*G96,2)</f>
        <v>0</v>
      </c>
      <c r="I96" s="195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231" t="s">
        <v>177</v>
      </c>
      <c r="C97" s="280" t="s">
        <v>78</v>
      </c>
      <c r="D97" s="328"/>
      <c r="E97" s="328"/>
      <c r="F97" s="328"/>
      <c r="G97" s="281"/>
      <c r="H97" s="23">
        <f>H96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29"/>
      <c r="C98" s="228"/>
      <c r="D98" s="228"/>
      <c r="E98" s="228"/>
      <c r="F98" s="228"/>
      <c r="G98" s="228"/>
      <c r="H98" s="230"/>
      <c r="I98" s="217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332" t="s">
        <v>91</v>
      </c>
      <c r="C99" s="333"/>
      <c r="D99" s="333"/>
      <c r="E99" s="333"/>
      <c r="F99" s="333"/>
      <c r="G99" s="333"/>
      <c r="H99" s="334"/>
      <c r="I99" s="208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177">
        <v>4</v>
      </c>
      <c r="C100" s="280" t="s">
        <v>92</v>
      </c>
      <c r="D100" s="328"/>
      <c r="E100" s="328"/>
      <c r="F100" s="328"/>
      <c r="G100" s="281"/>
      <c r="H100" s="177" t="s">
        <v>67</v>
      </c>
      <c r="I100" s="208"/>
      <c r="J100" s="137"/>
      <c r="K100" s="119"/>
      <c r="L100" s="119"/>
      <c r="M100" s="120"/>
      <c r="N100" s="150"/>
      <c r="O100" s="121"/>
      <c r="P100" s="121"/>
      <c r="Q100" s="121"/>
      <c r="R100" s="121"/>
    </row>
    <row r="101" spans="2:18" x14ac:dyDescent="0.2">
      <c r="B101" s="231" t="s">
        <v>17</v>
      </c>
      <c r="C101" s="175" t="s">
        <v>60</v>
      </c>
      <c r="D101" s="317" t="s">
        <v>176</v>
      </c>
      <c r="E101" s="318"/>
      <c r="F101" s="318"/>
      <c r="G101" s="319"/>
      <c r="H101" s="27">
        <f>H92</f>
        <v>786.81</v>
      </c>
      <c r="I101" s="195"/>
      <c r="J101" s="137"/>
      <c r="K101" s="137"/>
      <c r="L101" s="137"/>
      <c r="M101" s="137"/>
      <c r="N101" s="121"/>
      <c r="O101" s="121"/>
      <c r="P101" s="121"/>
      <c r="Q101" s="121"/>
      <c r="R101" s="121"/>
    </row>
    <row r="102" spans="2:18" x14ac:dyDescent="0.2">
      <c r="B102" s="231" t="s">
        <v>18</v>
      </c>
      <c r="C102" s="175" t="s">
        <v>62</v>
      </c>
      <c r="D102" s="317" t="s">
        <v>177</v>
      </c>
      <c r="E102" s="318"/>
      <c r="F102" s="318"/>
      <c r="G102" s="319"/>
      <c r="H102" s="27">
        <f>H97</f>
        <v>0</v>
      </c>
      <c r="I102" s="195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231" t="s">
        <v>178</v>
      </c>
      <c r="C103" s="280" t="s">
        <v>78</v>
      </c>
      <c r="D103" s="328"/>
      <c r="E103" s="328"/>
      <c r="F103" s="328"/>
      <c r="G103" s="281"/>
      <c r="H103" s="23">
        <f>SUM(H101:H102)</f>
        <v>786.81</v>
      </c>
      <c r="I103" s="24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35"/>
      <c r="C104" s="235"/>
      <c r="D104" s="235"/>
      <c r="E104" s="235"/>
      <c r="F104" s="235"/>
      <c r="G104" s="235"/>
      <c r="H104" s="235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5"/>
      <c r="C105" s="235"/>
      <c r="D105" s="235"/>
      <c r="E105" s="235"/>
      <c r="F105" s="235"/>
      <c r="G105" s="235"/>
      <c r="H105" s="235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324" t="s">
        <v>93</v>
      </c>
      <c r="C106" s="324"/>
      <c r="D106" s="324"/>
      <c r="E106" s="324"/>
      <c r="F106" s="324"/>
      <c r="G106" s="324"/>
      <c r="H106" s="324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177">
        <v>5</v>
      </c>
      <c r="C107" s="329" t="s">
        <v>80</v>
      </c>
      <c r="D107" s="330"/>
      <c r="E107" s="330"/>
      <c r="F107" s="330"/>
      <c r="G107" s="331"/>
      <c r="H107" s="177" t="s">
        <v>67</v>
      </c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31" t="s">
        <v>5</v>
      </c>
      <c r="C108" s="126" t="s">
        <v>63</v>
      </c>
      <c r="D108" s="127"/>
      <c r="E108" s="127"/>
      <c r="F108" s="127"/>
      <c r="G108" s="128"/>
      <c r="H108" s="129">
        <f>Insumos!G11</f>
        <v>105.67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31" t="s">
        <v>6</v>
      </c>
      <c r="C109" s="126" t="s">
        <v>236</v>
      </c>
      <c r="D109" s="127"/>
      <c r="E109" s="127"/>
      <c r="F109" s="127"/>
      <c r="G109" s="128"/>
      <c r="H109" s="129">
        <f>Insumos!G24</f>
        <v>27.6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31" t="s">
        <v>7</v>
      </c>
      <c r="C110" s="126" t="s">
        <v>14</v>
      </c>
      <c r="D110" s="127"/>
      <c r="E110" s="127"/>
      <c r="F110" s="127"/>
      <c r="G110" s="128"/>
      <c r="H110" s="129">
        <f>Insumos!H94</f>
        <v>61.579999999999991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1" t="s">
        <v>8</v>
      </c>
      <c r="C111" s="126" t="s">
        <v>225</v>
      </c>
      <c r="D111" s="127"/>
      <c r="E111" s="127"/>
      <c r="F111" s="127"/>
      <c r="G111" s="128"/>
      <c r="H111" s="129">
        <f>Insumos!H39</f>
        <v>3.8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31" t="s">
        <v>179</v>
      </c>
      <c r="C112" s="161" t="s">
        <v>78</v>
      </c>
      <c r="D112" s="161"/>
      <c r="E112" s="161"/>
      <c r="F112" s="161"/>
      <c r="G112" s="162"/>
      <c r="H112" s="23">
        <f>SUM(H108:H111)</f>
        <v>198.65</v>
      </c>
      <c r="I112" s="24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35"/>
      <c r="C113" s="235"/>
      <c r="D113" s="235"/>
      <c r="E113" s="235"/>
      <c r="F113" s="235"/>
      <c r="G113" s="151"/>
      <c r="H113" s="136"/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5"/>
      <c r="C114" s="235"/>
      <c r="D114" s="235"/>
      <c r="E114" s="235"/>
      <c r="F114" s="235"/>
      <c r="G114" s="235"/>
      <c r="H114" s="235"/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324" t="s">
        <v>94</v>
      </c>
      <c r="C115" s="324"/>
      <c r="D115" s="324"/>
      <c r="E115" s="324"/>
      <c r="F115" s="324"/>
      <c r="G115" s="324"/>
      <c r="H115" s="324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177">
        <v>6</v>
      </c>
      <c r="C116" s="280" t="s">
        <v>81</v>
      </c>
      <c r="D116" s="328"/>
      <c r="E116" s="328"/>
      <c r="F116" s="281"/>
      <c r="G116" s="177" t="s">
        <v>2</v>
      </c>
      <c r="H116" s="177" t="s">
        <v>67</v>
      </c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31" t="s">
        <v>5</v>
      </c>
      <c r="C117" s="175" t="s">
        <v>19</v>
      </c>
      <c r="D117" s="317" t="s">
        <v>191</v>
      </c>
      <c r="E117" s="318"/>
      <c r="F117" s="319"/>
      <c r="G117" s="103">
        <v>0.05</v>
      </c>
      <c r="H117" s="27">
        <f>TRUNC(H$134*$G117,2)</f>
        <v>421.99</v>
      </c>
      <c r="I117" s="195"/>
      <c r="J117" s="119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31" t="s">
        <v>6</v>
      </c>
      <c r="C118" s="175" t="s">
        <v>4</v>
      </c>
      <c r="D118" s="317" t="s">
        <v>192</v>
      </c>
      <c r="E118" s="318"/>
      <c r="F118" s="319"/>
      <c r="G118" s="103">
        <v>0.1</v>
      </c>
      <c r="H118" s="27">
        <f>TRUNC((H$134+H$117)*$G118,2)</f>
        <v>886.18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31" t="s">
        <v>7</v>
      </c>
      <c r="C119" s="175" t="s">
        <v>143</v>
      </c>
      <c r="D119" s="317" t="s">
        <v>193</v>
      </c>
      <c r="E119" s="318"/>
      <c r="F119" s="319"/>
      <c r="G119" s="105">
        <f>1-(G120+G121+G122)</f>
        <v>0.85749999999999993</v>
      </c>
      <c r="H119" s="34">
        <f>TRUNC(((H$134+H$117+H$118)/$G119),2)</f>
        <v>11367.95</v>
      </c>
      <c r="I119" s="198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31" t="s">
        <v>40</v>
      </c>
      <c r="C120" s="175" t="s">
        <v>37</v>
      </c>
      <c r="D120" s="317" t="s">
        <v>194</v>
      </c>
      <c r="E120" s="318"/>
      <c r="F120" s="319"/>
      <c r="G120" s="104">
        <v>1.6500000000000001E-2</v>
      </c>
      <c r="H120" s="27">
        <f>TRUNC(H$119*$G120,2)</f>
        <v>187.57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31" t="s">
        <v>41</v>
      </c>
      <c r="C121" s="175" t="s">
        <v>38</v>
      </c>
      <c r="D121" s="317" t="s">
        <v>194</v>
      </c>
      <c r="E121" s="318"/>
      <c r="F121" s="319"/>
      <c r="G121" s="104">
        <v>7.5999999999999998E-2</v>
      </c>
      <c r="H121" s="27">
        <f>TRUNC(H$119*$G121,2)</f>
        <v>863.96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31" t="s">
        <v>42</v>
      </c>
      <c r="C122" s="175" t="s">
        <v>39</v>
      </c>
      <c r="D122" s="317" t="s">
        <v>194</v>
      </c>
      <c r="E122" s="318"/>
      <c r="F122" s="319"/>
      <c r="G122" s="104">
        <v>0.05</v>
      </c>
      <c r="H122" s="27">
        <f>TRUNC(H$119*$G122,2)</f>
        <v>568.39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31" t="s">
        <v>180</v>
      </c>
      <c r="C123" s="227" t="s">
        <v>78</v>
      </c>
      <c r="D123" s="309" t="s">
        <v>182</v>
      </c>
      <c r="E123" s="309"/>
      <c r="F123" s="309"/>
      <c r="G123" s="310"/>
      <c r="H123" s="23">
        <f>SUM(H117:H122)-H119</f>
        <v>2928.09</v>
      </c>
      <c r="I123" s="24"/>
      <c r="J123" s="140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124"/>
      <c r="C124" s="124"/>
      <c r="D124" s="124"/>
      <c r="E124" s="124"/>
      <c r="F124" s="124"/>
      <c r="G124" s="124"/>
      <c r="H124" s="152"/>
      <c r="I124" s="35"/>
      <c r="J124" s="119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23" t="s">
        <v>319</v>
      </c>
      <c r="C125" s="323"/>
      <c r="D125" s="323"/>
      <c r="E125" s="323"/>
      <c r="F125" s="323"/>
      <c r="G125" s="323"/>
      <c r="H125" s="323"/>
      <c r="I125" s="209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226"/>
      <c r="C126" s="226"/>
      <c r="D126" s="226"/>
      <c r="E126" s="226"/>
      <c r="F126" s="226"/>
      <c r="G126" s="226"/>
      <c r="H126" s="226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324" t="s">
        <v>116</v>
      </c>
      <c r="C127" s="324"/>
      <c r="D127" s="324"/>
      <c r="E127" s="324"/>
      <c r="F127" s="324"/>
      <c r="G127" s="324"/>
      <c r="H127" s="324"/>
      <c r="I127" s="208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ht="12.75" customHeight="1" x14ac:dyDescent="0.2">
      <c r="B128" s="36"/>
      <c r="C128" s="325" t="s">
        <v>144</v>
      </c>
      <c r="D128" s="326"/>
      <c r="E128" s="326"/>
      <c r="F128" s="326"/>
      <c r="G128" s="327"/>
      <c r="H128" s="177" t="s">
        <v>67</v>
      </c>
      <c r="I128" s="208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231" t="s">
        <v>5</v>
      </c>
      <c r="C129" s="165" t="s">
        <v>97</v>
      </c>
      <c r="D129" s="317" t="s">
        <v>157</v>
      </c>
      <c r="E129" s="318"/>
      <c r="F129" s="318"/>
      <c r="G129" s="319"/>
      <c r="H129" s="27">
        <f>H32</f>
        <v>3967.89</v>
      </c>
      <c r="I129" s="195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231" t="s">
        <v>6</v>
      </c>
      <c r="C130" s="165" t="s">
        <v>98</v>
      </c>
      <c r="D130" s="317" t="s">
        <v>171</v>
      </c>
      <c r="E130" s="318"/>
      <c r="F130" s="318"/>
      <c r="G130" s="319"/>
      <c r="H130" s="27">
        <f>H72</f>
        <v>3097.3406000000004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31" t="s">
        <v>7</v>
      </c>
      <c r="C131" s="165" t="s">
        <v>99</v>
      </c>
      <c r="D131" s="317" t="s">
        <v>175</v>
      </c>
      <c r="E131" s="318"/>
      <c r="F131" s="318"/>
      <c r="G131" s="319"/>
      <c r="H131" s="27">
        <f>H83</f>
        <v>389.15999999999997</v>
      </c>
      <c r="I131" s="195"/>
      <c r="J131" s="119"/>
      <c r="K131" s="153"/>
      <c r="L131" s="119"/>
      <c r="M131" s="120"/>
      <c r="N131" s="121"/>
      <c r="O131" s="121"/>
      <c r="P131" s="121"/>
      <c r="Q131" s="121"/>
      <c r="R131" s="121"/>
    </row>
    <row r="132" spans="2:18" ht="22.5" x14ac:dyDescent="0.2">
      <c r="B132" s="231" t="s">
        <v>8</v>
      </c>
      <c r="C132" s="165" t="s">
        <v>61</v>
      </c>
      <c r="D132" s="317" t="s">
        <v>178</v>
      </c>
      <c r="E132" s="318"/>
      <c r="F132" s="318"/>
      <c r="G132" s="319"/>
      <c r="H132" s="27">
        <f>H103</f>
        <v>786.81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31" t="s">
        <v>9</v>
      </c>
      <c r="C133" s="165" t="s">
        <v>100</v>
      </c>
      <c r="D133" s="317" t="s">
        <v>179</v>
      </c>
      <c r="E133" s="318"/>
      <c r="F133" s="318"/>
      <c r="G133" s="319"/>
      <c r="H133" s="27">
        <f>H112</f>
        <v>198.65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33" t="s">
        <v>10</v>
      </c>
      <c r="C134" s="164" t="s">
        <v>64</v>
      </c>
      <c r="D134" s="320" t="s">
        <v>198</v>
      </c>
      <c r="E134" s="321"/>
      <c r="F134" s="321"/>
      <c r="G134" s="322"/>
      <c r="H134" s="31">
        <f>SUM(H129:H133)</f>
        <v>8439.8505999999998</v>
      </c>
      <c r="I134" s="24"/>
      <c r="J134" s="119"/>
      <c r="K134" s="154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31" t="s">
        <v>11</v>
      </c>
      <c r="C135" s="175" t="s">
        <v>101</v>
      </c>
      <c r="D135" s="317" t="s">
        <v>180</v>
      </c>
      <c r="E135" s="318"/>
      <c r="F135" s="318"/>
      <c r="G135" s="319"/>
      <c r="H135" s="27">
        <f>H123</f>
        <v>2928.09</v>
      </c>
      <c r="I135" s="195"/>
      <c r="J135" s="119"/>
      <c r="K135" s="119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31" t="s">
        <v>183</v>
      </c>
      <c r="C136" s="221" t="s">
        <v>96</v>
      </c>
      <c r="D136" s="308" t="s">
        <v>197</v>
      </c>
      <c r="E136" s="309"/>
      <c r="F136" s="309"/>
      <c r="G136" s="310"/>
      <c r="H136" s="37">
        <f>SUM(H134:H135)</f>
        <v>11367.9406</v>
      </c>
      <c r="I136" s="213"/>
      <c r="J136" s="119"/>
      <c r="K136" s="155"/>
      <c r="L136" s="119"/>
      <c r="M136" s="120"/>
      <c r="N136" s="121"/>
      <c r="O136" s="121"/>
      <c r="P136" s="121"/>
      <c r="Q136" s="121"/>
      <c r="R136" s="121"/>
    </row>
    <row r="137" spans="2:18" ht="12.75" hidden="1" customHeight="1" x14ac:dyDescent="0.2">
      <c r="B137" s="14"/>
      <c r="C137" s="14"/>
      <c r="D137" s="14"/>
      <c r="E137" s="14"/>
      <c r="F137" s="14"/>
      <c r="G137" s="14"/>
      <c r="H137" s="38"/>
      <c r="I137" s="214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40.5" hidden="1" customHeight="1" x14ac:dyDescent="0.2">
      <c r="B138" s="39"/>
      <c r="C138" s="39" t="s">
        <v>20</v>
      </c>
      <c r="D138" s="39"/>
      <c r="E138" s="39"/>
      <c r="F138" s="39"/>
      <c r="G138" s="40"/>
      <c r="H138" s="40"/>
      <c r="I138" s="215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39" hidden="1" customHeight="1" x14ac:dyDescent="0.2">
      <c r="B139" s="311" t="s">
        <v>22</v>
      </c>
      <c r="C139" s="312"/>
      <c r="D139" s="222"/>
      <c r="E139" s="222"/>
      <c r="F139" s="222"/>
      <c r="G139" s="41" t="s">
        <v>21</v>
      </c>
      <c r="H139" s="42" t="s">
        <v>0</v>
      </c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3" t="s">
        <v>23</v>
      </c>
      <c r="C140" s="314"/>
      <c r="D140" s="43"/>
      <c r="E140" s="43"/>
      <c r="F140" s="43"/>
      <c r="G140" s="44"/>
      <c r="H140" s="45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5" t="s">
        <v>24</v>
      </c>
      <c r="C141" s="316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15" t="s">
        <v>25</v>
      </c>
      <c r="C142" s="316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15" t="s">
        <v>26</v>
      </c>
      <c r="C143" s="316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299"/>
      <c r="C144" s="300"/>
      <c r="D144" s="49"/>
      <c r="E144" s="49"/>
      <c r="F144" s="49"/>
      <c r="G144" s="50"/>
      <c r="H144" s="48"/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3.5" hidden="1" customHeight="1" x14ac:dyDescent="0.2">
      <c r="B145" s="301"/>
      <c r="C145" s="302"/>
      <c r="D145" s="51"/>
      <c r="E145" s="51"/>
      <c r="F145" s="51"/>
      <c r="G145" s="52"/>
      <c r="H145" s="53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54" t="s">
        <v>27</v>
      </c>
      <c r="C146" s="55"/>
      <c r="D146" s="55"/>
      <c r="E146" s="55"/>
      <c r="F146" s="55"/>
      <c r="G146" s="56"/>
      <c r="H146" s="57">
        <f>SUM(H144:H145)</f>
        <v>0</v>
      </c>
      <c r="I146" s="200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2.75" hidden="1" customHeight="1" x14ac:dyDescent="0.2">
      <c r="B147" s="14"/>
      <c r="C147" s="14"/>
      <c r="D147" s="14"/>
      <c r="E147" s="14"/>
      <c r="F147" s="14"/>
      <c r="G147" s="14"/>
      <c r="H147" s="14"/>
      <c r="I147" s="18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3.5" hidden="1" customHeight="1" x14ac:dyDescent="0.2">
      <c r="B148" s="39" t="s">
        <v>28</v>
      </c>
      <c r="C148" s="39" t="s">
        <v>29</v>
      </c>
      <c r="D148" s="39"/>
      <c r="E148" s="39"/>
      <c r="F148" s="39"/>
      <c r="G148" s="40"/>
      <c r="H148" s="40"/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58" t="s">
        <v>30</v>
      </c>
      <c r="C149" s="59"/>
      <c r="D149" s="59"/>
      <c r="E149" s="59"/>
      <c r="F149" s="59"/>
      <c r="G149" s="59"/>
      <c r="H149" s="6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2.75" hidden="1" customHeight="1" x14ac:dyDescent="0.2">
      <c r="B150" s="61"/>
      <c r="C150" s="62" t="s">
        <v>31</v>
      </c>
      <c r="D150" s="63"/>
      <c r="E150" s="63"/>
      <c r="F150" s="63"/>
      <c r="G150" s="64"/>
      <c r="H150" s="42" t="s">
        <v>0</v>
      </c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5" t="s">
        <v>5</v>
      </c>
      <c r="C151" s="66" t="s">
        <v>32</v>
      </c>
      <c r="D151" s="67"/>
      <c r="E151" s="67"/>
      <c r="F151" s="67"/>
      <c r="G151" s="68"/>
      <c r="H151" s="69">
        <f>H120</f>
        <v>187.57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0" t="s">
        <v>6</v>
      </c>
      <c r="C152" s="71" t="s">
        <v>33</v>
      </c>
      <c r="D152" s="72"/>
      <c r="E152" s="72"/>
      <c r="F152" s="72"/>
      <c r="G152" s="73"/>
      <c r="H152" s="74" t="e">
        <f>#REF!</f>
        <v>#REF!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7</v>
      </c>
      <c r="C153" s="75" t="s">
        <v>34</v>
      </c>
      <c r="D153" s="76"/>
      <c r="E153" s="76"/>
      <c r="F153" s="76"/>
      <c r="G153" s="77"/>
      <c r="H153" s="74">
        <f>H123</f>
        <v>2928.09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8" t="s">
        <v>16</v>
      </c>
      <c r="C154" s="79"/>
      <c r="D154" s="79"/>
      <c r="E154" s="79"/>
      <c r="F154" s="79"/>
      <c r="G154" s="80"/>
      <c r="H154" s="57" t="e">
        <f>SUM(H151:H153)</f>
        <v>#REF!</v>
      </c>
      <c r="I154" s="200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2.75" hidden="1" customHeight="1" x14ac:dyDescent="0.2">
      <c r="B155" s="81" t="s">
        <v>15</v>
      </c>
      <c r="C155" s="14" t="s">
        <v>35</v>
      </c>
      <c r="D155" s="14"/>
      <c r="E155" s="14"/>
      <c r="F155" s="14"/>
      <c r="G155" s="14"/>
      <c r="H155" s="14"/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14"/>
      <c r="C156" s="14"/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x14ac:dyDescent="0.2"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B158" s="303" t="s">
        <v>320</v>
      </c>
      <c r="C158" s="303"/>
      <c r="D158" s="303"/>
      <c r="E158" s="303"/>
      <c r="F158" s="303"/>
      <c r="I158" s="18"/>
      <c r="J158" s="188"/>
      <c r="K158" s="157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158"/>
      <c r="C159" s="158"/>
      <c r="D159" s="158"/>
      <c r="E159" s="142"/>
      <c r="F159" s="142"/>
      <c r="I159" s="18"/>
    </row>
    <row r="160" spans="2:18" x14ac:dyDescent="0.2">
      <c r="B160" s="304" t="s">
        <v>202</v>
      </c>
      <c r="C160" s="304"/>
      <c r="D160" s="304"/>
      <c r="E160" s="304"/>
      <c r="F160" s="304"/>
      <c r="G160" s="304"/>
      <c r="H160" s="304"/>
      <c r="I160" s="210"/>
      <c r="J160" s="188"/>
    </row>
    <row r="161" spans="2:14" x14ac:dyDescent="0.2">
      <c r="B161" s="231" t="s">
        <v>5</v>
      </c>
      <c r="C161" s="167" t="s">
        <v>127</v>
      </c>
      <c r="D161" s="292" t="s">
        <v>183</v>
      </c>
      <c r="E161" s="293"/>
      <c r="F161" s="293"/>
      <c r="G161" s="294"/>
      <c r="H161" s="12">
        <f>H136</f>
        <v>11367.9406</v>
      </c>
      <c r="I161" s="207"/>
    </row>
    <row r="162" spans="2:14" ht="22.5" x14ac:dyDescent="0.2">
      <c r="B162" s="231" t="s">
        <v>6</v>
      </c>
      <c r="C162" s="166" t="s">
        <v>185</v>
      </c>
      <c r="D162" s="292" t="s">
        <v>186</v>
      </c>
      <c r="E162" s="293"/>
      <c r="F162" s="293"/>
      <c r="G162" s="294"/>
      <c r="H162" s="12">
        <f>H43+H83+H101</f>
        <v>1947.4899999999998</v>
      </c>
      <c r="I162" s="201"/>
    </row>
    <row r="163" spans="2:14" ht="22.5" x14ac:dyDescent="0.2">
      <c r="B163" s="231" t="s">
        <v>7</v>
      </c>
      <c r="C163" s="205" t="s">
        <v>203</v>
      </c>
      <c r="D163" s="305" t="s">
        <v>211</v>
      </c>
      <c r="E163" s="306"/>
      <c r="F163" s="306"/>
      <c r="G163" s="307"/>
      <c r="H163" s="206">
        <f>TRUNC((H$43*$G56),2)</f>
        <v>283.91000000000003</v>
      </c>
      <c r="I163" s="207"/>
      <c r="J163" s="187"/>
    </row>
    <row r="164" spans="2:14" ht="12.75" customHeight="1" x14ac:dyDescent="0.2">
      <c r="B164" s="231" t="s">
        <v>8</v>
      </c>
      <c r="C164" s="166" t="s">
        <v>19</v>
      </c>
      <c r="D164" s="289" t="s">
        <v>195</v>
      </c>
      <c r="E164" s="290"/>
      <c r="F164" s="291"/>
      <c r="G164" s="13">
        <f>G117</f>
        <v>0.05</v>
      </c>
      <c r="H164" s="12">
        <f>TRUNC((H$162+H$163)*$G164,2)</f>
        <v>111.57</v>
      </c>
      <c r="I164" s="201"/>
      <c r="J164" s="288"/>
      <c r="K164" s="288"/>
      <c r="L164" s="288"/>
      <c r="M164" s="288"/>
      <c r="N164" s="288"/>
    </row>
    <row r="165" spans="2:14" ht="12.75" customHeight="1" x14ac:dyDescent="0.2">
      <c r="B165" s="231" t="s">
        <v>9</v>
      </c>
      <c r="C165" s="166" t="s">
        <v>4</v>
      </c>
      <c r="D165" s="289" t="s">
        <v>196</v>
      </c>
      <c r="E165" s="290"/>
      <c r="F165" s="291"/>
      <c r="G165" s="13">
        <f>G118</f>
        <v>0.1</v>
      </c>
      <c r="H165" s="12">
        <f>TRUNC((H$162+H$163+H$164)*$G165,2)</f>
        <v>234.29</v>
      </c>
      <c r="I165" s="201"/>
      <c r="J165" s="288"/>
      <c r="K165" s="288"/>
      <c r="L165" s="288"/>
      <c r="M165" s="288"/>
      <c r="N165" s="288"/>
    </row>
    <row r="166" spans="2:14" ht="12.75" customHeight="1" x14ac:dyDescent="0.2">
      <c r="B166" s="231" t="s">
        <v>10</v>
      </c>
      <c r="C166" s="166" t="s">
        <v>128</v>
      </c>
      <c r="D166" s="289" t="s">
        <v>205</v>
      </c>
      <c r="E166" s="290"/>
      <c r="F166" s="291"/>
      <c r="G166" s="13">
        <f>G120+G121+G122</f>
        <v>0.14250000000000002</v>
      </c>
      <c r="H166" s="12">
        <f>TRUNC((H$162+H$163+H$164+H$165)/(1-$G166)-(H$162+H$163+H$164+H$165),2)</f>
        <v>428.29</v>
      </c>
      <c r="I166" s="201"/>
      <c r="J166" s="288"/>
      <c r="K166" s="288"/>
      <c r="L166" s="288"/>
      <c r="M166" s="288"/>
      <c r="N166" s="288"/>
    </row>
    <row r="167" spans="2:14" ht="22.5" x14ac:dyDescent="0.2">
      <c r="B167" s="231" t="s">
        <v>11</v>
      </c>
      <c r="C167" s="274" t="s">
        <v>129</v>
      </c>
      <c r="D167" s="292" t="s">
        <v>206</v>
      </c>
      <c r="E167" s="293"/>
      <c r="F167" s="293"/>
      <c r="G167" s="294"/>
      <c r="H167" s="275">
        <f>SUM(H162:H166)</f>
        <v>3005.5499999999997</v>
      </c>
      <c r="I167" s="202"/>
    </row>
    <row r="168" spans="2:14" x14ac:dyDescent="0.2">
      <c r="B168" s="272" t="s">
        <v>184</v>
      </c>
      <c r="C168" s="276" t="s">
        <v>154</v>
      </c>
      <c r="D168" s="295" t="s">
        <v>204</v>
      </c>
      <c r="E168" s="296"/>
      <c r="F168" s="296"/>
      <c r="G168" s="297"/>
      <c r="H168" s="277">
        <f>H161-H167</f>
        <v>8362.3906000000006</v>
      </c>
      <c r="I168" s="216"/>
    </row>
    <row r="169" spans="2:14" ht="45" customHeight="1" x14ac:dyDescent="0.2">
      <c r="B169" s="298" t="s">
        <v>153</v>
      </c>
      <c r="C169" s="298"/>
      <c r="D169" s="298"/>
      <c r="E169" s="298"/>
      <c r="F169" s="298"/>
      <c r="G169" s="298"/>
      <c r="H169" s="298"/>
      <c r="I169" s="203"/>
    </row>
  </sheetData>
  <mergeCells count="141"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9:B20"/>
    <mergeCell ref="C19:H19"/>
    <mergeCell ref="C20:H20"/>
    <mergeCell ref="B22:H22"/>
    <mergeCell ref="B24:H24"/>
    <mergeCell ref="C25:F25"/>
    <mergeCell ref="B15:B16"/>
    <mergeCell ref="C15:H15"/>
    <mergeCell ref="C16:H16"/>
    <mergeCell ref="B17:B18"/>
    <mergeCell ref="C17:H17"/>
    <mergeCell ref="C18:H18"/>
    <mergeCell ref="D31:F31"/>
    <mergeCell ref="C32:F32"/>
    <mergeCell ref="C33:F34"/>
    <mergeCell ref="B37:H37"/>
    <mergeCell ref="B38:H38"/>
    <mergeCell ref="B39:H39"/>
    <mergeCell ref="D26:F26"/>
    <mergeCell ref="D27:F27"/>
    <mergeCell ref="D28:F28"/>
    <mergeCell ref="D29:F29"/>
    <mergeCell ref="D30:F30"/>
    <mergeCell ref="B49:B50"/>
    <mergeCell ref="C49:C50"/>
    <mergeCell ref="D49:D50"/>
    <mergeCell ref="C40:F40"/>
    <mergeCell ref="D41:F41"/>
    <mergeCell ref="D42:F42"/>
    <mergeCell ref="C43:F43"/>
    <mergeCell ref="B44:H44"/>
    <mergeCell ref="B45:H45"/>
    <mergeCell ref="G49:G50"/>
    <mergeCell ref="H49:H50"/>
    <mergeCell ref="J49:J50"/>
    <mergeCell ref="D51:F51"/>
    <mergeCell ref="D52:F52"/>
    <mergeCell ref="D53:F53"/>
    <mergeCell ref="C46:F46"/>
    <mergeCell ref="D47:F47"/>
    <mergeCell ref="D48:F48"/>
    <mergeCell ref="D60:G60"/>
    <mergeCell ref="J60:N60"/>
    <mergeCell ref="D61:G61"/>
    <mergeCell ref="D62:G62"/>
    <mergeCell ref="D64:G64"/>
    <mergeCell ref="C65:G65"/>
    <mergeCell ref="D54:F54"/>
    <mergeCell ref="D55:F55"/>
    <mergeCell ref="C56:F56"/>
    <mergeCell ref="B57:H57"/>
    <mergeCell ref="B58:H58"/>
    <mergeCell ref="C59:G59"/>
    <mergeCell ref="C72:G72"/>
    <mergeCell ref="B73:H73"/>
    <mergeCell ref="B75:H75"/>
    <mergeCell ref="C76:F76"/>
    <mergeCell ref="D77:F77"/>
    <mergeCell ref="D78:F78"/>
    <mergeCell ref="B66:H66"/>
    <mergeCell ref="B67:H67"/>
    <mergeCell ref="C68:G68"/>
    <mergeCell ref="D69:G69"/>
    <mergeCell ref="D70:G70"/>
    <mergeCell ref="D71:G71"/>
    <mergeCell ref="B87:H87"/>
    <mergeCell ref="C88:F88"/>
    <mergeCell ref="D89:F89"/>
    <mergeCell ref="D90:F90"/>
    <mergeCell ref="D91:G91"/>
    <mergeCell ref="C92:G92"/>
    <mergeCell ref="D79:E79"/>
    <mergeCell ref="D80:F80"/>
    <mergeCell ref="D81:E81"/>
    <mergeCell ref="D82:E82"/>
    <mergeCell ref="C83:G83"/>
    <mergeCell ref="B86:H86"/>
    <mergeCell ref="D101:G101"/>
    <mergeCell ref="D102:G102"/>
    <mergeCell ref="C103:G103"/>
    <mergeCell ref="B106:H106"/>
    <mergeCell ref="C107:G107"/>
    <mergeCell ref="B115:H115"/>
    <mergeCell ref="B94:H94"/>
    <mergeCell ref="C95:F95"/>
    <mergeCell ref="D96:F96"/>
    <mergeCell ref="C97:G97"/>
    <mergeCell ref="B99:H99"/>
    <mergeCell ref="C100:G100"/>
    <mergeCell ref="D122:F122"/>
    <mergeCell ref="D123:G123"/>
    <mergeCell ref="B125:H125"/>
    <mergeCell ref="B127:H127"/>
    <mergeCell ref="C128:G128"/>
    <mergeCell ref="D129:G129"/>
    <mergeCell ref="C116:F116"/>
    <mergeCell ref="D117:F117"/>
    <mergeCell ref="D118:F118"/>
    <mergeCell ref="D119:F119"/>
    <mergeCell ref="D120:F120"/>
    <mergeCell ref="D121:F121"/>
    <mergeCell ref="D136:G136"/>
    <mergeCell ref="B139:C139"/>
    <mergeCell ref="B140:C140"/>
    <mergeCell ref="B141:C141"/>
    <mergeCell ref="B142:C142"/>
    <mergeCell ref="B143:C143"/>
    <mergeCell ref="D130:G130"/>
    <mergeCell ref="D131:G131"/>
    <mergeCell ref="D132:G132"/>
    <mergeCell ref="D133:G133"/>
    <mergeCell ref="D134:G134"/>
    <mergeCell ref="D135:G135"/>
    <mergeCell ref="D168:G168"/>
    <mergeCell ref="B169:H169"/>
    <mergeCell ref="D163:G163"/>
    <mergeCell ref="D164:F164"/>
    <mergeCell ref="J164:N166"/>
    <mergeCell ref="D165:F165"/>
    <mergeCell ref="D166:F166"/>
    <mergeCell ref="D167:G167"/>
    <mergeCell ref="B144:C144"/>
    <mergeCell ref="B145:C145"/>
    <mergeCell ref="B158:F158"/>
    <mergeCell ref="B160:H160"/>
    <mergeCell ref="D161:G161"/>
    <mergeCell ref="D162:G162"/>
  </mergeCells>
  <dataValidations count="11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20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custom" allowBlank="1" showInputMessage="1" showErrorMessage="1" sqref="G119">
      <formula1>1-(G120+G121+G122)</formula1>
    </dataValidation>
    <dataValidation type="list" allowBlank="1" showInputMessage="1" showErrorMessage="1" sqref="G82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T169"/>
  <sheetViews>
    <sheetView showGridLines="0" topLeftCell="B121" workbookViewId="0">
      <selection activeCell="C174" sqref="C174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1" t="s">
        <v>68</v>
      </c>
      <c r="C2" s="371"/>
      <c r="D2" s="371"/>
      <c r="E2" s="371"/>
      <c r="F2" s="371"/>
      <c r="G2" s="371"/>
      <c r="H2" s="371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2" t="s">
        <v>321</v>
      </c>
      <c r="C3" s="372"/>
      <c r="D3" s="372"/>
      <c r="E3" s="372"/>
      <c r="F3" s="372"/>
      <c r="G3" s="372"/>
      <c r="H3" s="372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3" t="s">
        <v>155</v>
      </c>
      <c r="C6" s="373"/>
      <c r="D6" s="373"/>
      <c r="E6" s="373"/>
      <c r="F6" s="373"/>
      <c r="G6" s="374" t="s">
        <v>304</v>
      </c>
      <c r="H6" s="374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4" t="s">
        <v>69</v>
      </c>
      <c r="C8" s="304"/>
      <c r="D8" s="304"/>
      <c r="E8" s="304"/>
      <c r="F8" s="304"/>
      <c r="G8" s="304"/>
      <c r="H8" s="304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5">
        <v>1</v>
      </c>
      <c r="C9" s="356" t="s">
        <v>70</v>
      </c>
      <c r="D9" s="356"/>
      <c r="E9" s="356"/>
      <c r="F9" s="356"/>
      <c r="G9" s="356"/>
      <c r="H9" s="356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5"/>
      <c r="C10" s="357"/>
      <c r="D10" s="357"/>
      <c r="E10" s="357"/>
      <c r="F10" s="357"/>
      <c r="G10" s="357"/>
      <c r="H10" s="357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5">
        <v>2</v>
      </c>
      <c r="C11" s="356" t="s">
        <v>72</v>
      </c>
      <c r="D11" s="356"/>
      <c r="E11" s="356"/>
      <c r="F11" s="356"/>
      <c r="G11" s="356"/>
      <c r="H11" s="356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5"/>
      <c r="C12" s="357"/>
      <c r="D12" s="357"/>
      <c r="E12" s="357"/>
      <c r="F12" s="357"/>
      <c r="G12" s="357"/>
      <c r="H12" s="357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5">
        <v>3</v>
      </c>
      <c r="C13" s="356" t="s">
        <v>73</v>
      </c>
      <c r="D13" s="356"/>
      <c r="E13" s="356"/>
      <c r="F13" s="356"/>
      <c r="G13" s="356"/>
      <c r="H13" s="356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5"/>
      <c r="C14" s="357"/>
      <c r="D14" s="357"/>
      <c r="E14" s="357"/>
      <c r="F14" s="357"/>
      <c r="G14" s="357"/>
      <c r="H14" s="357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5">
        <v>4</v>
      </c>
      <c r="C15" s="356" t="s">
        <v>74</v>
      </c>
      <c r="D15" s="356"/>
      <c r="E15" s="356"/>
      <c r="F15" s="356"/>
      <c r="G15" s="356"/>
      <c r="H15" s="356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5"/>
      <c r="C16" s="357"/>
      <c r="D16" s="357"/>
      <c r="E16" s="357"/>
      <c r="F16" s="357"/>
      <c r="G16" s="357"/>
      <c r="H16" s="357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5">
        <v>5</v>
      </c>
      <c r="C17" s="356" t="s">
        <v>75</v>
      </c>
      <c r="D17" s="356"/>
      <c r="E17" s="356"/>
      <c r="F17" s="356"/>
      <c r="G17" s="356"/>
      <c r="H17" s="356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5"/>
      <c r="C18" s="357"/>
      <c r="D18" s="357"/>
      <c r="E18" s="357"/>
      <c r="F18" s="357"/>
      <c r="G18" s="357"/>
      <c r="H18" s="357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5">
        <v>6</v>
      </c>
      <c r="C19" s="356" t="s">
        <v>76</v>
      </c>
      <c r="D19" s="356"/>
      <c r="E19" s="356"/>
      <c r="F19" s="356"/>
      <c r="G19" s="356"/>
      <c r="H19" s="356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5"/>
      <c r="C20" s="357"/>
      <c r="D20" s="357"/>
      <c r="E20" s="357"/>
      <c r="F20" s="357"/>
      <c r="G20" s="357"/>
      <c r="H20" s="357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3" t="s">
        <v>95</v>
      </c>
      <c r="C22" s="323"/>
      <c r="D22" s="323"/>
      <c r="E22" s="323"/>
      <c r="F22" s="323"/>
      <c r="G22" s="323"/>
      <c r="H22" s="32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4" t="s">
        <v>83</v>
      </c>
      <c r="C24" s="324"/>
      <c r="D24" s="324"/>
      <c r="E24" s="324"/>
      <c r="F24" s="324"/>
      <c r="G24" s="324"/>
      <c r="H24" s="32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0" t="s">
        <v>77</v>
      </c>
      <c r="D25" s="328"/>
      <c r="E25" s="328"/>
      <c r="F25" s="281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17" t="s">
        <v>221</v>
      </c>
      <c r="E26" s="318"/>
      <c r="F26" s="319"/>
      <c r="G26" s="21"/>
      <c r="H26" s="82">
        <v>2650.78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17" t="s">
        <v>156</v>
      </c>
      <c r="E27" s="318"/>
      <c r="F27" s="319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17" t="s">
        <v>199</v>
      </c>
      <c r="E28" s="318"/>
      <c r="F28" s="319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17" t="s">
        <v>208</v>
      </c>
      <c r="E29" s="318"/>
      <c r="F29" s="319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8" t="s">
        <v>9</v>
      </c>
      <c r="C30" s="176" t="s">
        <v>130</v>
      </c>
      <c r="D30" s="317" t="s">
        <v>209</v>
      </c>
      <c r="E30" s="318"/>
      <c r="F30" s="319"/>
      <c r="G30" s="261">
        <v>0.5</v>
      </c>
      <c r="H30" s="27">
        <f>TRUNC($G$34*$H34*(1+G$30),2)</f>
        <v>577.91999999999996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47" t="s">
        <v>10</v>
      </c>
      <c r="C31" s="176" t="s">
        <v>3</v>
      </c>
      <c r="D31" s="317"/>
      <c r="E31" s="318"/>
      <c r="F31" s="319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47" t="s">
        <v>157</v>
      </c>
      <c r="C32" s="280" t="s">
        <v>78</v>
      </c>
      <c r="D32" s="328"/>
      <c r="E32" s="328"/>
      <c r="F32" s="281"/>
      <c r="G32" s="36"/>
      <c r="H32" s="23">
        <f>SUM(H26:H31)</f>
        <v>3228.7000000000003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9"/>
      <c r="C33" s="324" t="s">
        <v>145</v>
      </c>
      <c r="D33" s="324"/>
      <c r="E33" s="324"/>
      <c r="F33" s="324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9"/>
      <c r="C34" s="324"/>
      <c r="D34" s="324"/>
      <c r="E34" s="324"/>
      <c r="F34" s="324"/>
      <c r="G34" s="107">
        <v>32</v>
      </c>
      <c r="H34" s="83">
        <f>IF(G34="",0,TRUNC((H26+H27+H28)/220,2))</f>
        <v>12.04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9"/>
      <c r="C35" s="239"/>
      <c r="D35" s="239"/>
      <c r="E35" s="239"/>
      <c r="F35" s="239"/>
      <c r="G35" s="239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9"/>
      <c r="C36" s="239"/>
      <c r="D36" s="239"/>
      <c r="E36" s="239"/>
      <c r="F36" s="239"/>
      <c r="G36" s="239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24" t="s">
        <v>84</v>
      </c>
      <c r="C37" s="324"/>
      <c r="D37" s="324"/>
      <c r="E37" s="324"/>
      <c r="F37" s="324"/>
      <c r="G37" s="324"/>
      <c r="H37" s="324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67"/>
      <c r="C38" s="368"/>
      <c r="D38" s="368"/>
      <c r="E38" s="368"/>
      <c r="F38" s="368"/>
      <c r="G38" s="368"/>
      <c r="H38" s="369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70" t="s">
        <v>54</v>
      </c>
      <c r="C39" s="370"/>
      <c r="D39" s="370"/>
      <c r="E39" s="370"/>
      <c r="F39" s="370"/>
      <c r="G39" s="370"/>
      <c r="H39" s="370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0" t="s">
        <v>45</v>
      </c>
      <c r="D40" s="328"/>
      <c r="E40" s="328"/>
      <c r="F40" s="281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47" t="s">
        <v>5</v>
      </c>
      <c r="C41" s="175" t="s">
        <v>133</v>
      </c>
      <c r="D41" s="317" t="s">
        <v>158</v>
      </c>
      <c r="E41" s="318"/>
      <c r="F41" s="319"/>
      <c r="G41" s="26">
        <f>1/12</f>
        <v>8.3333333333333329E-2</v>
      </c>
      <c r="H41" s="27">
        <f>TRUNC((H$32*$G41),2)</f>
        <v>269.05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47" t="s">
        <v>6</v>
      </c>
      <c r="C42" s="175" t="s">
        <v>82</v>
      </c>
      <c r="D42" s="317" t="s">
        <v>160</v>
      </c>
      <c r="E42" s="318"/>
      <c r="F42" s="319"/>
      <c r="G42" s="26">
        <f>(1/12)+(1/3/12)</f>
        <v>0.1111111111111111</v>
      </c>
      <c r="H42" s="27">
        <f>TRUNC((H$32*$G42),2)</f>
        <v>358.74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47" t="s">
        <v>159</v>
      </c>
      <c r="C43" s="280" t="s">
        <v>78</v>
      </c>
      <c r="D43" s="328"/>
      <c r="E43" s="328"/>
      <c r="F43" s="281"/>
      <c r="G43" s="28">
        <f>TRUNC(SUM(G41:G42),4)</f>
        <v>0.19439999999999999</v>
      </c>
      <c r="H43" s="23">
        <f>SUM(H41:H42)</f>
        <v>627.79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44"/>
      <c r="C44" s="343"/>
      <c r="D44" s="343"/>
      <c r="E44" s="343"/>
      <c r="F44" s="343"/>
      <c r="G44" s="343"/>
      <c r="H44" s="345"/>
      <c r="I44" s="239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50" t="s">
        <v>85</v>
      </c>
      <c r="C45" s="351"/>
      <c r="D45" s="351"/>
      <c r="E45" s="351"/>
      <c r="F45" s="351"/>
      <c r="G45" s="351"/>
      <c r="H45" s="352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0" t="s">
        <v>86</v>
      </c>
      <c r="D46" s="328"/>
      <c r="E46" s="328"/>
      <c r="F46" s="281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47" t="s">
        <v>5</v>
      </c>
      <c r="C47" s="175" t="s">
        <v>48</v>
      </c>
      <c r="D47" s="317" t="s">
        <v>161</v>
      </c>
      <c r="E47" s="318"/>
      <c r="F47" s="319"/>
      <c r="G47" s="26">
        <v>0.2</v>
      </c>
      <c r="H47" s="27">
        <f>TRUNC((H$32+H$43)*$G47,2)</f>
        <v>771.29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6</v>
      </c>
      <c r="C48" s="160" t="s">
        <v>49</v>
      </c>
      <c r="D48" s="317" t="s">
        <v>162</v>
      </c>
      <c r="E48" s="318"/>
      <c r="F48" s="319"/>
      <c r="G48" s="26">
        <v>2.5000000000000001E-2</v>
      </c>
      <c r="H48" s="27">
        <f>TRUNC((H$32+H$43)*$G48,2)</f>
        <v>96.41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58" t="s">
        <v>7</v>
      </c>
      <c r="C49" s="360" t="s">
        <v>124</v>
      </c>
      <c r="D49" s="362" t="s">
        <v>168</v>
      </c>
      <c r="E49" s="11" t="s">
        <v>125</v>
      </c>
      <c r="F49" s="11" t="s">
        <v>123</v>
      </c>
      <c r="G49" s="363">
        <f>E50*F50</f>
        <v>0.03</v>
      </c>
      <c r="H49" s="365">
        <f>TRUNC((H$32+H$43)*$G49,2)</f>
        <v>115.69</v>
      </c>
      <c r="I49" s="198"/>
      <c r="J49" s="353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59"/>
      <c r="C50" s="361"/>
      <c r="D50" s="362"/>
      <c r="E50" s="84">
        <v>0.03</v>
      </c>
      <c r="F50" s="85">
        <v>1</v>
      </c>
      <c r="G50" s="364"/>
      <c r="H50" s="366"/>
      <c r="I50" s="198"/>
      <c r="J50" s="353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8</v>
      </c>
      <c r="C51" s="175" t="s">
        <v>47</v>
      </c>
      <c r="D51" s="317" t="s">
        <v>163</v>
      </c>
      <c r="E51" s="318"/>
      <c r="F51" s="319"/>
      <c r="G51" s="26">
        <v>1.4999999999999999E-2</v>
      </c>
      <c r="H51" s="27">
        <f>TRUNC((H$32+H$43)*$G51,2)</f>
        <v>57.84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9</v>
      </c>
      <c r="C52" s="175" t="s">
        <v>50</v>
      </c>
      <c r="D52" s="317" t="s">
        <v>164</v>
      </c>
      <c r="E52" s="318"/>
      <c r="F52" s="319"/>
      <c r="G52" s="26">
        <v>0.01</v>
      </c>
      <c r="H52" s="27">
        <f>TRUNC((H$32+H$43)*$G52,2)</f>
        <v>38.56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10</v>
      </c>
      <c r="C53" s="175" t="s">
        <v>51</v>
      </c>
      <c r="D53" s="317" t="s">
        <v>165</v>
      </c>
      <c r="E53" s="318"/>
      <c r="F53" s="319"/>
      <c r="G53" s="26">
        <v>6.0000000000000001E-3</v>
      </c>
      <c r="H53" s="27">
        <f>TRUNC((H$32+H$43)*$G53,2)</f>
        <v>23.13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47" t="s">
        <v>11</v>
      </c>
      <c r="C54" s="175" t="s">
        <v>52</v>
      </c>
      <c r="D54" s="317" t="s">
        <v>166</v>
      </c>
      <c r="E54" s="318"/>
      <c r="F54" s="319"/>
      <c r="G54" s="26">
        <v>2E-3</v>
      </c>
      <c r="H54" s="27">
        <f>TRUNC((H$32+H$43)*$G54,2)</f>
        <v>7.71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47" t="s">
        <v>12</v>
      </c>
      <c r="C55" s="175" t="s">
        <v>53</v>
      </c>
      <c r="D55" s="317" t="s">
        <v>167</v>
      </c>
      <c r="E55" s="318"/>
      <c r="F55" s="319"/>
      <c r="G55" s="26">
        <v>0.08</v>
      </c>
      <c r="H55" s="27">
        <f>TRUNC((H$32+H$43)*$G55,2)</f>
        <v>308.51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47" t="s">
        <v>169</v>
      </c>
      <c r="C56" s="280" t="s">
        <v>78</v>
      </c>
      <c r="D56" s="328"/>
      <c r="E56" s="328"/>
      <c r="F56" s="281"/>
      <c r="G56" s="29">
        <f>SUM(G47:G55)</f>
        <v>0.36800000000000005</v>
      </c>
      <c r="H56" s="30">
        <f>SUM(H47:H55)</f>
        <v>1419.1399999999999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47"/>
      <c r="C57" s="348"/>
      <c r="D57" s="348"/>
      <c r="E57" s="348"/>
      <c r="F57" s="348"/>
      <c r="G57" s="348"/>
      <c r="H57" s="349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50" t="s">
        <v>55</v>
      </c>
      <c r="C58" s="351"/>
      <c r="D58" s="351"/>
      <c r="E58" s="351"/>
      <c r="F58" s="351"/>
      <c r="G58" s="351"/>
      <c r="H58" s="352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0" t="s">
        <v>59</v>
      </c>
      <c r="D59" s="328"/>
      <c r="E59" s="328"/>
      <c r="F59" s="328"/>
      <c r="G59" s="281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47" t="s">
        <v>5</v>
      </c>
      <c r="C60" s="175" t="s">
        <v>65</v>
      </c>
      <c r="D60" s="317" t="s">
        <v>172</v>
      </c>
      <c r="E60" s="318"/>
      <c r="F60" s="318"/>
      <c r="G60" s="319"/>
      <c r="H60" s="86">
        <f>(8.55*2*22)-(H26*6%)</f>
        <v>217.15320000000003</v>
      </c>
      <c r="I60" s="212"/>
      <c r="J60" s="354"/>
      <c r="K60" s="354"/>
      <c r="L60" s="354"/>
      <c r="M60" s="354"/>
      <c r="N60" s="354"/>
      <c r="O60" s="121"/>
      <c r="P60" s="121"/>
      <c r="Q60" s="121"/>
      <c r="R60" s="121"/>
    </row>
    <row r="61" spans="2:18" ht="12.75" customHeight="1" x14ac:dyDescent="0.2">
      <c r="B61" s="247" t="s">
        <v>6</v>
      </c>
      <c r="C61" s="175" t="s">
        <v>66</v>
      </c>
      <c r="D61" s="317" t="s">
        <v>173</v>
      </c>
      <c r="E61" s="318"/>
      <c r="F61" s="318"/>
      <c r="G61" s="319"/>
      <c r="H61" s="86">
        <f>15*22</f>
        <v>330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47" t="s">
        <v>7</v>
      </c>
      <c r="C62" s="175" t="s">
        <v>228</v>
      </c>
      <c r="D62" s="317" t="s">
        <v>229</v>
      </c>
      <c r="E62" s="318"/>
      <c r="F62" s="318"/>
      <c r="G62" s="319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8</v>
      </c>
      <c r="C63" s="175" t="s">
        <v>223</v>
      </c>
      <c r="D63" s="243"/>
      <c r="E63" s="244"/>
      <c r="F63" s="244"/>
      <c r="G63" s="24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s="142" customFormat="1" x14ac:dyDescent="0.2">
      <c r="B64" s="247" t="s">
        <v>9</v>
      </c>
      <c r="C64" s="175" t="s">
        <v>3</v>
      </c>
      <c r="D64" s="317"/>
      <c r="E64" s="318"/>
      <c r="F64" s="318"/>
      <c r="G64" s="319"/>
      <c r="H64" s="86">
        <v>0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247" t="s">
        <v>170</v>
      </c>
      <c r="C65" s="280" t="s">
        <v>78</v>
      </c>
      <c r="D65" s="328"/>
      <c r="E65" s="328"/>
      <c r="F65" s="328"/>
      <c r="G65" s="281"/>
      <c r="H65" s="30">
        <f>SUM(H60:H64)</f>
        <v>618.15319999999997</v>
      </c>
      <c r="I65" s="24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344"/>
      <c r="C66" s="343"/>
      <c r="D66" s="343"/>
      <c r="E66" s="343"/>
      <c r="F66" s="343"/>
      <c r="G66" s="343"/>
      <c r="H66" s="345"/>
      <c r="I66" s="239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46" t="s">
        <v>88</v>
      </c>
      <c r="C67" s="346"/>
      <c r="D67" s="346"/>
      <c r="E67" s="346"/>
      <c r="F67" s="346"/>
      <c r="G67" s="346"/>
      <c r="H67" s="346"/>
      <c r="I67" s="239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177">
        <v>2</v>
      </c>
      <c r="C68" s="280" t="s">
        <v>87</v>
      </c>
      <c r="D68" s="328"/>
      <c r="E68" s="328"/>
      <c r="F68" s="328"/>
      <c r="G68" s="281"/>
      <c r="H68" s="177" t="s">
        <v>67</v>
      </c>
      <c r="I68" s="208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47" t="s">
        <v>56</v>
      </c>
      <c r="C69" s="163" t="s">
        <v>45</v>
      </c>
      <c r="D69" s="317" t="s">
        <v>159</v>
      </c>
      <c r="E69" s="318"/>
      <c r="F69" s="318"/>
      <c r="G69" s="319"/>
      <c r="H69" s="27">
        <f>H43</f>
        <v>627.79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57</v>
      </c>
      <c r="C70" s="163" t="s">
        <v>46</v>
      </c>
      <c r="D70" s="317" t="s">
        <v>169</v>
      </c>
      <c r="E70" s="318"/>
      <c r="F70" s="318"/>
      <c r="G70" s="319"/>
      <c r="H70" s="27">
        <f>H56</f>
        <v>1419.1399999999999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47" t="s">
        <v>58</v>
      </c>
      <c r="C71" s="163" t="s">
        <v>59</v>
      </c>
      <c r="D71" s="317" t="s">
        <v>170</v>
      </c>
      <c r="E71" s="318"/>
      <c r="F71" s="318"/>
      <c r="G71" s="319"/>
      <c r="H71" s="27">
        <f>H65</f>
        <v>618.15319999999997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47" t="s">
        <v>171</v>
      </c>
      <c r="C72" s="280" t="s">
        <v>78</v>
      </c>
      <c r="D72" s="328"/>
      <c r="E72" s="328"/>
      <c r="F72" s="328"/>
      <c r="G72" s="281"/>
      <c r="H72" s="23">
        <f>SUM(H69:H71)</f>
        <v>2665.0832</v>
      </c>
      <c r="I72" s="24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43"/>
      <c r="C73" s="343"/>
      <c r="D73" s="343"/>
      <c r="E73" s="343"/>
      <c r="F73" s="343"/>
      <c r="G73" s="343"/>
      <c r="H73" s="343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239"/>
      <c r="C74" s="239"/>
      <c r="D74" s="239"/>
      <c r="E74" s="239"/>
      <c r="F74" s="239"/>
      <c r="G74" s="239"/>
      <c r="H74" s="239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324" t="s">
        <v>89</v>
      </c>
      <c r="C75" s="324"/>
      <c r="D75" s="324"/>
      <c r="E75" s="324"/>
      <c r="F75" s="324"/>
      <c r="G75" s="324"/>
      <c r="H75" s="324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177">
        <v>3</v>
      </c>
      <c r="C76" s="280" t="s">
        <v>79</v>
      </c>
      <c r="D76" s="328"/>
      <c r="E76" s="328"/>
      <c r="F76" s="281"/>
      <c r="G76" s="177" t="s">
        <v>2</v>
      </c>
      <c r="H76" s="177" t="s">
        <v>67</v>
      </c>
      <c r="I76" s="208"/>
      <c r="J76" s="143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247" t="s">
        <v>5</v>
      </c>
      <c r="C77" s="164" t="s">
        <v>118</v>
      </c>
      <c r="D77" s="317" t="s">
        <v>188</v>
      </c>
      <c r="E77" s="318"/>
      <c r="F77" s="319"/>
      <c r="G77" s="87">
        <v>0.3</v>
      </c>
      <c r="H77" s="31">
        <f>TRUNC((H$78+H$79)*$G77,2)</f>
        <v>151.16999999999999</v>
      </c>
      <c r="I77" s="24"/>
      <c r="J77" s="140"/>
      <c r="K77" s="119"/>
      <c r="L77" s="119"/>
      <c r="M77" s="120"/>
      <c r="N77" s="121"/>
      <c r="O77" s="144"/>
      <c r="P77" s="121"/>
      <c r="Q77" s="121"/>
      <c r="R77" s="121"/>
    </row>
    <row r="78" spans="2:18" x14ac:dyDescent="0.2">
      <c r="B78" s="247" t="s">
        <v>6</v>
      </c>
      <c r="C78" s="175" t="s">
        <v>119</v>
      </c>
      <c r="D78" s="317" t="s">
        <v>210</v>
      </c>
      <c r="E78" s="318"/>
      <c r="F78" s="319"/>
      <c r="G78" s="32"/>
      <c r="H78" s="27">
        <f>TRUNC((H$32+H$43+H$55+H$65-H60)/12,2)</f>
        <v>380.5</v>
      </c>
      <c r="I78" s="195"/>
      <c r="J78" s="137"/>
      <c r="K78" s="119"/>
      <c r="L78" s="119"/>
      <c r="M78" s="120"/>
      <c r="N78" s="121"/>
      <c r="O78" s="145"/>
      <c r="P78" s="121"/>
      <c r="Q78" s="121"/>
      <c r="R78" s="121"/>
    </row>
    <row r="79" spans="2:18" x14ac:dyDescent="0.2">
      <c r="B79" s="247" t="s">
        <v>7</v>
      </c>
      <c r="C79" s="175" t="s">
        <v>120</v>
      </c>
      <c r="D79" s="317" t="s">
        <v>200</v>
      </c>
      <c r="E79" s="319"/>
      <c r="F79" s="89">
        <v>0.4</v>
      </c>
      <c r="G79" s="32"/>
      <c r="H79" s="27">
        <f>TRUNC(H$55*$F79,2)</f>
        <v>123.4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47" t="s">
        <v>8</v>
      </c>
      <c r="C80" s="164" t="s">
        <v>121</v>
      </c>
      <c r="D80" s="317" t="s">
        <v>189</v>
      </c>
      <c r="E80" s="318"/>
      <c r="F80" s="319"/>
      <c r="G80" s="87">
        <v>1</v>
      </c>
      <c r="H80" s="168">
        <f>IF($G80&gt;=1,(TRUNC(H$81*$G80,2)),"ERRO")</f>
        <v>123.4</v>
      </c>
      <c r="I80" s="197"/>
      <c r="J80" s="137"/>
      <c r="K80" s="119"/>
      <c r="L80" s="119"/>
      <c r="M80" s="120"/>
      <c r="N80" s="121"/>
      <c r="O80" s="141"/>
      <c r="P80" s="121"/>
      <c r="Q80" s="121"/>
      <c r="R80" s="121"/>
    </row>
    <row r="81" spans="2:18" x14ac:dyDescent="0.2">
      <c r="B81" s="247" t="s">
        <v>9</v>
      </c>
      <c r="C81" s="175" t="s">
        <v>122</v>
      </c>
      <c r="D81" s="317" t="s">
        <v>200</v>
      </c>
      <c r="E81" s="319"/>
      <c r="F81" s="89">
        <v>0.4</v>
      </c>
      <c r="G81" s="32"/>
      <c r="H81" s="27">
        <f>TRUNC(H$55*$F81,2)</f>
        <v>123.4</v>
      </c>
      <c r="I81" s="195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47" t="s">
        <v>10</v>
      </c>
      <c r="C82" s="164" t="s">
        <v>207</v>
      </c>
      <c r="D82" s="341" t="s">
        <v>201</v>
      </c>
      <c r="E82" s="342"/>
      <c r="F82" s="88">
        <v>12</v>
      </c>
      <c r="G82" s="88">
        <v>3</v>
      </c>
      <c r="H82" s="27">
        <f>TRUNC(((H$32+H$43+H$56)/30)*$G82/$F82,2)</f>
        <v>43.96</v>
      </c>
      <c r="I82" s="195"/>
      <c r="J82" s="190"/>
      <c r="K82" s="120"/>
      <c r="L82" s="120"/>
      <c r="M82" s="120"/>
      <c r="N82" s="121"/>
      <c r="O82" s="141"/>
      <c r="P82" s="121"/>
      <c r="Q82" s="121"/>
      <c r="R82" s="121"/>
    </row>
    <row r="83" spans="2:18" x14ac:dyDescent="0.2">
      <c r="B83" s="247" t="s">
        <v>175</v>
      </c>
      <c r="C83" s="280" t="s">
        <v>78</v>
      </c>
      <c r="D83" s="328"/>
      <c r="E83" s="328"/>
      <c r="F83" s="328"/>
      <c r="G83" s="281"/>
      <c r="H83" s="23">
        <f>H$77+H$80+H$82</f>
        <v>318.52999999999997</v>
      </c>
      <c r="I83" s="24"/>
      <c r="J83" s="121"/>
      <c r="K83" s="121"/>
      <c r="L83" s="121"/>
      <c r="M83" s="120"/>
      <c r="N83" s="121"/>
      <c r="O83" s="121"/>
      <c r="P83" s="121"/>
      <c r="Q83" s="121"/>
      <c r="R83" s="121"/>
    </row>
    <row r="84" spans="2:18" x14ac:dyDescent="0.2">
      <c r="B84" s="185"/>
      <c r="C84" s="185"/>
      <c r="D84" s="185"/>
      <c r="E84" s="185"/>
      <c r="F84" s="185"/>
      <c r="G84" s="185"/>
      <c r="H84" s="185"/>
      <c r="I84" s="185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239"/>
      <c r="C85" s="239"/>
      <c r="D85" s="239"/>
      <c r="E85" s="239"/>
      <c r="F85" s="239"/>
      <c r="G85" s="239"/>
      <c r="H85" s="239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324" t="s">
        <v>90</v>
      </c>
      <c r="C86" s="324"/>
      <c r="D86" s="324"/>
      <c r="E86" s="324"/>
      <c r="F86" s="324"/>
      <c r="G86" s="324"/>
      <c r="H86" s="324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35" t="s">
        <v>110</v>
      </c>
      <c r="C87" s="336"/>
      <c r="D87" s="336"/>
      <c r="E87" s="336"/>
      <c r="F87" s="336"/>
      <c r="G87" s="336"/>
      <c r="H87" s="337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177" t="s">
        <v>17</v>
      </c>
      <c r="C88" s="280" t="s">
        <v>111</v>
      </c>
      <c r="D88" s="328"/>
      <c r="E88" s="328"/>
      <c r="F88" s="281"/>
      <c r="G88" s="177" t="s">
        <v>126</v>
      </c>
      <c r="H88" s="177" t="s">
        <v>67</v>
      </c>
      <c r="I88" s="208"/>
      <c r="J88" s="119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47" t="s">
        <v>5</v>
      </c>
      <c r="C89" s="175" t="s">
        <v>132</v>
      </c>
      <c r="D89" s="317" t="s">
        <v>181</v>
      </c>
      <c r="E89" s="318"/>
      <c r="F89" s="319"/>
      <c r="G89" s="88">
        <v>30</v>
      </c>
      <c r="H89" s="27">
        <f>TRUNC((H$91*$G89)/12,2)</f>
        <v>517.66999999999996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ht="22.5" x14ac:dyDescent="0.2">
      <c r="B90" s="247" t="s">
        <v>6</v>
      </c>
      <c r="C90" s="165" t="s">
        <v>187</v>
      </c>
      <c r="D90" s="338" t="s">
        <v>190</v>
      </c>
      <c r="E90" s="339"/>
      <c r="F90" s="340"/>
      <c r="G90" s="114">
        <v>8</v>
      </c>
      <c r="H90" s="27">
        <f>TRUNC((H$91*$G90)/12,2)</f>
        <v>138.04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x14ac:dyDescent="0.2">
      <c r="B91" s="247" t="s">
        <v>7</v>
      </c>
      <c r="C91" s="175" t="s">
        <v>134</v>
      </c>
      <c r="D91" s="317" t="s">
        <v>174</v>
      </c>
      <c r="E91" s="318"/>
      <c r="F91" s="318"/>
      <c r="G91" s="319"/>
      <c r="H91" s="27">
        <f>TRUNC((H$32+H$72+H$83)/30,2)</f>
        <v>207.07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47" t="s">
        <v>176</v>
      </c>
      <c r="C92" s="280" t="s">
        <v>78</v>
      </c>
      <c r="D92" s="328"/>
      <c r="E92" s="328"/>
      <c r="F92" s="328"/>
      <c r="G92" s="281"/>
      <c r="H92" s="23">
        <f>TRUNC(H$89+H$90,2)</f>
        <v>655.71</v>
      </c>
      <c r="I92" s="24"/>
      <c r="J92" s="140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47"/>
      <c r="C93" s="148"/>
      <c r="D93" s="148"/>
      <c r="E93" s="148"/>
      <c r="F93" s="148"/>
      <c r="G93" s="148"/>
      <c r="H93" s="149"/>
      <c r="I93" s="33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332" t="s">
        <v>112</v>
      </c>
      <c r="C94" s="333"/>
      <c r="D94" s="333"/>
      <c r="E94" s="333"/>
      <c r="F94" s="333"/>
      <c r="G94" s="333"/>
      <c r="H94" s="334"/>
      <c r="I94" s="208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177" t="s">
        <v>18</v>
      </c>
      <c r="C95" s="280" t="s">
        <v>113</v>
      </c>
      <c r="D95" s="328"/>
      <c r="E95" s="328"/>
      <c r="F95" s="281"/>
      <c r="G95" s="177" t="s">
        <v>126</v>
      </c>
      <c r="H95" s="177" t="s">
        <v>67</v>
      </c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ht="22.5" x14ac:dyDescent="0.2">
      <c r="B96" s="247" t="s">
        <v>5</v>
      </c>
      <c r="C96" s="165" t="s">
        <v>114</v>
      </c>
      <c r="D96" s="317" t="s">
        <v>212</v>
      </c>
      <c r="E96" s="318"/>
      <c r="F96" s="319"/>
      <c r="G96" s="88"/>
      <c r="H96" s="27">
        <f>TRUNC(((H$32+H72+H83)/220)*(1+50%)*G96,2)</f>
        <v>0</v>
      </c>
      <c r="I96" s="195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247" t="s">
        <v>177</v>
      </c>
      <c r="C97" s="280" t="s">
        <v>78</v>
      </c>
      <c r="D97" s="328"/>
      <c r="E97" s="328"/>
      <c r="F97" s="328"/>
      <c r="G97" s="281"/>
      <c r="H97" s="23">
        <f>H96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49"/>
      <c r="C98" s="250"/>
      <c r="D98" s="250"/>
      <c r="E98" s="250"/>
      <c r="F98" s="250"/>
      <c r="G98" s="250"/>
      <c r="H98" s="251"/>
      <c r="I98" s="217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332" t="s">
        <v>91</v>
      </c>
      <c r="C99" s="333"/>
      <c r="D99" s="333"/>
      <c r="E99" s="333"/>
      <c r="F99" s="333"/>
      <c r="G99" s="333"/>
      <c r="H99" s="334"/>
      <c r="I99" s="208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177">
        <v>4</v>
      </c>
      <c r="C100" s="280" t="s">
        <v>92</v>
      </c>
      <c r="D100" s="328"/>
      <c r="E100" s="328"/>
      <c r="F100" s="328"/>
      <c r="G100" s="281"/>
      <c r="H100" s="177" t="s">
        <v>67</v>
      </c>
      <c r="I100" s="208"/>
      <c r="J100" s="137"/>
      <c r="K100" s="119"/>
      <c r="L100" s="119"/>
      <c r="M100" s="120"/>
      <c r="N100" s="150"/>
      <c r="O100" s="121"/>
      <c r="P100" s="121"/>
      <c r="Q100" s="121"/>
      <c r="R100" s="121"/>
    </row>
    <row r="101" spans="2:18" x14ac:dyDescent="0.2">
      <c r="B101" s="247" t="s">
        <v>17</v>
      </c>
      <c r="C101" s="175" t="s">
        <v>60</v>
      </c>
      <c r="D101" s="317" t="s">
        <v>176</v>
      </c>
      <c r="E101" s="318"/>
      <c r="F101" s="318"/>
      <c r="G101" s="319"/>
      <c r="H101" s="27">
        <f>H92</f>
        <v>655.71</v>
      </c>
      <c r="I101" s="195"/>
      <c r="J101" s="137"/>
      <c r="K101" s="137"/>
      <c r="L101" s="137"/>
      <c r="M101" s="137"/>
      <c r="N101" s="121"/>
      <c r="O101" s="121"/>
      <c r="P101" s="121"/>
      <c r="Q101" s="121"/>
      <c r="R101" s="121"/>
    </row>
    <row r="102" spans="2:18" x14ac:dyDescent="0.2">
      <c r="B102" s="247" t="s">
        <v>18</v>
      </c>
      <c r="C102" s="175" t="s">
        <v>62</v>
      </c>
      <c r="D102" s="317" t="s">
        <v>177</v>
      </c>
      <c r="E102" s="318"/>
      <c r="F102" s="318"/>
      <c r="G102" s="319"/>
      <c r="H102" s="27">
        <f>H97</f>
        <v>0</v>
      </c>
      <c r="I102" s="195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247" t="s">
        <v>178</v>
      </c>
      <c r="C103" s="280" t="s">
        <v>78</v>
      </c>
      <c r="D103" s="328"/>
      <c r="E103" s="328"/>
      <c r="F103" s="328"/>
      <c r="G103" s="281"/>
      <c r="H103" s="23">
        <f>SUM(H101:H102)</f>
        <v>655.71</v>
      </c>
      <c r="I103" s="24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39"/>
      <c r="C104" s="239"/>
      <c r="D104" s="239"/>
      <c r="E104" s="239"/>
      <c r="F104" s="239"/>
      <c r="G104" s="239"/>
      <c r="H104" s="239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9"/>
      <c r="C105" s="239"/>
      <c r="D105" s="239"/>
      <c r="E105" s="239"/>
      <c r="F105" s="239"/>
      <c r="G105" s="239"/>
      <c r="H105" s="239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324" t="s">
        <v>93</v>
      </c>
      <c r="C106" s="324"/>
      <c r="D106" s="324"/>
      <c r="E106" s="324"/>
      <c r="F106" s="324"/>
      <c r="G106" s="324"/>
      <c r="H106" s="324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177">
        <v>5</v>
      </c>
      <c r="C107" s="329" t="s">
        <v>80</v>
      </c>
      <c r="D107" s="330"/>
      <c r="E107" s="330"/>
      <c r="F107" s="330"/>
      <c r="G107" s="331"/>
      <c r="H107" s="177" t="s">
        <v>67</v>
      </c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47" t="s">
        <v>5</v>
      </c>
      <c r="C108" s="126" t="s">
        <v>63</v>
      </c>
      <c r="D108" s="127"/>
      <c r="E108" s="127"/>
      <c r="F108" s="127"/>
      <c r="G108" s="128"/>
      <c r="H108" s="129">
        <f>Insumos!G11</f>
        <v>105.67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6</v>
      </c>
      <c r="C109" s="126" t="s">
        <v>236</v>
      </c>
      <c r="D109" s="127"/>
      <c r="E109" s="127"/>
      <c r="F109" s="127"/>
      <c r="G109" s="128"/>
      <c r="H109" s="129">
        <f>Insumos!G24</f>
        <v>27.6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7</v>
      </c>
      <c r="C110" s="126" t="s">
        <v>14</v>
      </c>
      <c r="D110" s="127"/>
      <c r="E110" s="127"/>
      <c r="F110" s="127"/>
      <c r="G110" s="128"/>
      <c r="H110" s="129">
        <f>Insumos!H94</f>
        <v>61.579999999999991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47" t="s">
        <v>8</v>
      </c>
      <c r="C111" s="126" t="s">
        <v>225</v>
      </c>
      <c r="D111" s="127"/>
      <c r="E111" s="127"/>
      <c r="F111" s="127"/>
      <c r="G111" s="128"/>
      <c r="H111" s="129">
        <f>Insumos!H39</f>
        <v>3.8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47" t="s">
        <v>179</v>
      </c>
      <c r="C112" s="161" t="s">
        <v>78</v>
      </c>
      <c r="D112" s="161"/>
      <c r="E112" s="161"/>
      <c r="F112" s="161"/>
      <c r="G112" s="162"/>
      <c r="H112" s="23">
        <f>SUM(H108:H111)</f>
        <v>198.65</v>
      </c>
      <c r="I112" s="24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39"/>
      <c r="C113" s="239"/>
      <c r="D113" s="239"/>
      <c r="E113" s="239"/>
      <c r="F113" s="239"/>
      <c r="G113" s="151"/>
      <c r="H113" s="136"/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9"/>
      <c r="C114" s="239"/>
      <c r="D114" s="239"/>
      <c r="E114" s="239"/>
      <c r="F114" s="239"/>
      <c r="G114" s="239"/>
      <c r="H114" s="239"/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324" t="s">
        <v>94</v>
      </c>
      <c r="C115" s="324"/>
      <c r="D115" s="324"/>
      <c r="E115" s="324"/>
      <c r="F115" s="324"/>
      <c r="G115" s="324"/>
      <c r="H115" s="324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177">
        <v>6</v>
      </c>
      <c r="C116" s="280" t="s">
        <v>81</v>
      </c>
      <c r="D116" s="328"/>
      <c r="E116" s="328"/>
      <c r="F116" s="281"/>
      <c r="G116" s="177" t="s">
        <v>2</v>
      </c>
      <c r="H116" s="177" t="s">
        <v>67</v>
      </c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47" t="s">
        <v>5</v>
      </c>
      <c r="C117" s="175" t="s">
        <v>19</v>
      </c>
      <c r="D117" s="317" t="s">
        <v>191</v>
      </c>
      <c r="E117" s="318"/>
      <c r="F117" s="319"/>
      <c r="G117" s="103">
        <v>0.05</v>
      </c>
      <c r="H117" s="27">
        <f>TRUNC(H$134*$G117,2)</f>
        <v>353.33</v>
      </c>
      <c r="I117" s="195"/>
      <c r="J117" s="119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6</v>
      </c>
      <c r="C118" s="175" t="s">
        <v>4</v>
      </c>
      <c r="D118" s="317" t="s">
        <v>192</v>
      </c>
      <c r="E118" s="318"/>
      <c r="F118" s="319"/>
      <c r="G118" s="103">
        <v>0.1</v>
      </c>
      <c r="H118" s="27">
        <f>TRUNC((H$134+H$117)*$G118,2)</f>
        <v>742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7</v>
      </c>
      <c r="C119" s="175" t="s">
        <v>143</v>
      </c>
      <c r="D119" s="317" t="s">
        <v>193</v>
      </c>
      <c r="E119" s="318"/>
      <c r="F119" s="319"/>
      <c r="G119" s="105">
        <f>1-(G120+G121+G122)</f>
        <v>0.85749999999999993</v>
      </c>
      <c r="H119" s="34">
        <f>TRUNC(((H$134+H$117+H$118)/$G119),2)</f>
        <v>9518.3700000000008</v>
      </c>
      <c r="I119" s="198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40</v>
      </c>
      <c r="C120" s="175" t="s">
        <v>37</v>
      </c>
      <c r="D120" s="317" t="s">
        <v>194</v>
      </c>
      <c r="E120" s="318"/>
      <c r="F120" s="319"/>
      <c r="G120" s="104">
        <v>1.6500000000000001E-2</v>
      </c>
      <c r="H120" s="27">
        <f>TRUNC(H$119*$G120,2)</f>
        <v>157.05000000000001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41</v>
      </c>
      <c r="C121" s="175" t="s">
        <v>38</v>
      </c>
      <c r="D121" s="317" t="s">
        <v>194</v>
      </c>
      <c r="E121" s="318"/>
      <c r="F121" s="319"/>
      <c r="G121" s="104">
        <v>7.5999999999999998E-2</v>
      </c>
      <c r="H121" s="27">
        <f>TRUNC(H$119*$G121,2)</f>
        <v>723.39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47" t="s">
        <v>42</v>
      </c>
      <c r="C122" s="175" t="s">
        <v>39</v>
      </c>
      <c r="D122" s="317" t="s">
        <v>194</v>
      </c>
      <c r="E122" s="318"/>
      <c r="F122" s="319"/>
      <c r="G122" s="104">
        <v>0.05</v>
      </c>
      <c r="H122" s="27">
        <f>TRUNC(H$119*$G122,2)</f>
        <v>475.91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47" t="s">
        <v>180</v>
      </c>
      <c r="C123" s="242" t="s">
        <v>78</v>
      </c>
      <c r="D123" s="309" t="s">
        <v>182</v>
      </c>
      <c r="E123" s="309"/>
      <c r="F123" s="309"/>
      <c r="G123" s="310"/>
      <c r="H123" s="23">
        <f>SUM(H117:H122)-H119</f>
        <v>2451.6799999999985</v>
      </c>
      <c r="I123" s="24"/>
      <c r="J123" s="140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124"/>
      <c r="C124" s="124"/>
      <c r="D124" s="124"/>
      <c r="E124" s="124"/>
      <c r="F124" s="124"/>
      <c r="G124" s="124"/>
      <c r="H124" s="152"/>
      <c r="I124" s="35"/>
      <c r="J124" s="119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23" t="s">
        <v>319</v>
      </c>
      <c r="C125" s="323"/>
      <c r="D125" s="323"/>
      <c r="E125" s="323"/>
      <c r="F125" s="323"/>
      <c r="G125" s="323"/>
      <c r="H125" s="323"/>
      <c r="I125" s="209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241"/>
      <c r="C126" s="241"/>
      <c r="D126" s="241"/>
      <c r="E126" s="241"/>
      <c r="F126" s="241"/>
      <c r="G126" s="241"/>
      <c r="H126" s="241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324" t="s">
        <v>116</v>
      </c>
      <c r="C127" s="324"/>
      <c r="D127" s="324"/>
      <c r="E127" s="324"/>
      <c r="F127" s="324"/>
      <c r="G127" s="324"/>
      <c r="H127" s="324"/>
      <c r="I127" s="208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ht="12.75" customHeight="1" x14ac:dyDescent="0.2">
      <c r="B128" s="36"/>
      <c r="C128" s="325" t="s">
        <v>144</v>
      </c>
      <c r="D128" s="326"/>
      <c r="E128" s="326"/>
      <c r="F128" s="326"/>
      <c r="G128" s="327"/>
      <c r="H128" s="177" t="s">
        <v>67</v>
      </c>
      <c r="I128" s="208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247" t="s">
        <v>5</v>
      </c>
      <c r="C129" s="165" t="s">
        <v>97</v>
      </c>
      <c r="D129" s="317" t="s">
        <v>157</v>
      </c>
      <c r="E129" s="318"/>
      <c r="F129" s="318"/>
      <c r="G129" s="319"/>
      <c r="H129" s="27">
        <f>H32</f>
        <v>3228.7000000000003</v>
      </c>
      <c r="I129" s="195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247" t="s">
        <v>6</v>
      </c>
      <c r="C130" s="165" t="s">
        <v>98</v>
      </c>
      <c r="D130" s="317" t="s">
        <v>171</v>
      </c>
      <c r="E130" s="318"/>
      <c r="F130" s="318"/>
      <c r="G130" s="319"/>
      <c r="H130" s="27">
        <f>H72</f>
        <v>2665.0832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47" t="s">
        <v>7</v>
      </c>
      <c r="C131" s="165" t="s">
        <v>99</v>
      </c>
      <c r="D131" s="317" t="s">
        <v>175</v>
      </c>
      <c r="E131" s="318"/>
      <c r="F131" s="318"/>
      <c r="G131" s="319"/>
      <c r="H131" s="27">
        <f>H83</f>
        <v>318.52999999999997</v>
      </c>
      <c r="I131" s="195"/>
      <c r="J131" s="119"/>
      <c r="K131" s="153"/>
      <c r="L131" s="119"/>
      <c r="M131" s="120"/>
      <c r="N131" s="121"/>
      <c r="O131" s="121"/>
      <c r="P131" s="121"/>
      <c r="Q131" s="121"/>
      <c r="R131" s="121"/>
    </row>
    <row r="132" spans="2:18" ht="22.5" x14ac:dyDescent="0.2">
      <c r="B132" s="247" t="s">
        <v>8</v>
      </c>
      <c r="C132" s="165" t="s">
        <v>61</v>
      </c>
      <c r="D132" s="317" t="s">
        <v>178</v>
      </c>
      <c r="E132" s="318"/>
      <c r="F132" s="318"/>
      <c r="G132" s="319"/>
      <c r="H132" s="27">
        <f>H103</f>
        <v>655.71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47" t="s">
        <v>9</v>
      </c>
      <c r="C133" s="165" t="s">
        <v>100</v>
      </c>
      <c r="D133" s="317" t="s">
        <v>179</v>
      </c>
      <c r="E133" s="318"/>
      <c r="F133" s="318"/>
      <c r="G133" s="319"/>
      <c r="H133" s="27">
        <f>H112</f>
        <v>198.65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6" t="s">
        <v>10</v>
      </c>
      <c r="C134" s="164" t="s">
        <v>64</v>
      </c>
      <c r="D134" s="320" t="s">
        <v>198</v>
      </c>
      <c r="E134" s="321"/>
      <c r="F134" s="321"/>
      <c r="G134" s="322"/>
      <c r="H134" s="31">
        <f>SUM(H129:H133)</f>
        <v>7066.6731999999993</v>
      </c>
      <c r="I134" s="24"/>
      <c r="J134" s="119"/>
      <c r="K134" s="154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47" t="s">
        <v>11</v>
      </c>
      <c r="C135" s="175" t="s">
        <v>101</v>
      </c>
      <c r="D135" s="317" t="s">
        <v>180</v>
      </c>
      <c r="E135" s="318"/>
      <c r="F135" s="318"/>
      <c r="G135" s="319"/>
      <c r="H135" s="27">
        <f>H123</f>
        <v>2451.6799999999985</v>
      </c>
      <c r="I135" s="195"/>
      <c r="J135" s="119"/>
      <c r="K135" s="119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47" t="s">
        <v>183</v>
      </c>
      <c r="C136" s="238" t="s">
        <v>96</v>
      </c>
      <c r="D136" s="308" t="s">
        <v>197</v>
      </c>
      <c r="E136" s="309"/>
      <c r="F136" s="309"/>
      <c r="G136" s="310"/>
      <c r="H136" s="37">
        <f>SUM(H134:H135)</f>
        <v>9518.3531999999977</v>
      </c>
      <c r="I136" s="213"/>
      <c r="J136" s="119"/>
      <c r="K136" s="155"/>
      <c r="L136" s="119"/>
      <c r="M136" s="120"/>
      <c r="N136" s="121"/>
      <c r="O136" s="121"/>
      <c r="P136" s="121"/>
      <c r="Q136" s="121"/>
      <c r="R136" s="121"/>
    </row>
    <row r="137" spans="2:18" ht="12.75" hidden="1" customHeight="1" x14ac:dyDescent="0.2">
      <c r="B137" s="14"/>
      <c r="C137" s="14"/>
      <c r="D137" s="14"/>
      <c r="E137" s="14"/>
      <c r="F137" s="14"/>
      <c r="G137" s="14"/>
      <c r="H137" s="38"/>
      <c r="I137" s="214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40.5" hidden="1" customHeight="1" x14ac:dyDescent="0.2">
      <c r="B138" s="39"/>
      <c r="C138" s="39" t="s">
        <v>20</v>
      </c>
      <c r="D138" s="39"/>
      <c r="E138" s="39"/>
      <c r="F138" s="39"/>
      <c r="G138" s="40"/>
      <c r="H138" s="40"/>
      <c r="I138" s="215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39" hidden="1" customHeight="1" x14ac:dyDescent="0.2">
      <c r="B139" s="311" t="s">
        <v>22</v>
      </c>
      <c r="C139" s="312"/>
      <c r="D139" s="252"/>
      <c r="E139" s="252"/>
      <c r="F139" s="252"/>
      <c r="G139" s="41" t="s">
        <v>21</v>
      </c>
      <c r="H139" s="42" t="s">
        <v>0</v>
      </c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3" t="s">
        <v>23</v>
      </c>
      <c r="C140" s="314"/>
      <c r="D140" s="43"/>
      <c r="E140" s="43"/>
      <c r="F140" s="43"/>
      <c r="G140" s="44"/>
      <c r="H140" s="45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5" t="s">
        <v>24</v>
      </c>
      <c r="C141" s="316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15" t="s">
        <v>25</v>
      </c>
      <c r="C142" s="316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15" t="s">
        <v>26</v>
      </c>
      <c r="C143" s="316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299"/>
      <c r="C144" s="300"/>
      <c r="D144" s="49"/>
      <c r="E144" s="49"/>
      <c r="F144" s="49"/>
      <c r="G144" s="50"/>
      <c r="H144" s="48"/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3.5" hidden="1" customHeight="1" x14ac:dyDescent="0.2">
      <c r="B145" s="301"/>
      <c r="C145" s="302"/>
      <c r="D145" s="51"/>
      <c r="E145" s="51"/>
      <c r="F145" s="51"/>
      <c r="G145" s="52"/>
      <c r="H145" s="53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54" t="s">
        <v>27</v>
      </c>
      <c r="C146" s="55"/>
      <c r="D146" s="55"/>
      <c r="E146" s="55"/>
      <c r="F146" s="55"/>
      <c r="G146" s="56"/>
      <c r="H146" s="57">
        <f>SUM(H144:H145)</f>
        <v>0</v>
      </c>
      <c r="I146" s="200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2.75" hidden="1" customHeight="1" x14ac:dyDescent="0.2">
      <c r="B147" s="14"/>
      <c r="C147" s="14"/>
      <c r="D147" s="14"/>
      <c r="E147" s="14"/>
      <c r="F147" s="14"/>
      <c r="G147" s="14"/>
      <c r="H147" s="14"/>
      <c r="I147" s="18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3.5" hidden="1" customHeight="1" x14ac:dyDescent="0.2">
      <c r="B148" s="39" t="s">
        <v>28</v>
      </c>
      <c r="C148" s="39" t="s">
        <v>29</v>
      </c>
      <c r="D148" s="39"/>
      <c r="E148" s="39"/>
      <c r="F148" s="39"/>
      <c r="G148" s="40"/>
      <c r="H148" s="40"/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58" t="s">
        <v>30</v>
      </c>
      <c r="C149" s="59"/>
      <c r="D149" s="59"/>
      <c r="E149" s="59"/>
      <c r="F149" s="59"/>
      <c r="G149" s="59"/>
      <c r="H149" s="6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2.75" hidden="1" customHeight="1" x14ac:dyDescent="0.2">
      <c r="B150" s="61"/>
      <c r="C150" s="62" t="s">
        <v>31</v>
      </c>
      <c r="D150" s="63"/>
      <c r="E150" s="63"/>
      <c r="F150" s="63"/>
      <c r="G150" s="64"/>
      <c r="H150" s="42" t="s">
        <v>0</v>
      </c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5" t="s">
        <v>5</v>
      </c>
      <c r="C151" s="66" t="s">
        <v>32</v>
      </c>
      <c r="D151" s="67"/>
      <c r="E151" s="67"/>
      <c r="F151" s="67"/>
      <c r="G151" s="68"/>
      <c r="H151" s="69">
        <f>H120</f>
        <v>157.05000000000001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0" t="s">
        <v>6</v>
      </c>
      <c r="C152" s="71" t="s">
        <v>33</v>
      </c>
      <c r="D152" s="72"/>
      <c r="E152" s="72"/>
      <c r="F152" s="72"/>
      <c r="G152" s="73"/>
      <c r="H152" s="74" t="e">
        <f>#REF!</f>
        <v>#REF!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7</v>
      </c>
      <c r="C153" s="75" t="s">
        <v>34</v>
      </c>
      <c r="D153" s="76"/>
      <c r="E153" s="76"/>
      <c r="F153" s="76"/>
      <c r="G153" s="77"/>
      <c r="H153" s="74">
        <f>H123</f>
        <v>2451.6799999999985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8" t="s">
        <v>16</v>
      </c>
      <c r="C154" s="79"/>
      <c r="D154" s="79"/>
      <c r="E154" s="79"/>
      <c r="F154" s="79"/>
      <c r="G154" s="80"/>
      <c r="H154" s="57" t="e">
        <f>SUM(H151:H153)</f>
        <v>#REF!</v>
      </c>
      <c r="I154" s="200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2.75" hidden="1" customHeight="1" x14ac:dyDescent="0.2">
      <c r="B155" s="81" t="s">
        <v>15</v>
      </c>
      <c r="C155" s="14" t="s">
        <v>35</v>
      </c>
      <c r="D155" s="14"/>
      <c r="E155" s="14"/>
      <c r="F155" s="14"/>
      <c r="G155" s="14"/>
      <c r="H155" s="14"/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14"/>
      <c r="C156" s="14"/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x14ac:dyDescent="0.2"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B158" s="303" t="s">
        <v>320</v>
      </c>
      <c r="C158" s="303"/>
      <c r="D158" s="303"/>
      <c r="E158" s="303"/>
      <c r="F158" s="303"/>
      <c r="I158" s="18"/>
      <c r="J158" s="188"/>
      <c r="K158" s="157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158"/>
      <c r="C159" s="158"/>
      <c r="D159" s="158"/>
      <c r="E159" s="142"/>
      <c r="F159" s="142"/>
      <c r="I159" s="18"/>
    </row>
    <row r="160" spans="2:18" x14ac:dyDescent="0.2">
      <c r="B160" s="304" t="s">
        <v>202</v>
      </c>
      <c r="C160" s="304"/>
      <c r="D160" s="304"/>
      <c r="E160" s="304"/>
      <c r="F160" s="304"/>
      <c r="G160" s="304"/>
      <c r="H160" s="304"/>
      <c r="I160" s="210"/>
      <c r="J160" s="188"/>
    </row>
    <row r="161" spans="2:14" x14ac:dyDescent="0.2">
      <c r="B161" s="247" t="s">
        <v>5</v>
      </c>
      <c r="C161" s="167" t="s">
        <v>127</v>
      </c>
      <c r="D161" s="292" t="s">
        <v>183</v>
      </c>
      <c r="E161" s="293"/>
      <c r="F161" s="293"/>
      <c r="G161" s="294"/>
      <c r="H161" s="12">
        <f>H136</f>
        <v>9518.3531999999977</v>
      </c>
      <c r="I161" s="207"/>
    </row>
    <row r="162" spans="2:14" ht="22.5" x14ac:dyDescent="0.2">
      <c r="B162" s="247" t="s">
        <v>6</v>
      </c>
      <c r="C162" s="166" t="s">
        <v>185</v>
      </c>
      <c r="D162" s="292" t="s">
        <v>186</v>
      </c>
      <c r="E162" s="293"/>
      <c r="F162" s="293"/>
      <c r="G162" s="294"/>
      <c r="H162" s="12">
        <f>H43+H83+H101</f>
        <v>1602.03</v>
      </c>
      <c r="I162" s="201"/>
    </row>
    <row r="163" spans="2:14" ht="22.5" x14ac:dyDescent="0.2">
      <c r="B163" s="247" t="s">
        <v>7</v>
      </c>
      <c r="C163" s="205" t="s">
        <v>203</v>
      </c>
      <c r="D163" s="305" t="s">
        <v>211</v>
      </c>
      <c r="E163" s="306"/>
      <c r="F163" s="306"/>
      <c r="G163" s="307"/>
      <c r="H163" s="206">
        <f>TRUNC((H$43*$G56),2)</f>
        <v>231.02</v>
      </c>
      <c r="I163" s="207"/>
      <c r="J163" s="187"/>
    </row>
    <row r="164" spans="2:14" ht="12.75" customHeight="1" x14ac:dyDescent="0.2">
      <c r="B164" s="247" t="s">
        <v>8</v>
      </c>
      <c r="C164" s="166" t="s">
        <v>19</v>
      </c>
      <c r="D164" s="289" t="s">
        <v>195</v>
      </c>
      <c r="E164" s="290"/>
      <c r="F164" s="291"/>
      <c r="G164" s="13">
        <f>G117</f>
        <v>0.05</v>
      </c>
      <c r="H164" s="12">
        <f>TRUNC((H$162+H$163)*$G164,2)</f>
        <v>91.65</v>
      </c>
      <c r="I164" s="201"/>
      <c r="J164" s="288"/>
      <c r="K164" s="288"/>
      <c r="L164" s="288"/>
      <c r="M164" s="288"/>
      <c r="N164" s="288"/>
    </row>
    <row r="165" spans="2:14" ht="12.75" customHeight="1" x14ac:dyDescent="0.2">
      <c r="B165" s="247" t="s">
        <v>9</v>
      </c>
      <c r="C165" s="166" t="s">
        <v>4</v>
      </c>
      <c r="D165" s="289" t="s">
        <v>196</v>
      </c>
      <c r="E165" s="290"/>
      <c r="F165" s="291"/>
      <c r="G165" s="13">
        <f>G118</f>
        <v>0.1</v>
      </c>
      <c r="H165" s="12">
        <f>TRUNC((H$162+H$163+H$164)*$G165,2)</f>
        <v>192.47</v>
      </c>
      <c r="I165" s="201"/>
      <c r="J165" s="288"/>
      <c r="K165" s="288"/>
      <c r="L165" s="288"/>
      <c r="M165" s="288"/>
      <c r="N165" s="288"/>
    </row>
    <row r="166" spans="2:14" ht="12.75" customHeight="1" x14ac:dyDescent="0.2">
      <c r="B166" s="247" t="s">
        <v>10</v>
      </c>
      <c r="C166" s="166" t="s">
        <v>128</v>
      </c>
      <c r="D166" s="289" t="s">
        <v>205</v>
      </c>
      <c r="E166" s="290"/>
      <c r="F166" s="291"/>
      <c r="G166" s="13">
        <f>G120+G121+G122</f>
        <v>0.14250000000000002</v>
      </c>
      <c r="H166" s="12">
        <f>TRUNC((H$162+H$163+H$164+H$165)/(1-$G166)-(H$162+H$163+H$164+H$165),2)</f>
        <v>351.83</v>
      </c>
      <c r="I166" s="201"/>
      <c r="J166" s="288"/>
      <c r="K166" s="288"/>
      <c r="L166" s="288"/>
      <c r="M166" s="288"/>
      <c r="N166" s="288"/>
    </row>
    <row r="167" spans="2:14" ht="22.5" x14ac:dyDescent="0.2">
      <c r="B167" s="247" t="s">
        <v>11</v>
      </c>
      <c r="C167" s="274" t="s">
        <v>129</v>
      </c>
      <c r="D167" s="292" t="s">
        <v>206</v>
      </c>
      <c r="E167" s="293"/>
      <c r="F167" s="293"/>
      <c r="G167" s="294"/>
      <c r="H167" s="275">
        <f>SUM(H162:H166)</f>
        <v>2469</v>
      </c>
      <c r="I167" s="202"/>
    </row>
    <row r="168" spans="2:14" x14ac:dyDescent="0.2">
      <c r="B168" s="273" t="s">
        <v>184</v>
      </c>
      <c r="C168" s="276" t="s">
        <v>154</v>
      </c>
      <c r="D168" s="295" t="s">
        <v>204</v>
      </c>
      <c r="E168" s="296"/>
      <c r="F168" s="296"/>
      <c r="G168" s="297"/>
      <c r="H168" s="277">
        <f>H161-H167</f>
        <v>7049.3531999999977</v>
      </c>
      <c r="I168" s="216"/>
    </row>
    <row r="169" spans="2:14" ht="45" customHeight="1" x14ac:dyDescent="0.2">
      <c r="B169" s="298" t="s">
        <v>153</v>
      </c>
      <c r="C169" s="298"/>
      <c r="D169" s="298"/>
      <c r="E169" s="298"/>
      <c r="F169" s="298"/>
      <c r="G169" s="298"/>
      <c r="H169" s="298"/>
      <c r="I169" s="203"/>
    </row>
  </sheetData>
  <mergeCells count="141">
    <mergeCell ref="B169:H169"/>
    <mergeCell ref="D164:F164"/>
    <mergeCell ref="J164:N166"/>
    <mergeCell ref="D165:F165"/>
    <mergeCell ref="D166:F166"/>
    <mergeCell ref="D167:G167"/>
    <mergeCell ref="D168:G168"/>
    <mergeCell ref="B145:C145"/>
    <mergeCell ref="B158:F158"/>
    <mergeCell ref="B160:H160"/>
    <mergeCell ref="D161:G161"/>
    <mergeCell ref="D162:G162"/>
    <mergeCell ref="D163:G163"/>
    <mergeCell ref="B139:C139"/>
    <mergeCell ref="B140:C140"/>
    <mergeCell ref="B141:C141"/>
    <mergeCell ref="B142:C142"/>
    <mergeCell ref="B143:C143"/>
    <mergeCell ref="B144:C144"/>
    <mergeCell ref="D131:G131"/>
    <mergeCell ref="D132:G132"/>
    <mergeCell ref="D133:G133"/>
    <mergeCell ref="D134:G134"/>
    <mergeCell ref="D135:G135"/>
    <mergeCell ref="D136:G136"/>
    <mergeCell ref="D123:G123"/>
    <mergeCell ref="B125:H125"/>
    <mergeCell ref="B127:H127"/>
    <mergeCell ref="C128:G128"/>
    <mergeCell ref="D129:G129"/>
    <mergeCell ref="D130:G130"/>
    <mergeCell ref="D117:F117"/>
    <mergeCell ref="D118:F118"/>
    <mergeCell ref="D119:F119"/>
    <mergeCell ref="D120:F120"/>
    <mergeCell ref="D121:F121"/>
    <mergeCell ref="D122:F122"/>
    <mergeCell ref="D102:G102"/>
    <mergeCell ref="C103:G103"/>
    <mergeCell ref="B106:H106"/>
    <mergeCell ref="C107:G107"/>
    <mergeCell ref="B115:H115"/>
    <mergeCell ref="C116:F116"/>
    <mergeCell ref="C95:F95"/>
    <mergeCell ref="D96:F96"/>
    <mergeCell ref="C97:G97"/>
    <mergeCell ref="B99:H99"/>
    <mergeCell ref="C100:G100"/>
    <mergeCell ref="D101:G101"/>
    <mergeCell ref="C88:F88"/>
    <mergeCell ref="D89:F89"/>
    <mergeCell ref="D90:F90"/>
    <mergeCell ref="D91:G91"/>
    <mergeCell ref="C92:G92"/>
    <mergeCell ref="B94:H94"/>
    <mergeCell ref="D80:F80"/>
    <mergeCell ref="D81:E81"/>
    <mergeCell ref="D82:E82"/>
    <mergeCell ref="C83:G83"/>
    <mergeCell ref="B86:H86"/>
    <mergeCell ref="B87:H87"/>
    <mergeCell ref="B73:H73"/>
    <mergeCell ref="B75:H75"/>
    <mergeCell ref="C76:F76"/>
    <mergeCell ref="D77:F77"/>
    <mergeCell ref="D78:F78"/>
    <mergeCell ref="D79:E79"/>
    <mergeCell ref="B67:H67"/>
    <mergeCell ref="C68:G68"/>
    <mergeCell ref="D69:G69"/>
    <mergeCell ref="D70:G70"/>
    <mergeCell ref="D71:G71"/>
    <mergeCell ref="C72:G72"/>
    <mergeCell ref="J60:N60"/>
    <mergeCell ref="D61:G61"/>
    <mergeCell ref="D62:G62"/>
    <mergeCell ref="D64:G64"/>
    <mergeCell ref="C65:G65"/>
    <mergeCell ref="B66:H66"/>
    <mergeCell ref="D55:F55"/>
    <mergeCell ref="C56:F56"/>
    <mergeCell ref="B57:H57"/>
    <mergeCell ref="B58:H58"/>
    <mergeCell ref="C59:G59"/>
    <mergeCell ref="D60:G60"/>
    <mergeCell ref="H49:H50"/>
    <mergeCell ref="J49:J50"/>
    <mergeCell ref="D51:F51"/>
    <mergeCell ref="D52:F52"/>
    <mergeCell ref="D53:F53"/>
    <mergeCell ref="D54:F54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H45"/>
    <mergeCell ref="C46:F46"/>
    <mergeCell ref="C32:F32"/>
    <mergeCell ref="C33:F34"/>
    <mergeCell ref="B37:H37"/>
    <mergeCell ref="B38:H38"/>
    <mergeCell ref="B39:H39"/>
    <mergeCell ref="C40:F40"/>
    <mergeCell ref="D26:F26"/>
    <mergeCell ref="D27:F27"/>
    <mergeCell ref="D28:F28"/>
    <mergeCell ref="D29:F29"/>
    <mergeCell ref="D30:F30"/>
    <mergeCell ref="D31:F31"/>
    <mergeCell ref="B19:B20"/>
    <mergeCell ref="C19:H19"/>
    <mergeCell ref="C20:H20"/>
    <mergeCell ref="B22:H22"/>
    <mergeCell ref="B24:H24"/>
    <mergeCell ref="C25:F25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</mergeCells>
  <dataValidations count="11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20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custom" allowBlank="1" showInputMessage="1" showErrorMessage="1" sqref="G119">
      <formula1>1-(G120+G121+G122)</formula1>
    </dataValidation>
    <dataValidation type="list" allowBlank="1" showInputMessage="1" showErrorMessage="1" sqref="G82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B1:T166"/>
  <sheetViews>
    <sheetView showGridLines="0" topLeftCell="B121" workbookViewId="0">
      <selection activeCell="H164" sqref="H164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1" t="s">
        <v>68</v>
      </c>
      <c r="C2" s="371"/>
      <c r="D2" s="371"/>
      <c r="E2" s="371"/>
      <c r="F2" s="371"/>
      <c r="G2" s="371"/>
      <c r="H2" s="371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2" t="s">
        <v>321</v>
      </c>
      <c r="C3" s="372"/>
      <c r="D3" s="372"/>
      <c r="E3" s="372"/>
      <c r="F3" s="372"/>
      <c r="G3" s="372"/>
      <c r="H3" s="372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3" t="s">
        <v>155</v>
      </c>
      <c r="C6" s="373"/>
      <c r="D6" s="373"/>
      <c r="E6" s="373"/>
      <c r="F6" s="373"/>
      <c r="G6" s="374" t="s">
        <v>304</v>
      </c>
      <c r="H6" s="374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4" t="s">
        <v>69</v>
      </c>
      <c r="C8" s="304"/>
      <c r="D8" s="304"/>
      <c r="E8" s="304"/>
      <c r="F8" s="304"/>
      <c r="G8" s="304"/>
      <c r="H8" s="304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5">
        <v>1</v>
      </c>
      <c r="C9" s="356" t="s">
        <v>70</v>
      </c>
      <c r="D9" s="356"/>
      <c r="E9" s="356"/>
      <c r="F9" s="356"/>
      <c r="G9" s="356"/>
      <c r="H9" s="356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5"/>
      <c r="C10" s="357"/>
      <c r="D10" s="357"/>
      <c r="E10" s="357"/>
      <c r="F10" s="357"/>
      <c r="G10" s="357"/>
      <c r="H10" s="357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5">
        <v>2</v>
      </c>
      <c r="C11" s="356" t="s">
        <v>72</v>
      </c>
      <c r="D11" s="356"/>
      <c r="E11" s="356"/>
      <c r="F11" s="356"/>
      <c r="G11" s="356"/>
      <c r="H11" s="356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5"/>
      <c r="C12" s="357"/>
      <c r="D12" s="357"/>
      <c r="E12" s="357"/>
      <c r="F12" s="357"/>
      <c r="G12" s="357"/>
      <c r="H12" s="357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5">
        <v>3</v>
      </c>
      <c r="C13" s="356" t="s">
        <v>73</v>
      </c>
      <c r="D13" s="356"/>
      <c r="E13" s="356"/>
      <c r="F13" s="356"/>
      <c r="G13" s="356"/>
      <c r="H13" s="356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5"/>
      <c r="C14" s="357"/>
      <c r="D14" s="357"/>
      <c r="E14" s="357"/>
      <c r="F14" s="357"/>
      <c r="G14" s="357"/>
      <c r="H14" s="357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5">
        <v>4</v>
      </c>
      <c r="C15" s="356" t="s">
        <v>74</v>
      </c>
      <c r="D15" s="356"/>
      <c r="E15" s="356"/>
      <c r="F15" s="356"/>
      <c r="G15" s="356"/>
      <c r="H15" s="356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5"/>
      <c r="C16" s="357"/>
      <c r="D16" s="357"/>
      <c r="E16" s="357"/>
      <c r="F16" s="357"/>
      <c r="G16" s="357"/>
      <c r="H16" s="357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5">
        <v>5</v>
      </c>
      <c r="C17" s="356" t="s">
        <v>75</v>
      </c>
      <c r="D17" s="356"/>
      <c r="E17" s="356"/>
      <c r="F17" s="356"/>
      <c r="G17" s="356"/>
      <c r="H17" s="356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5"/>
      <c r="C18" s="357"/>
      <c r="D18" s="357"/>
      <c r="E18" s="357"/>
      <c r="F18" s="357"/>
      <c r="G18" s="357"/>
      <c r="H18" s="357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5">
        <v>6</v>
      </c>
      <c r="C19" s="356" t="s">
        <v>76</v>
      </c>
      <c r="D19" s="356"/>
      <c r="E19" s="356"/>
      <c r="F19" s="356"/>
      <c r="G19" s="356"/>
      <c r="H19" s="356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5"/>
      <c r="C20" s="357"/>
      <c r="D20" s="357"/>
      <c r="E20" s="357"/>
      <c r="F20" s="357"/>
      <c r="G20" s="357"/>
      <c r="H20" s="357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3" t="s">
        <v>95</v>
      </c>
      <c r="C22" s="323"/>
      <c r="D22" s="323"/>
      <c r="E22" s="323"/>
      <c r="F22" s="323"/>
      <c r="G22" s="323"/>
      <c r="H22" s="32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4" t="s">
        <v>83</v>
      </c>
      <c r="C24" s="324"/>
      <c r="D24" s="324"/>
      <c r="E24" s="324"/>
      <c r="F24" s="324"/>
      <c r="G24" s="324"/>
      <c r="H24" s="32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0" t="s">
        <v>77</v>
      </c>
      <c r="D25" s="328"/>
      <c r="E25" s="328"/>
      <c r="F25" s="281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17" t="s">
        <v>221</v>
      </c>
      <c r="E26" s="318"/>
      <c r="F26" s="319"/>
      <c r="G26" s="21"/>
      <c r="H26" s="82">
        <v>2650.78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17" t="s">
        <v>156</v>
      </c>
      <c r="E27" s="318"/>
      <c r="F27" s="319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17" t="s">
        <v>199</v>
      </c>
      <c r="E28" s="318"/>
      <c r="F28" s="319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17" t="s">
        <v>208</v>
      </c>
      <c r="E29" s="318"/>
      <c r="F29" s="319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7" t="s">
        <v>9</v>
      </c>
      <c r="C30" s="176" t="s">
        <v>3</v>
      </c>
      <c r="D30" s="317"/>
      <c r="E30" s="318"/>
      <c r="F30" s="319"/>
      <c r="G30" s="261"/>
      <c r="H30" s="106"/>
      <c r="I30" s="193"/>
      <c r="J30" s="119"/>
      <c r="K30" s="119"/>
      <c r="L30" s="135"/>
      <c r="M30" s="120"/>
      <c r="N30" s="121"/>
      <c r="O30" s="121"/>
      <c r="P30" s="121"/>
      <c r="Q30" s="121"/>
      <c r="R30" s="121"/>
    </row>
    <row r="31" spans="2:18" x14ac:dyDescent="0.2">
      <c r="B31" s="247" t="s">
        <v>157</v>
      </c>
      <c r="C31" s="280" t="s">
        <v>78</v>
      </c>
      <c r="D31" s="328"/>
      <c r="E31" s="328"/>
      <c r="F31" s="281"/>
      <c r="G31" s="36"/>
      <c r="H31" s="23">
        <f>SUM(H26:H30)</f>
        <v>2650.78</v>
      </c>
      <c r="I31" s="24"/>
      <c r="J31" s="119"/>
      <c r="K31" s="119"/>
      <c r="L31" s="119"/>
      <c r="M31" s="120"/>
      <c r="N31" s="121"/>
      <c r="O31" s="121"/>
      <c r="P31" s="121"/>
      <c r="Q31" s="121"/>
      <c r="R31" s="121"/>
    </row>
    <row r="32" spans="2:18" x14ac:dyDescent="0.2">
      <c r="B32" s="239"/>
      <c r="C32" s="239"/>
      <c r="D32" s="239"/>
      <c r="E32" s="239"/>
      <c r="F32" s="239"/>
      <c r="G32" s="239"/>
      <c r="H32" s="136"/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x14ac:dyDescent="0.2">
      <c r="B33" s="239"/>
      <c r="C33" s="239"/>
      <c r="D33" s="239"/>
      <c r="E33" s="239"/>
      <c r="F33" s="239"/>
      <c r="G33" s="239"/>
      <c r="H33" s="136"/>
      <c r="I33" s="24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ht="12.75" customHeight="1" x14ac:dyDescent="0.2">
      <c r="B34" s="324" t="s">
        <v>84</v>
      </c>
      <c r="C34" s="324"/>
      <c r="D34" s="324"/>
      <c r="E34" s="324"/>
      <c r="F34" s="324"/>
      <c r="G34" s="324"/>
      <c r="H34" s="324"/>
      <c r="I34" s="208"/>
      <c r="J34" s="137"/>
      <c r="K34" s="119"/>
      <c r="L34" s="135"/>
      <c r="M34" s="134"/>
      <c r="N34" s="121"/>
      <c r="O34" s="121"/>
      <c r="P34" s="121"/>
      <c r="Q34" s="121"/>
      <c r="R34" s="121"/>
    </row>
    <row r="35" spans="2:18" x14ac:dyDescent="0.2">
      <c r="B35" s="367"/>
      <c r="C35" s="368"/>
      <c r="D35" s="368"/>
      <c r="E35" s="368"/>
      <c r="F35" s="368"/>
      <c r="G35" s="368"/>
      <c r="H35" s="369"/>
      <c r="I35" s="208"/>
      <c r="J35" s="137"/>
      <c r="K35" s="119"/>
      <c r="L35" s="135"/>
      <c r="M35" s="134"/>
      <c r="N35" s="121"/>
      <c r="O35" s="121"/>
      <c r="P35" s="121"/>
      <c r="Q35" s="121"/>
      <c r="R35" s="121"/>
    </row>
    <row r="36" spans="2:18" x14ac:dyDescent="0.2">
      <c r="B36" s="370" t="s">
        <v>54</v>
      </c>
      <c r="C36" s="370"/>
      <c r="D36" s="370"/>
      <c r="E36" s="370"/>
      <c r="F36" s="370"/>
      <c r="G36" s="370"/>
      <c r="H36" s="370"/>
      <c r="I36" s="208"/>
      <c r="J36" s="137"/>
      <c r="K36" s="119"/>
      <c r="L36" s="135"/>
      <c r="M36" s="134"/>
      <c r="N36" s="121"/>
      <c r="O36" s="121"/>
      <c r="P36" s="121"/>
      <c r="Q36" s="121"/>
      <c r="R36" s="121"/>
    </row>
    <row r="37" spans="2:18" x14ac:dyDescent="0.2">
      <c r="B37" s="177" t="s">
        <v>56</v>
      </c>
      <c r="C37" s="280" t="s">
        <v>45</v>
      </c>
      <c r="D37" s="328"/>
      <c r="E37" s="328"/>
      <c r="F37" s="281"/>
      <c r="G37" s="177" t="s">
        <v>2</v>
      </c>
      <c r="H37" s="177" t="s">
        <v>67</v>
      </c>
      <c r="I37" s="208"/>
      <c r="J37" s="140"/>
      <c r="K37" s="119"/>
      <c r="L37" s="119"/>
      <c r="M37" s="120"/>
      <c r="N37" s="121"/>
      <c r="O37" s="121"/>
      <c r="P37" s="121"/>
      <c r="Q37" s="121"/>
      <c r="R37" s="121"/>
    </row>
    <row r="38" spans="2:18" x14ac:dyDescent="0.2">
      <c r="B38" s="247" t="s">
        <v>5</v>
      </c>
      <c r="C38" s="175" t="s">
        <v>133</v>
      </c>
      <c r="D38" s="317" t="s">
        <v>158</v>
      </c>
      <c r="E38" s="318"/>
      <c r="F38" s="319"/>
      <c r="G38" s="26">
        <f>1/12</f>
        <v>8.3333333333333329E-2</v>
      </c>
      <c r="H38" s="27">
        <f>TRUNC((H$31*$G38),2)</f>
        <v>220.89</v>
      </c>
      <c r="I38" s="195"/>
      <c r="J38" s="137"/>
      <c r="K38" s="119"/>
      <c r="L38" s="119"/>
      <c r="M38" s="134"/>
      <c r="N38" s="121"/>
      <c r="O38" s="121"/>
      <c r="P38" s="121"/>
      <c r="Q38" s="121"/>
      <c r="R38" s="121"/>
    </row>
    <row r="39" spans="2:18" x14ac:dyDescent="0.2">
      <c r="B39" s="247" t="s">
        <v>6</v>
      </c>
      <c r="C39" s="175" t="s">
        <v>82</v>
      </c>
      <c r="D39" s="317" t="s">
        <v>160</v>
      </c>
      <c r="E39" s="318"/>
      <c r="F39" s="319"/>
      <c r="G39" s="26">
        <f>(1/12)+(1/3/12)</f>
        <v>0.1111111111111111</v>
      </c>
      <c r="H39" s="27">
        <f>TRUNC((H$31*$G39),2)</f>
        <v>294.52999999999997</v>
      </c>
      <c r="I39" s="195"/>
      <c r="J39" s="137"/>
      <c r="K39" s="119"/>
      <c r="L39" s="119"/>
      <c r="M39" s="134"/>
      <c r="N39" s="121"/>
      <c r="O39" s="121"/>
      <c r="P39" s="121"/>
      <c r="Q39" s="121"/>
      <c r="R39" s="121"/>
    </row>
    <row r="40" spans="2:18" x14ac:dyDescent="0.2">
      <c r="B40" s="247" t="s">
        <v>159</v>
      </c>
      <c r="C40" s="280" t="s">
        <v>78</v>
      </c>
      <c r="D40" s="328"/>
      <c r="E40" s="328"/>
      <c r="F40" s="281"/>
      <c r="G40" s="28">
        <f>TRUNC(SUM(G38:G39),4)</f>
        <v>0.19439999999999999</v>
      </c>
      <c r="H40" s="23">
        <f>SUM(H38:H39)</f>
        <v>515.41999999999996</v>
      </c>
      <c r="I40" s="24"/>
      <c r="J40" s="137"/>
      <c r="K40" s="119"/>
      <c r="L40" s="119"/>
      <c r="M40" s="134"/>
      <c r="N40" s="121"/>
      <c r="O40" s="121"/>
      <c r="P40" s="121"/>
      <c r="Q40" s="121"/>
      <c r="R40" s="121"/>
    </row>
    <row r="41" spans="2:18" x14ac:dyDescent="0.2">
      <c r="B41" s="344"/>
      <c r="C41" s="343"/>
      <c r="D41" s="343"/>
      <c r="E41" s="343"/>
      <c r="F41" s="343"/>
      <c r="G41" s="343"/>
      <c r="H41" s="345"/>
      <c r="I41" s="239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ht="30" customHeight="1" x14ac:dyDescent="0.2">
      <c r="B42" s="350" t="s">
        <v>85</v>
      </c>
      <c r="C42" s="351"/>
      <c r="D42" s="351"/>
      <c r="E42" s="351"/>
      <c r="F42" s="351"/>
      <c r="G42" s="351"/>
      <c r="H42" s="352"/>
      <c r="I42" s="196"/>
      <c r="J42" s="138"/>
      <c r="K42" s="139"/>
      <c r="L42" s="119"/>
      <c r="M42" s="120"/>
      <c r="N42" s="121"/>
      <c r="O42" s="121"/>
      <c r="P42" s="121"/>
      <c r="Q42" s="121"/>
      <c r="R42" s="121"/>
    </row>
    <row r="43" spans="2:18" x14ac:dyDescent="0.2">
      <c r="B43" s="177" t="s">
        <v>57</v>
      </c>
      <c r="C43" s="280" t="s">
        <v>86</v>
      </c>
      <c r="D43" s="328"/>
      <c r="E43" s="328"/>
      <c r="F43" s="281"/>
      <c r="G43" s="177" t="s">
        <v>2</v>
      </c>
      <c r="H43" s="177" t="s">
        <v>67</v>
      </c>
      <c r="I43" s="208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247" t="s">
        <v>5</v>
      </c>
      <c r="C44" s="175" t="s">
        <v>48</v>
      </c>
      <c r="D44" s="317" t="s">
        <v>161</v>
      </c>
      <c r="E44" s="318"/>
      <c r="F44" s="319"/>
      <c r="G44" s="26">
        <v>0.2</v>
      </c>
      <c r="H44" s="27">
        <f>TRUNC((H$31+H$40)*$G44,2)</f>
        <v>633.24</v>
      </c>
      <c r="I44" s="195"/>
      <c r="J44" s="137"/>
      <c r="K44" s="119"/>
      <c r="L44" s="119"/>
      <c r="M44" s="120"/>
      <c r="N44" s="121"/>
      <c r="O44" s="121"/>
      <c r="P44" s="121"/>
      <c r="Q44" s="121"/>
      <c r="R44" s="121"/>
    </row>
    <row r="45" spans="2:18" x14ac:dyDescent="0.2">
      <c r="B45" s="247" t="s">
        <v>6</v>
      </c>
      <c r="C45" s="160" t="s">
        <v>49</v>
      </c>
      <c r="D45" s="317" t="s">
        <v>162</v>
      </c>
      <c r="E45" s="318"/>
      <c r="F45" s="319"/>
      <c r="G45" s="26">
        <v>2.5000000000000001E-2</v>
      </c>
      <c r="H45" s="27">
        <f>TRUNC((H$31+H$40)*$G45,2)</f>
        <v>79.150000000000006</v>
      </c>
      <c r="I45" s="195"/>
      <c r="J45" s="137"/>
      <c r="K45" s="119"/>
      <c r="L45" s="119"/>
      <c r="M45" s="120"/>
      <c r="N45" s="121"/>
      <c r="O45" s="121"/>
      <c r="P45" s="121"/>
      <c r="Q45" s="121"/>
      <c r="R45" s="121"/>
    </row>
    <row r="46" spans="2:18" x14ac:dyDescent="0.2">
      <c r="B46" s="358" t="s">
        <v>7</v>
      </c>
      <c r="C46" s="360" t="s">
        <v>124</v>
      </c>
      <c r="D46" s="362" t="s">
        <v>168</v>
      </c>
      <c r="E46" s="11" t="s">
        <v>125</v>
      </c>
      <c r="F46" s="11" t="s">
        <v>123</v>
      </c>
      <c r="G46" s="363">
        <f>E47*F47</f>
        <v>0.03</v>
      </c>
      <c r="H46" s="365">
        <f>TRUNC((H$31+H$40)*$G46,2)</f>
        <v>94.98</v>
      </c>
      <c r="I46" s="198"/>
      <c r="J46" s="353"/>
      <c r="K46" s="119"/>
      <c r="L46" s="119"/>
      <c r="M46" s="120"/>
      <c r="N46" s="121"/>
      <c r="O46" s="121"/>
      <c r="P46" s="121"/>
      <c r="Q46" s="121"/>
      <c r="R46" s="121"/>
    </row>
    <row r="47" spans="2:18" x14ac:dyDescent="0.2">
      <c r="B47" s="359"/>
      <c r="C47" s="361"/>
      <c r="D47" s="362"/>
      <c r="E47" s="84">
        <v>0.03</v>
      </c>
      <c r="F47" s="85">
        <v>1</v>
      </c>
      <c r="G47" s="364"/>
      <c r="H47" s="366"/>
      <c r="I47" s="198"/>
      <c r="J47" s="353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8</v>
      </c>
      <c r="C48" s="175" t="s">
        <v>47</v>
      </c>
      <c r="D48" s="317" t="s">
        <v>163</v>
      </c>
      <c r="E48" s="318"/>
      <c r="F48" s="319"/>
      <c r="G48" s="26">
        <v>1.4999999999999999E-2</v>
      </c>
      <c r="H48" s="27">
        <f>TRUNC((H$31+H$40)*$G48,2)</f>
        <v>47.49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247" t="s">
        <v>9</v>
      </c>
      <c r="C49" s="175" t="s">
        <v>50</v>
      </c>
      <c r="D49" s="317" t="s">
        <v>164</v>
      </c>
      <c r="E49" s="318"/>
      <c r="F49" s="319"/>
      <c r="G49" s="26">
        <v>0.01</v>
      </c>
      <c r="H49" s="27">
        <f>TRUNC((H$31+H$40)*$G49,2)</f>
        <v>31.66</v>
      </c>
      <c r="I49" s="195"/>
      <c r="J49" s="13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247" t="s">
        <v>10</v>
      </c>
      <c r="C50" s="175" t="s">
        <v>51</v>
      </c>
      <c r="D50" s="317" t="s">
        <v>165</v>
      </c>
      <c r="E50" s="318"/>
      <c r="F50" s="319"/>
      <c r="G50" s="26">
        <v>6.0000000000000001E-3</v>
      </c>
      <c r="H50" s="27">
        <f>TRUNC((H$31+H$40)*$G50,2)</f>
        <v>18.989999999999998</v>
      </c>
      <c r="I50" s="195"/>
      <c r="J50" s="13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11</v>
      </c>
      <c r="C51" s="175" t="s">
        <v>52</v>
      </c>
      <c r="D51" s="317" t="s">
        <v>166</v>
      </c>
      <c r="E51" s="318"/>
      <c r="F51" s="319"/>
      <c r="G51" s="26">
        <v>2E-3</v>
      </c>
      <c r="H51" s="27">
        <f>TRUNC((H$31+H$40)*$G51,2)</f>
        <v>6.33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12</v>
      </c>
      <c r="C52" s="175" t="s">
        <v>53</v>
      </c>
      <c r="D52" s="317" t="s">
        <v>167</v>
      </c>
      <c r="E52" s="318"/>
      <c r="F52" s="319"/>
      <c r="G52" s="26">
        <v>0.08</v>
      </c>
      <c r="H52" s="27">
        <f>TRUNC((H$31+H$40)*$G52,2)</f>
        <v>253.29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169</v>
      </c>
      <c r="C53" s="280" t="s">
        <v>78</v>
      </c>
      <c r="D53" s="328"/>
      <c r="E53" s="328"/>
      <c r="F53" s="281"/>
      <c r="G53" s="29">
        <f>SUM(G44:G52)</f>
        <v>0.36800000000000005</v>
      </c>
      <c r="H53" s="30">
        <f>SUM(H44:H52)</f>
        <v>1165.1300000000001</v>
      </c>
      <c r="I53" s="24"/>
      <c r="J53" s="140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347"/>
      <c r="C54" s="348"/>
      <c r="D54" s="348"/>
      <c r="E54" s="348"/>
      <c r="F54" s="348"/>
      <c r="G54" s="348"/>
      <c r="H54" s="349"/>
      <c r="I54" s="234"/>
      <c r="J54" s="140"/>
      <c r="K54" s="119"/>
      <c r="L54" s="119"/>
      <c r="M54" s="120"/>
      <c r="N54" s="141"/>
      <c r="O54" s="121"/>
      <c r="P54" s="121"/>
      <c r="Q54" s="121"/>
      <c r="R54" s="121"/>
    </row>
    <row r="55" spans="2:18" ht="12.75" customHeight="1" x14ac:dyDescent="0.2">
      <c r="B55" s="350" t="s">
        <v>55</v>
      </c>
      <c r="C55" s="351"/>
      <c r="D55" s="351"/>
      <c r="E55" s="351"/>
      <c r="F55" s="351"/>
      <c r="G55" s="351"/>
      <c r="H55" s="352"/>
      <c r="I55" s="234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7" t="s">
        <v>58</v>
      </c>
      <c r="C56" s="280" t="s">
        <v>59</v>
      </c>
      <c r="D56" s="328"/>
      <c r="E56" s="328"/>
      <c r="F56" s="328"/>
      <c r="G56" s="281"/>
      <c r="H56" s="177" t="s">
        <v>67</v>
      </c>
      <c r="I56" s="208"/>
      <c r="J56" s="138"/>
      <c r="K56" s="119"/>
      <c r="L56" s="119"/>
      <c r="M56" s="120"/>
      <c r="N56" s="121"/>
      <c r="O56" s="121"/>
      <c r="P56" s="121"/>
      <c r="Q56" s="121"/>
      <c r="R56" s="121"/>
    </row>
    <row r="57" spans="2:18" ht="12.75" customHeight="1" x14ac:dyDescent="0.2">
      <c r="B57" s="247" t="s">
        <v>5</v>
      </c>
      <c r="C57" s="175" t="s">
        <v>65</v>
      </c>
      <c r="D57" s="317" t="s">
        <v>172</v>
      </c>
      <c r="E57" s="318"/>
      <c r="F57" s="318"/>
      <c r="G57" s="319"/>
      <c r="H57" s="86">
        <f>(8.55*2*22)-(H26*6%)</f>
        <v>217.15320000000003</v>
      </c>
      <c r="I57" s="212"/>
      <c r="J57" s="354"/>
      <c r="K57" s="354"/>
      <c r="L57" s="354"/>
      <c r="M57" s="354"/>
      <c r="N57" s="354"/>
      <c r="O57" s="121"/>
      <c r="P57" s="121"/>
      <c r="Q57" s="121"/>
      <c r="R57" s="121"/>
    </row>
    <row r="58" spans="2:18" ht="12.75" customHeight="1" x14ac:dyDescent="0.2">
      <c r="B58" s="247" t="s">
        <v>6</v>
      </c>
      <c r="C58" s="175" t="s">
        <v>66</v>
      </c>
      <c r="D58" s="317" t="s">
        <v>173</v>
      </c>
      <c r="E58" s="318"/>
      <c r="F58" s="318"/>
      <c r="G58" s="319"/>
      <c r="H58" s="86">
        <f>15*22</f>
        <v>330</v>
      </c>
      <c r="I58" s="212"/>
      <c r="J58" s="137"/>
      <c r="K58" s="137"/>
      <c r="L58" s="137"/>
      <c r="M58" s="137"/>
      <c r="N58" s="137"/>
      <c r="O58" s="121"/>
      <c r="P58" s="121"/>
      <c r="Q58" s="121"/>
      <c r="R58" s="121"/>
    </row>
    <row r="59" spans="2:18" x14ac:dyDescent="0.2">
      <c r="B59" s="247" t="s">
        <v>7</v>
      </c>
      <c r="C59" s="175" t="s">
        <v>228</v>
      </c>
      <c r="D59" s="317" t="s">
        <v>229</v>
      </c>
      <c r="E59" s="318"/>
      <c r="F59" s="318"/>
      <c r="G59" s="319"/>
      <c r="H59" s="86">
        <v>66</v>
      </c>
      <c r="I59" s="212"/>
      <c r="J59" s="137"/>
      <c r="K59" s="119"/>
      <c r="L59" s="119"/>
      <c r="M59" s="120"/>
      <c r="N59" s="121"/>
      <c r="O59" s="121"/>
      <c r="P59" s="121"/>
      <c r="Q59" s="121"/>
      <c r="R59" s="121"/>
    </row>
    <row r="60" spans="2:18" x14ac:dyDescent="0.2">
      <c r="B60" s="247" t="s">
        <v>8</v>
      </c>
      <c r="C60" s="175" t="s">
        <v>223</v>
      </c>
      <c r="D60" s="243"/>
      <c r="E60" s="244"/>
      <c r="F60" s="244"/>
      <c r="G60" s="245"/>
      <c r="H60" s="86">
        <v>5</v>
      </c>
      <c r="I60" s="212"/>
      <c r="J60" s="137"/>
      <c r="K60" s="119"/>
      <c r="L60" s="119"/>
      <c r="M60" s="120"/>
      <c r="N60" s="121"/>
      <c r="O60" s="121"/>
      <c r="P60" s="121"/>
      <c r="Q60" s="121"/>
      <c r="R60" s="121"/>
    </row>
    <row r="61" spans="2:18" s="142" customFormat="1" x14ac:dyDescent="0.2">
      <c r="B61" s="247" t="s">
        <v>9</v>
      </c>
      <c r="C61" s="175" t="s">
        <v>3</v>
      </c>
      <c r="D61" s="317"/>
      <c r="E61" s="318"/>
      <c r="F61" s="318"/>
      <c r="G61" s="319"/>
      <c r="H61" s="86">
        <v>0</v>
      </c>
      <c r="I61" s="212"/>
      <c r="J61" s="137"/>
      <c r="K61" s="119"/>
      <c r="L61" s="119"/>
      <c r="M61" s="120"/>
      <c r="N61" s="121"/>
      <c r="O61" s="121"/>
      <c r="P61" s="121"/>
      <c r="Q61" s="121"/>
      <c r="R61" s="121"/>
    </row>
    <row r="62" spans="2:18" x14ac:dyDescent="0.2">
      <c r="B62" s="247" t="s">
        <v>170</v>
      </c>
      <c r="C62" s="280" t="s">
        <v>78</v>
      </c>
      <c r="D62" s="328"/>
      <c r="E62" s="328"/>
      <c r="F62" s="328"/>
      <c r="G62" s="281"/>
      <c r="H62" s="30">
        <f>SUM(H57:H61)</f>
        <v>618.15319999999997</v>
      </c>
      <c r="I62" s="24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344"/>
      <c r="C63" s="343"/>
      <c r="D63" s="343"/>
      <c r="E63" s="343"/>
      <c r="F63" s="343"/>
      <c r="G63" s="343"/>
      <c r="H63" s="345"/>
      <c r="I63" s="239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346" t="s">
        <v>88</v>
      </c>
      <c r="C64" s="346"/>
      <c r="D64" s="346"/>
      <c r="E64" s="346"/>
      <c r="F64" s="346"/>
      <c r="G64" s="346"/>
      <c r="H64" s="346"/>
      <c r="I64" s="239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177">
        <v>2</v>
      </c>
      <c r="C65" s="280" t="s">
        <v>87</v>
      </c>
      <c r="D65" s="328"/>
      <c r="E65" s="328"/>
      <c r="F65" s="328"/>
      <c r="G65" s="281"/>
      <c r="H65" s="177" t="s">
        <v>67</v>
      </c>
      <c r="I65" s="208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247" t="s">
        <v>56</v>
      </c>
      <c r="C66" s="163" t="s">
        <v>45</v>
      </c>
      <c r="D66" s="317" t="s">
        <v>159</v>
      </c>
      <c r="E66" s="318"/>
      <c r="F66" s="318"/>
      <c r="G66" s="319"/>
      <c r="H66" s="27">
        <f>H40</f>
        <v>515.41999999999996</v>
      </c>
      <c r="I66" s="195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247" t="s">
        <v>57</v>
      </c>
      <c r="C67" s="163" t="s">
        <v>46</v>
      </c>
      <c r="D67" s="317" t="s">
        <v>169</v>
      </c>
      <c r="E67" s="318"/>
      <c r="F67" s="318"/>
      <c r="G67" s="319"/>
      <c r="H67" s="27">
        <f>H53</f>
        <v>1165.1300000000001</v>
      </c>
      <c r="I67" s="19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247" t="s">
        <v>58</v>
      </c>
      <c r="C68" s="163" t="s">
        <v>59</v>
      </c>
      <c r="D68" s="317" t="s">
        <v>170</v>
      </c>
      <c r="E68" s="318"/>
      <c r="F68" s="318"/>
      <c r="G68" s="319"/>
      <c r="H68" s="27">
        <f>H62</f>
        <v>618.15319999999997</v>
      </c>
      <c r="I68" s="195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47" t="s">
        <v>171</v>
      </c>
      <c r="C69" s="280" t="s">
        <v>78</v>
      </c>
      <c r="D69" s="328"/>
      <c r="E69" s="328"/>
      <c r="F69" s="328"/>
      <c r="G69" s="281"/>
      <c r="H69" s="23">
        <f>SUM(H66:H68)</f>
        <v>2298.7031999999999</v>
      </c>
      <c r="I69" s="24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343"/>
      <c r="C70" s="343"/>
      <c r="D70" s="343"/>
      <c r="E70" s="343"/>
      <c r="F70" s="343"/>
      <c r="G70" s="343"/>
      <c r="H70" s="343"/>
      <c r="I70" s="208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39"/>
      <c r="C71" s="239"/>
      <c r="D71" s="239"/>
      <c r="E71" s="239"/>
      <c r="F71" s="239"/>
      <c r="G71" s="239"/>
      <c r="H71" s="239"/>
      <c r="I71" s="208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324" t="s">
        <v>89</v>
      </c>
      <c r="C72" s="324"/>
      <c r="D72" s="324"/>
      <c r="E72" s="324"/>
      <c r="F72" s="324"/>
      <c r="G72" s="324"/>
      <c r="H72" s="324"/>
      <c r="I72" s="208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177">
        <v>3</v>
      </c>
      <c r="C73" s="280" t="s">
        <v>79</v>
      </c>
      <c r="D73" s="328"/>
      <c r="E73" s="328"/>
      <c r="F73" s="281"/>
      <c r="G73" s="177" t="s">
        <v>2</v>
      </c>
      <c r="H73" s="177" t="s">
        <v>67</v>
      </c>
      <c r="I73" s="208"/>
      <c r="J73" s="143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247" t="s">
        <v>5</v>
      </c>
      <c r="C74" s="164" t="s">
        <v>118</v>
      </c>
      <c r="D74" s="317" t="s">
        <v>188</v>
      </c>
      <c r="E74" s="318"/>
      <c r="F74" s="319"/>
      <c r="G74" s="87">
        <v>0.3</v>
      </c>
      <c r="H74" s="31">
        <f>TRUNC((H$75+H$76)*$G74,2)</f>
        <v>125.9</v>
      </c>
      <c r="I74" s="24"/>
      <c r="J74" s="140"/>
      <c r="K74" s="119"/>
      <c r="L74" s="119"/>
      <c r="M74" s="120"/>
      <c r="N74" s="121"/>
      <c r="O74" s="144"/>
      <c r="P74" s="121"/>
      <c r="Q74" s="121"/>
      <c r="R74" s="121"/>
    </row>
    <row r="75" spans="2:18" x14ac:dyDescent="0.2">
      <c r="B75" s="247" t="s">
        <v>6</v>
      </c>
      <c r="C75" s="175" t="s">
        <v>119</v>
      </c>
      <c r="D75" s="317" t="s">
        <v>210</v>
      </c>
      <c r="E75" s="318"/>
      <c r="F75" s="319"/>
      <c r="G75" s="32"/>
      <c r="H75" s="27">
        <f>TRUNC((H$31+H$40+H$52+H$62-H57)/12,2)</f>
        <v>318.37</v>
      </c>
      <c r="I75" s="195"/>
      <c r="J75" s="137"/>
      <c r="K75" s="119"/>
      <c r="L75" s="119"/>
      <c r="M75" s="120"/>
      <c r="N75" s="121"/>
      <c r="O75" s="145"/>
      <c r="P75" s="121"/>
      <c r="Q75" s="121"/>
      <c r="R75" s="121"/>
    </row>
    <row r="76" spans="2:18" x14ac:dyDescent="0.2">
      <c r="B76" s="247" t="s">
        <v>7</v>
      </c>
      <c r="C76" s="175" t="s">
        <v>120</v>
      </c>
      <c r="D76" s="317" t="s">
        <v>200</v>
      </c>
      <c r="E76" s="319"/>
      <c r="F76" s="89">
        <v>0.4</v>
      </c>
      <c r="G76" s="32"/>
      <c r="H76" s="27">
        <f>TRUNC(H$52*$F76,2)</f>
        <v>101.31</v>
      </c>
      <c r="I76" s="195"/>
      <c r="J76" s="137"/>
      <c r="K76" s="119"/>
      <c r="L76" s="119"/>
      <c r="M76" s="120"/>
      <c r="N76" s="121"/>
      <c r="O76" s="145"/>
      <c r="P76" s="121"/>
      <c r="Q76" s="121"/>
      <c r="R76" s="121"/>
    </row>
    <row r="77" spans="2:18" x14ac:dyDescent="0.2">
      <c r="B77" s="247" t="s">
        <v>8</v>
      </c>
      <c r="C77" s="164" t="s">
        <v>121</v>
      </c>
      <c r="D77" s="317" t="s">
        <v>189</v>
      </c>
      <c r="E77" s="318"/>
      <c r="F77" s="319"/>
      <c r="G77" s="87">
        <v>1</v>
      </c>
      <c r="H77" s="168">
        <f>IF($G77&gt;=1,(TRUNC(H$78*$G77,2)),"ERRO")</f>
        <v>101.31</v>
      </c>
      <c r="I77" s="197"/>
      <c r="J77" s="137"/>
      <c r="K77" s="119"/>
      <c r="L77" s="119"/>
      <c r="M77" s="120"/>
      <c r="N77" s="121"/>
      <c r="O77" s="141"/>
      <c r="P77" s="121"/>
      <c r="Q77" s="121"/>
      <c r="R77" s="121"/>
    </row>
    <row r="78" spans="2:18" x14ac:dyDescent="0.2">
      <c r="B78" s="247" t="s">
        <v>9</v>
      </c>
      <c r="C78" s="175" t="s">
        <v>122</v>
      </c>
      <c r="D78" s="317" t="s">
        <v>200</v>
      </c>
      <c r="E78" s="319"/>
      <c r="F78" s="89">
        <v>0.4</v>
      </c>
      <c r="G78" s="32"/>
      <c r="H78" s="27">
        <f>TRUNC(H$52*$F78,2)</f>
        <v>101.31</v>
      </c>
      <c r="I78" s="195"/>
      <c r="J78" s="137"/>
      <c r="K78" s="119"/>
      <c r="L78" s="119"/>
      <c r="M78" s="120"/>
      <c r="N78" s="121"/>
      <c r="O78" s="141"/>
      <c r="P78" s="121"/>
      <c r="Q78" s="121"/>
      <c r="R78" s="121"/>
    </row>
    <row r="79" spans="2:18" x14ac:dyDescent="0.2">
      <c r="B79" s="247" t="s">
        <v>10</v>
      </c>
      <c r="C79" s="164" t="s">
        <v>207</v>
      </c>
      <c r="D79" s="341" t="s">
        <v>201</v>
      </c>
      <c r="E79" s="342"/>
      <c r="F79" s="88">
        <v>12</v>
      </c>
      <c r="G79" s="88">
        <v>3</v>
      </c>
      <c r="H79" s="27">
        <f>TRUNC(((H$31+H$40+H$53)/30)*$G79/$F79,2)</f>
        <v>36.090000000000003</v>
      </c>
      <c r="I79" s="195"/>
      <c r="J79" s="190"/>
      <c r="K79" s="120"/>
      <c r="L79" s="120"/>
      <c r="M79" s="120"/>
      <c r="N79" s="121"/>
      <c r="O79" s="141"/>
      <c r="P79" s="121"/>
      <c r="Q79" s="121"/>
      <c r="R79" s="121"/>
    </row>
    <row r="80" spans="2:18" x14ac:dyDescent="0.2">
      <c r="B80" s="247" t="s">
        <v>175</v>
      </c>
      <c r="C80" s="280" t="s">
        <v>78</v>
      </c>
      <c r="D80" s="328"/>
      <c r="E80" s="328"/>
      <c r="F80" s="328"/>
      <c r="G80" s="281"/>
      <c r="H80" s="23">
        <f>H$74+H$77+H$79</f>
        <v>263.3</v>
      </c>
      <c r="I80" s="24"/>
      <c r="J80" s="121"/>
      <c r="K80" s="121"/>
      <c r="L80" s="121"/>
      <c r="M80" s="120"/>
      <c r="N80" s="121"/>
      <c r="O80" s="121"/>
      <c r="P80" s="121"/>
      <c r="Q80" s="121"/>
      <c r="R80" s="121"/>
    </row>
    <row r="81" spans="2:18" x14ac:dyDescent="0.2">
      <c r="B81" s="185"/>
      <c r="C81" s="185"/>
      <c r="D81" s="185"/>
      <c r="E81" s="185"/>
      <c r="F81" s="185"/>
      <c r="G81" s="185"/>
      <c r="H81" s="185"/>
      <c r="I81" s="185"/>
      <c r="J81" s="137"/>
      <c r="K81" s="119"/>
      <c r="L81" s="119"/>
      <c r="M81" s="120"/>
      <c r="N81" s="121"/>
      <c r="O81" s="121"/>
      <c r="P81" s="121"/>
      <c r="Q81" s="121"/>
      <c r="R81" s="121"/>
    </row>
    <row r="82" spans="2:18" x14ac:dyDescent="0.2">
      <c r="B82" s="239"/>
      <c r="C82" s="239"/>
      <c r="D82" s="239"/>
      <c r="E82" s="239"/>
      <c r="F82" s="239"/>
      <c r="G82" s="239"/>
      <c r="H82" s="239"/>
      <c r="I82" s="208"/>
      <c r="J82" s="137"/>
      <c r="K82" s="119"/>
      <c r="L82" s="119"/>
      <c r="M82" s="120"/>
      <c r="N82" s="121"/>
      <c r="O82" s="121"/>
      <c r="P82" s="121"/>
      <c r="Q82" s="121"/>
      <c r="R82" s="121"/>
    </row>
    <row r="83" spans="2:18" x14ac:dyDescent="0.2">
      <c r="B83" s="324" t="s">
        <v>90</v>
      </c>
      <c r="C83" s="324"/>
      <c r="D83" s="324"/>
      <c r="E83" s="324"/>
      <c r="F83" s="324"/>
      <c r="G83" s="324"/>
      <c r="H83" s="324"/>
      <c r="I83" s="208"/>
      <c r="J83" s="137"/>
      <c r="K83" s="119"/>
      <c r="L83" s="119"/>
      <c r="M83" s="120"/>
      <c r="N83" s="121"/>
      <c r="O83" s="121"/>
      <c r="P83" s="121"/>
      <c r="Q83" s="121"/>
      <c r="R83" s="121"/>
    </row>
    <row r="84" spans="2:18" x14ac:dyDescent="0.2">
      <c r="B84" s="335" t="s">
        <v>110</v>
      </c>
      <c r="C84" s="336"/>
      <c r="D84" s="336"/>
      <c r="E84" s="336"/>
      <c r="F84" s="336"/>
      <c r="G84" s="336"/>
      <c r="H84" s="337"/>
      <c r="I84" s="208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177" t="s">
        <v>17</v>
      </c>
      <c r="C85" s="280" t="s">
        <v>111</v>
      </c>
      <c r="D85" s="328"/>
      <c r="E85" s="328"/>
      <c r="F85" s="281"/>
      <c r="G85" s="177" t="s">
        <v>126</v>
      </c>
      <c r="H85" s="177" t="s">
        <v>67</v>
      </c>
      <c r="I85" s="208"/>
      <c r="J85" s="119"/>
      <c r="K85" s="119"/>
      <c r="L85" s="119"/>
      <c r="M85" s="120"/>
      <c r="N85" s="146"/>
      <c r="O85" s="121"/>
      <c r="P85" s="121"/>
      <c r="Q85" s="121"/>
      <c r="R85" s="121"/>
    </row>
    <row r="86" spans="2:18" x14ac:dyDescent="0.2">
      <c r="B86" s="247" t="s">
        <v>5</v>
      </c>
      <c r="C86" s="175" t="s">
        <v>132</v>
      </c>
      <c r="D86" s="317" t="s">
        <v>181</v>
      </c>
      <c r="E86" s="318"/>
      <c r="F86" s="319"/>
      <c r="G86" s="88">
        <v>30</v>
      </c>
      <c r="H86" s="27">
        <f>TRUNC((H$88*$G86)/12,2)</f>
        <v>434.37</v>
      </c>
      <c r="I86" s="195"/>
      <c r="J86" s="140"/>
      <c r="K86" s="119"/>
      <c r="L86" s="119"/>
      <c r="M86" s="120"/>
      <c r="N86" s="146"/>
      <c r="O86" s="121"/>
      <c r="P86" s="121"/>
      <c r="Q86" s="121"/>
      <c r="R86" s="121"/>
    </row>
    <row r="87" spans="2:18" ht="22.5" x14ac:dyDescent="0.2">
      <c r="B87" s="247" t="s">
        <v>6</v>
      </c>
      <c r="C87" s="165" t="s">
        <v>187</v>
      </c>
      <c r="D87" s="338" t="s">
        <v>190</v>
      </c>
      <c r="E87" s="339"/>
      <c r="F87" s="340"/>
      <c r="G87" s="114">
        <v>8</v>
      </c>
      <c r="H87" s="27">
        <f>TRUNC((H$88*$G87)/12,2)</f>
        <v>115.83</v>
      </c>
      <c r="I87" s="195"/>
      <c r="J87" s="140"/>
      <c r="K87" s="119"/>
      <c r="L87" s="119"/>
      <c r="M87" s="120"/>
      <c r="N87" s="146"/>
      <c r="O87" s="121"/>
      <c r="P87" s="121"/>
      <c r="Q87" s="121"/>
      <c r="R87" s="121"/>
    </row>
    <row r="88" spans="2:18" x14ac:dyDescent="0.2">
      <c r="B88" s="247" t="s">
        <v>7</v>
      </c>
      <c r="C88" s="175" t="s">
        <v>134</v>
      </c>
      <c r="D88" s="317" t="s">
        <v>174</v>
      </c>
      <c r="E88" s="318"/>
      <c r="F88" s="318"/>
      <c r="G88" s="319"/>
      <c r="H88" s="27">
        <f>TRUNC((H$31+H$69+H$80)/30,2)</f>
        <v>173.75</v>
      </c>
      <c r="I88" s="195"/>
      <c r="J88" s="140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47" t="s">
        <v>176</v>
      </c>
      <c r="C89" s="280" t="s">
        <v>78</v>
      </c>
      <c r="D89" s="328"/>
      <c r="E89" s="328"/>
      <c r="F89" s="328"/>
      <c r="G89" s="281"/>
      <c r="H89" s="23">
        <f>TRUNC(H$86+H$87,2)</f>
        <v>550.20000000000005</v>
      </c>
      <c r="I89" s="24"/>
      <c r="J89" s="140"/>
      <c r="K89" s="119"/>
      <c r="L89" s="119"/>
      <c r="M89" s="120"/>
      <c r="N89" s="121"/>
      <c r="O89" s="121"/>
      <c r="P89" s="121"/>
      <c r="Q89" s="121"/>
      <c r="R89" s="121"/>
    </row>
    <row r="90" spans="2:18" x14ac:dyDescent="0.2">
      <c r="B90" s="147"/>
      <c r="C90" s="148"/>
      <c r="D90" s="148"/>
      <c r="E90" s="148"/>
      <c r="F90" s="148"/>
      <c r="G90" s="148"/>
      <c r="H90" s="149"/>
      <c r="I90" s="33"/>
      <c r="J90" s="137"/>
      <c r="K90" s="119"/>
      <c r="L90" s="119"/>
      <c r="M90" s="120"/>
      <c r="N90" s="121"/>
      <c r="O90" s="121"/>
      <c r="P90" s="121"/>
      <c r="Q90" s="121"/>
      <c r="R90" s="121"/>
    </row>
    <row r="91" spans="2:18" x14ac:dyDescent="0.2">
      <c r="B91" s="332" t="s">
        <v>112</v>
      </c>
      <c r="C91" s="333"/>
      <c r="D91" s="333"/>
      <c r="E91" s="333"/>
      <c r="F91" s="333"/>
      <c r="G91" s="333"/>
      <c r="H91" s="334"/>
      <c r="I91" s="208"/>
      <c r="J91" s="137"/>
      <c r="K91" s="119"/>
      <c r="L91" s="119"/>
      <c r="M91" s="120"/>
      <c r="N91" s="121"/>
      <c r="O91" s="121"/>
      <c r="P91" s="121"/>
      <c r="Q91" s="121"/>
      <c r="R91" s="121"/>
    </row>
    <row r="92" spans="2:18" x14ac:dyDescent="0.2">
      <c r="B92" s="177" t="s">
        <v>18</v>
      </c>
      <c r="C92" s="280" t="s">
        <v>113</v>
      </c>
      <c r="D92" s="328"/>
      <c r="E92" s="328"/>
      <c r="F92" s="281"/>
      <c r="G92" s="177" t="s">
        <v>126</v>
      </c>
      <c r="H92" s="177" t="s">
        <v>67</v>
      </c>
      <c r="I92" s="208"/>
      <c r="J92" s="137"/>
      <c r="K92" s="119"/>
      <c r="L92" s="119"/>
      <c r="M92" s="120"/>
      <c r="N92" s="121"/>
      <c r="O92" s="121"/>
      <c r="P92" s="121"/>
      <c r="Q92" s="121"/>
      <c r="R92" s="121"/>
    </row>
    <row r="93" spans="2:18" ht="22.5" x14ac:dyDescent="0.2">
      <c r="B93" s="247" t="s">
        <v>5</v>
      </c>
      <c r="C93" s="165" t="s">
        <v>114</v>
      </c>
      <c r="D93" s="317" t="s">
        <v>212</v>
      </c>
      <c r="E93" s="318"/>
      <c r="F93" s="319"/>
      <c r="G93" s="88"/>
      <c r="H93" s="27">
        <f>TRUNC(((H$31+H69+H80)/220)*(1+50%)*G93,2)</f>
        <v>0</v>
      </c>
      <c r="I93" s="195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247" t="s">
        <v>177</v>
      </c>
      <c r="C94" s="280" t="s">
        <v>78</v>
      </c>
      <c r="D94" s="328"/>
      <c r="E94" s="328"/>
      <c r="F94" s="328"/>
      <c r="G94" s="281"/>
      <c r="H94" s="23">
        <f>H93</f>
        <v>0</v>
      </c>
      <c r="I94" s="195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249"/>
      <c r="C95" s="250"/>
      <c r="D95" s="250"/>
      <c r="E95" s="250"/>
      <c r="F95" s="250"/>
      <c r="G95" s="250"/>
      <c r="H95" s="251"/>
      <c r="I95" s="217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332" t="s">
        <v>91</v>
      </c>
      <c r="C96" s="333"/>
      <c r="D96" s="333"/>
      <c r="E96" s="333"/>
      <c r="F96" s="333"/>
      <c r="G96" s="333"/>
      <c r="H96" s="334"/>
      <c r="I96" s="208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177">
        <v>4</v>
      </c>
      <c r="C97" s="280" t="s">
        <v>92</v>
      </c>
      <c r="D97" s="328"/>
      <c r="E97" s="328"/>
      <c r="F97" s="328"/>
      <c r="G97" s="281"/>
      <c r="H97" s="177" t="s">
        <v>67</v>
      </c>
      <c r="I97" s="208"/>
      <c r="J97" s="137"/>
      <c r="K97" s="119"/>
      <c r="L97" s="119"/>
      <c r="M97" s="120"/>
      <c r="N97" s="150"/>
      <c r="O97" s="121"/>
      <c r="P97" s="121"/>
      <c r="Q97" s="121"/>
      <c r="R97" s="121"/>
    </row>
    <row r="98" spans="2:18" x14ac:dyDescent="0.2">
      <c r="B98" s="247" t="s">
        <v>17</v>
      </c>
      <c r="C98" s="175" t="s">
        <v>60</v>
      </c>
      <c r="D98" s="317" t="s">
        <v>176</v>
      </c>
      <c r="E98" s="318"/>
      <c r="F98" s="318"/>
      <c r="G98" s="319"/>
      <c r="H98" s="27">
        <f>H89</f>
        <v>550.20000000000005</v>
      </c>
      <c r="I98" s="195"/>
      <c r="J98" s="137"/>
      <c r="K98" s="137"/>
      <c r="L98" s="137"/>
      <c r="M98" s="137"/>
      <c r="N98" s="121"/>
      <c r="O98" s="121"/>
      <c r="P98" s="121"/>
      <c r="Q98" s="121"/>
      <c r="R98" s="121"/>
    </row>
    <row r="99" spans="2:18" x14ac:dyDescent="0.2">
      <c r="B99" s="247" t="s">
        <v>18</v>
      </c>
      <c r="C99" s="175" t="s">
        <v>62</v>
      </c>
      <c r="D99" s="317" t="s">
        <v>177</v>
      </c>
      <c r="E99" s="318"/>
      <c r="F99" s="318"/>
      <c r="G99" s="319"/>
      <c r="H99" s="27">
        <f>H94</f>
        <v>0</v>
      </c>
      <c r="I99" s="195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247" t="s">
        <v>178</v>
      </c>
      <c r="C100" s="280" t="s">
        <v>78</v>
      </c>
      <c r="D100" s="328"/>
      <c r="E100" s="328"/>
      <c r="F100" s="328"/>
      <c r="G100" s="281"/>
      <c r="H100" s="23">
        <f>SUM(H98:H99)</f>
        <v>550.20000000000005</v>
      </c>
      <c r="I100" s="24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239"/>
      <c r="C101" s="239"/>
      <c r="D101" s="239"/>
      <c r="E101" s="239"/>
      <c r="F101" s="239"/>
      <c r="G101" s="239"/>
      <c r="H101" s="239"/>
      <c r="I101" s="208"/>
      <c r="J101" s="137"/>
      <c r="K101" s="119"/>
      <c r="L101" s="119"/>
      <c r="M101" s="120"/>
      <c r="N101" s="121"/>
      <c r="O101" s="121"/>
      <c r="P101" s="121"/>
      <c r="Q101" s="121"/>
      <c r="R101" s="121"/>
    </row>
    <row r="102" spans="2:18" x14ac:dyDescent="0.2">
      <c r="B102" s="239"/>
      <c r="C102" s="239"/>
      <c r="D102" s="239"/>
      <c r="E102" s="239"/>
      <c r="F102" s="239"/>
      <c r="G102" s="239"/>
      <c r="H102" s="239"/>
      <c r="I102" s="208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324" t="s">
        <v>93</v>
      </c>
      <c r="C103" s="324"/>
      <c r="D103" s="324"/>
      <c r="E103" s="324"/>
      <c r="F103" s="324"/>
      <c r="G103" s="324"/>
      <c r="H103" s="324"/>
      <c r="I103" s="208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177">
        <v>5</v>
      </c>
      <c r="C104" s="329" t="s">
        <v>80</v>
      </c>
      <c r="D104" s="330"/>
      <c r="E104" s="330"/>
      <c r="F104" s="330"/>
      <c r="G104" s="331"/>
      <c r="H104" s="177" t="s">
        <v>67</v>
      </c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47" t="s">
        <v>5</v>
      </c>
      <c r="C105" s="126" t="s">
        <v>63</v>
      </c>
      <c r="D105" s="127"/>
      <c r="E105" s="127"/>
      <c r="F105" s="127"/>
      <c r="G105" s="128"/>
      <c r="H105" s="129">
        <f>Insumos!G11</f>
        <v>105.67</v>
      </c>
      <c r="I105" s="195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47" t="s">
        <v>6</v>
      </c>
      <c r="C106" s="126" t="s">
        <v>236</v>
      </c>
      <c r="D106" s="127"/>
      <c r="E106" s="127"/>
      <c r="F106" s="127"/>
      <c r="G106" s="128"/>
      <c r="H106" s="129">
        <f>Insumos!G24</f>
        <v>27.6</v>
      </c>
      <c r="I106" s="195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247" t="s">
        <v>7</v>
      </c>
      <c r="C107" s="126" t="s">
        <v>14</v>
      </c>
      <c r="D107" s="127"/>
      <c r="E107" s="127"/>
      <c r="F107" s="127"/>
      <c r="G107" s="128"/>
      <c r="H107" s="129">
        <f>Insumos!H94</f>
        <v>61.579999999999991</v>
      </c>
      <c r="I107" s="195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47" t="s">
        <v>8</v>
      </c>
      <c r="C108" s="126" t="s">
        <v>225</v>
      </c>
      <c r="D108" s="127"/>
      <c r="E108" s="127"/>
      <c r="F108" s="127"/>
      <c r="G108" s="128"/>
      <c r="H108" s="129">
        <f>Insumos!H39</f>
        <v>3.8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179</v>
      </c>
      <c r="C109" s="161" t="s">
        <v>78</v>
      </c>
      <c r="D109" s="161"/>
      <c r="E109" s="161"/>
      <c r="F109" s="161"/>
      <c r="G109" s="162"/>
      <c r="H109" s="23">
        <f>SUM(H105:H108)</f>
        <v>198.65</v>
      </c>
      <c r="I109" s="24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39"/>
      <c r="C110" s="239"/>
      <c r="D110" s="239"/>
      <c r="E110" s="239"/>
      <c r="F110" s="239"/>
      <c r="G110" s="151"/>
      <c r="H110" s="136"/>
      <c r="I110" s="24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9"/>
      <c r="C111" s="239"/>
      <c r="D111" s="239"/>
      <c r="E111" s="239"/>
      <c r="F111" s="239"/>
      <c r="G111" s="239"/>
      <c r="H111" s="239"/>
      <c r="I111" s="208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324" t="s">
        <v>94</v>
      </c>
      <c r="C112" s="324"/>
      <c r="D112" s="324"/>
      <c r="E112" s="324"/>
      <c r="F112" s="324"/>
      <c r="G112" s="324"/>
      <c r="H112" s="324"/>
      <c r="I112" s="208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177">
        <v>6</v>
      </c>
      <c r="C113" s="280" t="s">
        <v>81</v>
      </c>
      <c r="D113" s="328"/>
      <c r="E113" s="328"/>
      <c r="F113" s="281"/>
      <c r="G113" s="177" t="s">
        <v>2</v>
      </c>
      <c r="H113" s="177" t="s">
        <v>67</v>
      </c>
      <c r="I113" s="208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47" t="s">
        <v>5</v>
      </c>
      <c r="C114" s="175" t="s">
        <v>19</v>
      </c>
      <c r="D114" s="317" t="s">
        <v>191</v>
      </c>
      <c r="E114" s="318"/>
      <c r="F114" s="319"/>
      <c r="G114" s="103">
        <v>0.05</v>
      </c>
      <c r="H114" s="27">
        <f>TRUNC(H$131*$G114,2)</f>
        <v>298.08</v>
      </c>
      <c r="I114" s="195"/>
      <c r="J114" s="119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47" t="s">
        <v>6</v>
      </c>
      <c r="C115" s="175" t="s">
        <v>4</v>
      </c>
      <c r="D115" s="317" t="s">
        <v>192</v>
      </c>
      <c r="E115" s="318"/>
      <c r="F115" s="319"/>
      <c r="G115" s="103">
        <v>0.1</v>
      </c>
      <c r="H115" s="27">
        <f>TRUNC((H$131+H$114)*$G115,2)</f>
        <v>625.97</v>
      </c>
      <c r="I115" s="195"/>
      <c r="J115" s="119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247" t="s">
        <v>7</v>
      </c>
      <c r="C116" s="175" t="s">
        <v>143</v>
      </c>
      <c r="D116" s="317" t="s">
        <v>193</v>
      </c>
      <c r="E116" s="318"/>
      <c r="F116" s="319"/>
      <c r="G116" s="105">
        <f>1-(G117+G118+G119)</f>
        <v>0.85749999999999993</v>
      </c>
      <c r="H116" s="34">
        <f>TRUNC(((H$131+H$114+H$115)/$G116),2)</f>
        <v>8029.95</v>
      </c>
      <c r="I116" s="19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47" t="s">
        <v>40</v>
      </c>
      <c r="C117" s="175" t="s">
        <v>37</v>
      </c>
      <c r="D117" s="317" t="s">
        <v>194</v>
      </c>
      <c r="E117" s="318"/>
      <c r="F117" s="319"/>
      <c r="G117" s="104">
        <v>1.6500000000000001E-2</v>
      </c>
      <c r="H117" s="27">
        <f>TRUNC(H$116*$G117,2)</f>
        <v>132.49</v>
      </c>
      <c r="I117" s="195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41</v>
      </c>
      <c r="C118" s="175" t="s">
        <v>38</v>
      </c>
      <c r="D118" s="317" t="s">
        <v>194</v>
      </c>
      <c r="E118" s="318"/>
      <c r="F118" s="319"/>
      <c r="G118" s="104">
        <v>7.5999999999999998E-2</v>
      </c>
      <c r="H118" s="27">
        <f>TRUNC(H$116*$G118,2)</f>
        <v>610.27</v>
      </c>
      <c r="I118" s="195"/>
      <c r="J118" s="137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42</v>
      </c>
      <c r="C119" s="175" t="s">
        <v>39</v>
      </c>
      <c r="D119" s="317" t="s">
        <v>194</v>
      </c>
      <c r="E119" s="318"/>
      <c r="F119" s="319"/>
      <c r="G119" s="104">
        <v>0.05</v>
      </c>
      <c r="H119" s="27">
        <f>TRUNC(H$116*$G119,2)</f>
        <v>401.49</v>
      </c>
      <c r="I119" s="195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180</v>
      </c>
      <c r="C120" s="242" t="s">
        <v>78</v>
      </c>
      <c r="D120" s="309" t="s">
        <v>182</v>
      </c>
      <c r="E120" s="309"/>
      <c r="F120" s="309"/>
      <c r="G120" s="310"/>
      <c r="H120" s="23">
        <f>SUM(H114:H119)-H116</f>
        <v>2068.3000000000002</v>
      </c>
      <c r="I120" s="24"/>
      <c r="J120" s="140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124"/>
      <c r="C121" s="124"/>
      <c r="D121" s="124"/>
      <c r="E121" s="124"/>
      <c r="F121" s="124"/>
      <c r="G121" s="124"/>
      <c r="H121" s="152"/>
      <c r="I121" s="35"/>
      <c r="J121" s="119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323" t="s">
        <v>319</v>
      </c>
      <c r="C122" s="323"/>
      <c r="D122" s="323"/>
      <c r="E122" s="323"/>
      <c r="F122" s="323"/>
      <c r="G122" s="323"/>
      <c r="H122" s="323"/>
      <c r="I122" s="209"/>
      <c r="J122" s="119"/>
      <c r="K122" s="153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41"/>
      <c r="C123" s="241"/>
      <c r="D123" s="241"/>
      <c r="E123" s="241"/>
      <c r="F123" s="241"/>
      <c r="G123" s="241"/>
      <c r="H123" s="241"/>
      <c r="I123" s="209"/>
      <c r="J123" s="119"/>
      <c r="K123" s="153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324" t="s">
        <v>116</v>
      </c>
      <c r="C124" s="324"/>
      <c r="D124" s="324"/>
      <c r="E124" s="324"/>
      <c r="F124" s="324"/>
      <c r="G124" s="324"/>
      <c r="H124" s="324"/>
      <c r="I124" s="208"/>
      <c r="J124" s="119"/>
      <c r="K124" s="153"/>
      <c r="L124" s="119"/>
      <c r="M124" s="120"/>
      <c r="N124" s="121"/>
      <c r="O124" s="121"/>
      <c r="P124" s="121"/>
      <c r="Q124" s="121"/>
      <c r="R124" s="121"/>
    </row>
    <row r="125" spans="2:18" ht="12.75" customHeight="1" x14ac:dyDescent="0.2">
      <c r="B125" s="36"/>
      <c r="C125" s="325" t="s">
        <v>144</v>
      </c>
      <c r="D125" s="326"/>
      <c r="E125" s="326"/>
      <c r="F125" s="326"/>
      <c r="G125" s="327"/>
      <c r="H125" s="177" t="s">
        <v>67</v>
      </c>
      <c r="I125" s="208"/>
      <c r="J125" s="119"/>
      <c r="K125" s="119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247" t="s">
        <v>5</v>
      </c>
      <c r="C126" s="165" t="s">
        <v>97</v>
      </c>
      <c r="D126" s="317" t="s">
        <v>157</v>
      </c>
      <c r="E126" s="318"/>
      <c r="F126" s="318"/>
      <c r="G126" s="319"/>
      <c r="H126" s="27">
        <f>H31</f>
        <v>2650.78</v>
      </c>
      <c r="I126" s="195"/>
      <c r="J126" s="119"/>
      <c r="K126" s="119"/>
      <c r="L126" s="119"/>
      <c r="M126" s="120"/>
      <c r="N126" s="121"/>
      <c r="O126" s="121"/>
      <c r="P126" s="121"/>
      <c r="Q126" s="121"/>
      <c r="R126" s="121"/>
    </row>
    <row r="127" spans="2:18" ht="22.5" x14ac:dyDescent="0.2">
      <c r="B127" s="247" t="s">
        <v>6</v>
      </c>
      <c r="C127" s="165" t="s">
        <v>98</v>
      </c>
      <c r="D127" s="317" t="s">
        <v>171</v>
      </c>
      <c r="E127" s="318"/>
      <c r="F127" s="318"/>
      <c r="G127" s="319"/>
      <c r="H127" s="27">
        <f>H69</f>
        <v>2298.7031999999999</v>
      </c>
      <c r="I127" s="195"/>
      <c r="J127" s="119"/>
      <c r="K127" s="119"/>
      <c r="L127" s="119"/>
      <c r="M127" s="120"/>
      <c r="N127" s="121"/>
      <c r="O127" s="121"/>
      <c r="P127" s="121"/>
      <c r="Q127" s="121"/>
      <c r="R127" s="121"/>
    </row>
    <row r="128" spans="2:18" x14ac:dyDescent="0.2">
      <c r="B128" s="247" t="s">
        <v>7</v>
      </c>
      <c r="C128" s="165" t="s">
        <v>99</v>
      </c>
      <c r="D128" s="317" t="s">
        <v>175</v>
      </c>
      <c r="E128" s="318"/>
      <c r="F128" s="318"/>
      <c r="G128" s="319"/>
      <c r="H128" s="27">
        <f>H80</f>
        <v>263.3</v>
      </c>
      <c r="I128" s="195"/>
      <c r="J128" s="119"/>
      <c r="K128" s="153"/>
      <c r="L128" s="119"/>
      <c r="M128" s="120"/>
      <c r="N128" s="121"/>
      <c r="O128" s="121"/>
      <c r="P128" s="121"/>
      <c r="Q128" s="121"/>
      <c r="R128" s="121"/>
    </row>
    <row r="129" spans="2:18" ht="22.5" x14ac:dyDescent="0.2">
      <c r="B129" s="247" t="s">
        <v>8</v>
      </c>
      <c r="C129" s="165" t="s">
        <v>61</v>
      </c>
      <c r="D129" s="317" t="s">
        <v>178</v>
      </c>
      <c r="E129" s="318"/>
      <c r="F129" s="318"/>
      <c r="G129" s="319"/>
      <c r="H129" s="27">
        <f>H100</f>
        <v>550.20000000000005</v>
      </c>
      <c r="I129" s="195"/>
      <c r="J129" s="119"/>
      <c r="K129" s="153"/>
      <c r="L129" s="119"/>
      <c r="M129" s="120"/>
      <c r="N129" s="121"/>
      <c r="O129" s="121"/>
      <c r="P129" s="121"/>
      <c r="Q129" s="121"/>
      <c r="R129" s="121"/>
    </row>
    <row r="130" spans="2:18" x14ac:dyDescent="0.2">
      <c r="B130" s="247" t="s">
        <v>9</v>
      </c>
      <c r="C130" s="165" t="s">
        <v>100</v>
      </c>
      <c r="D130" s="317" t="s">
        <v>179</v>
      </c>
      <c r="E130" s="318"/>
      <c r="F130" s="318"/>
      <c r="G130" s="319"/>
      <c r="H130" s="27">
        <f>H109</f>
        <v>198.65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46" t="s">
        <v>10</v>
      </c>
      <c r="C131" s="164" t="s">
        <v>64</v>
      </c>
      <c r="D131" s="320" t="s">
        <v>198</v>
      </c>
      <c r="E131" s="321"/>
      <c r="F131" s="321"/>
      <c r="G131" s="322"/>
      <c r="H131" s="31">
        <f>SUM(H126:H130)</f>
        <v>5961.6332000000002</v>
      </c>
      <c r="I131" s="24"/>
      <c r="J131" s="119"/>
      <c r="K131" s="154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7" t="s">
        <v>11</v>
      </c>
      <c r="C132" s="175" t="s">
        <v>101</v>
      </c>
      <c r="D132" s="317" t="s">
        <v>180</v>
      </c>
      <c r="E132" s="318"/>
      <c r="F132" s="318"/>
      <c r="G132" s="319"/>
      <c r="H132" s="27">
        <f>H120</f>
        <v>2068.3000000000002</v>
      </c>
      <c r="I132" s="195"/>
      <c r="J132" s="119"/>
      <c r="K132" s="119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47" t="s">
        <v>183</v>
      </c>
      <c r="C133" s="238" t="s">
        <v>96</v>
      </c>
      <c r="D133" s="308" t="s">
        <v>197</v>
      </c>
      <c r="E133" s="309"/>
      <c r="F133" s="309"/>
      <c r="G133" s="310"/>
      <c r="H133" s="37">
        <f>SUM(H131:H132)</f>
        <v>8029.9332000000004</v>
      </c>
      <c r="I133" s="213"/>
      <c r="J133" s="119"/>
      <c r="K133" s="155"/>
      <c r="L133" s="119"/>
      <c r="M133" s="120"/>
      <c r="N133" s="121"/>
      <c r="O133" s="121"/>
      <c r="P133" s="121"/>
      <c r="Q133" s="121"/>
      <c r="R133" s="121"/>
    </row>
    <row r="134" spans="2:18" ht="12.75" hidden="1" customHeight="1" x14ac:dyDescent="0.2">
      <c r="B134" s="14"/>
      <c r="C134" s="14"/>
      <c r="D134" s="14"/>
      <c r="E134" s="14"/>
      <c r="F134" s="14"/>
      <c r="G134" s="14"/>
      <c r="H134" s="38"/>
      <c r="I134" s="214"/>
      <c r="J134" s="156"/>
      <c r="K134" s="156"/>
      <c r="L134" s="156"/>
      <c r="M134" s="121"/>
      <c r="N134" s="121"/>
      <c r="O134" s="121"/>
      <c r="P134" s="121"/>
      <c r="Q134" s="121"/>
      <c r="R134" s="121"/>
    </row>
    <row r="135" spans="2:18" ht="40.5" hidden="1" customHeight="1" x14ac:dyDescent="0.2">
      <c r="B135" s="39"/>
      <c r="C135" s="39" t="s">
        <v>20</v>
      </c>
      <c r="D135" s="39"/>
      <c r="E135" s="39"/>
      <c r="F135" s="39"/>
      <c r="G135" s="40"/>
      <c r="H135" s="40"/>
      <c r="I135" s="215"/>
      <c r="J135" s="156"/>
      <c r="K135" s="156"/>
      <c r="L135" s="156"/>
      <c r="M135" s="121"/>
      <c r="N135" s="121"/>
      <c r="O135" s="121"/>
      <c r="P135" s="121"/>
      <c r="Q135" s="121"/>
      <c r="R135" s="121"/>
    </row>
    <row r="136" spans="2:18" ht="39" hidden="1" customHeight="1" x14ac:dyDescent="0.2">
      <c r="B136" s="311" t="s">
        <v>22</v>
      </c>
      <c r="C136" s="312"/>
      <c r="D136" s="252"/>
      <c r="E136" s="252"/>
      <c r="F136" s="252"/>
      <c r="G136" s="41" t="s">
        <v>21</v>
      </c>
      <c r="H136" s="42" t="s">
        <v>0</v>
      </c>
      <c r="I136" s="215"/>
      <c r="J136" s="156"/>
      <c r="K136" s="156"/>
      <c r="L136" s="156"/>
      <c r="M136" s="121"/>
      <c r="N136" s="121"/>
      <c r="O136" s="121"/>
      <c r="P136" s="121"/>
      <c r="Q136" s="121"/>
      <c r="R136" s="121"/>
    </row>
    <row r="137" spans="2:18" ht="12.75" hidden="1" customHeight="1" x14ac:dyDescent="0.2">
      <c r="B137" s="313" t="s">
        <v>23</v>
      </c>
      <c r="C137" s="314"/>
      <c r="D137" s="43"/>
      <c r="E137" s="43"/>
      <c r="F137" s="43"/>
      <c r="G137" s="44"/>
      <c r="H137" s="45">
        <v>0</v>
      </c>
      <c r="I137" s="199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12.75" hidden="1" customHeight="1" x14ac:dyDescent="0.2">
      <c r="B138" s="315" t="s">
        <v>24</v>
      </c>
      <c r="C138" s="316"/>
      <c r="D138" s="46"/>
      <c r="E138" s="46"/>
      <c r="F138" s="46"/>
      <c r="G138" s="47"/>
      <c r="H138" s="48">
        <v>0</v>
      </c>
      <c r="I138" s="199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12.75" hidden="1" customHeight="1" x14ac:dyDescent="0.2">
      <c r="B139" s="315" t="s">
        <v>25</v>
      </c>
      <c r="C139" s="316"/>
      <c r="D139" s="46"/>
      <c r="E139" s="46"/>
      <c r="F139" s="46"/>
      <c r="G139" s="47"/>
      <c r="H139" s="48">
        <v>0</v>
      </c>
      <c r="I139" s="199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5" t="s">
        <v>26</v>
      </c>
      <c r="C140" s="316"/>
      <c r="D140" s="46"/>
      <c r="E140" s="46"/>
      <c r="F140" s="46"/>
      <c r="G140" s="47"/>
      <c r="H140" s="48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299"/>
      <c r="C141" s="300"/>
      <c r="D141" s="49"/>
      <c r="E141" s="49"/>
      <c r="F141" s="49"/>
      <c r="G141" s="50"/>
      <c r="H141" s="48"/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3.5" hidden="1" customHeight="1" x14ac:dyDescent="0.2">
      <c r="B142" s="301"/>
      <c r="C142" s="302"/>
      <c r="D142" s="51"/>
      <c r="E142" s="51"/>
      <c r="F142" s="51"/>
      <c r="G142" s="52"/>
      <c r="H142" s="53"/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3.5" hidden="1" customHeight="1" x14ac:dyDescent="0.2">
      <c r="B143" s="54" t="s">
        <v>27</v>
      </c>
      <c r="C143" s="55"/>
      <c r="D143" s="55"/>
      <c r="E143" s="55"/>
      <c r="F143" s="55"/>
      <c r="G143" s="56"/>
      <c r="H143" s="57">
        <f>SUM(H141:H142)</f>
        <v>0</v>
      </c>
      <c r="I143" s="200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14"/>
      <c r="C144" s="14"/>
      <c r="D144" s="14"/>
      <c r="E144" s="14"/>
      <c r="F144" s="14"/>
      <c r="G144" s="14"/>
      <c r="H144" s="14"/>
      <c r="I144" s="18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3.5" hidden="1" customHeight="1" x14ac:dyDescent="0.2">
      <c r="B145" s="39" t="s">
        <v>28</v>
      </c>
      <c r="C145" s="39" t="s">
        <v>29</v>
      </c>
      <c r="D145" s="39"/>
      <c r="E145" s="39"/>
      <c r="F145" s="39"/>
      <c r="G145" s="40"/>
      <c r="H145" s="40"/>
      <c r="I145" s="215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58" t="s">
        <v>30</v>
      </c>
      <c r="C146" s="59"/>
      <c r="D146" s="59"/>
      <c r="E146" s="59"/>
      <c r="F146" s="59"/>
      <c r="G146" s="59"/>
      <c r="H146" s="60"/>
      <c r="I146" s="215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2.75" hidden="1" customHeight="1" x14ac:dyDescent="0.2">
      <c r="B147" s="61"/>
      <c r="C147" s="62" t="s">
        <v>31</v>
      </c>
      <c r="D147" s="63"/>
      <c r="E147" s="63"/>
      <c r="F147" s="63"/>
      <c r="G147" s="64"/>
      <c r="H147" s="42" t="s">
        <v>0</v>
      </c>
      <c r="I147" s="215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65" t="s">
        <v>5</v>
      </c>
      <c r="C148" s="66" t="s">
        <v>32</v>
      </c>
      <c r="D148" s="67"/>
      <c r="E148" s="67"/>
      <c r="F148" s="67"/>
      <c r="G148" s="68"/>
      <c r="H148" s="69">
        <f>H117</f>
        <v>132.49</v>
      </c>
      <c r="I148" s="199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70" t="s">
        <v>6</v>
      </c>
      <c r="C149" s="71" t="s">
        <v>33</v>
      </c>
      <c r="D149" s="72"/>
      <c r="E149" s="72"/>
      <c r="F149" s="72"/>
      <c r="G149" s="73"/>
      <c r="H149" s="74" t="e">
        <f>#REF!</f>
        <v>#REF!</v>
      </c>
      <c r="I149" s="199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70" t="s">
        <v>7</v>
      </c>
      <c r="C150" s="75" t="s">
        <v>34</v>
      </c>
      <c r="D150" s="76"/>
      <c r="E150" s="76"/>
      <c r="F150" s="76"/>
      <c r="G150" s="77"/>
      <c r="H150" s="74">
        <f>H120</f>
        <v>2068.3000000000002</v>
      </c>
      <c r="I150" s="199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3.5" hidden="1" customHeight="1" x14ac:dyDescent="0.2">
      <c r="B151" s="78" t="s">
        <v>16</v>
      </c>
      <c r="C151" s="79"/>
      <c r="D151" s="79"/>
      <c r="E151" s="79"/>
      <c r="F151" s="79"/>
      <c r="G151" s="80"/>
      <c r="H151" s="57" t="e">
        <f>SUM(H148:H150)</f>
        <v>#REF!</v>
      </c>
      <c r="I151" s="200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2.75" hidden="1" customHeight="1" x14ac:dyDescent="0.2">
      <c r="B152" s="81" t="s">
        <v>15</v>
      </c>
      <c r="C152" s="14" t="s">
        <v>35</v>
      </c>
      <c r="D152" s="14"/>
      <c r="E152" s="14"/>
      <c r="F152" s="14"/>
      <c r="G152" s="14"/>
      <c r="H152" s="14"/>
      <c r="I152" s="18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2.75" hidden="1" customHeight="1" x14ac:dyDescent="0.2">
      <c r="B153" s="14"/>
      <c r="C153" s="14"/>
      <c r="D153" s="14"/>
      <c r="E153" s="14"/>
      <c r="F153" s="14"/>
      <c r="G153" s="14"/>
      <c r="H153" s="14"/>
      <c r="I153" s="18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x14ac:dyDescent="0.2">
      <c r="I154" s="18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x14ac:dyDescent="0.2">
      <c r="B155" s="303" t="s">
        <v>320</v>
      </c>
      <c r="C155" s="303"/>
      <c r="D155" s="303"/>
      <c r="E155" s="303"/>
      <c r="F155" s="303"/>
      <c r="I155" s="18"/>
      <c r="J155" s="188"/>
      <c r="K155" s="157"/>
      <c r="L155" s="156"/>
      <c r="M155" s="121"/>
      <c r="N155" s="121"/>
      <c r="O155" s="121"/>
      <c r="P155" s="121"/>
      <c r="Q155" s="121"/>
      <c r="R155" s="121"/>
    </row>
    <row r="156" spans="2:18" x14ac:dyDescent="0.2">
      <c r="B156" s="158"/>
      <c r="C156" s="158"/>
      <c r="D156" s="158"/>
      <c r="E156" s="142"/>
      <c r="F156" s="142"/>
      <c r="I156" s="18"/>
    </row>
    <row r="157" spans="2:18" x14ac:dyDescent="0.2">
      <c r="B157" s="304" t="s">
        <v>202</v>
      </c>
      <c r="C157" s="304"/>
      <c r="D157" s="304"/>
      <c r="E157" s="304"/>
      <c r="F157" s="304"/>
      <c r="G157" s="304"/>
      <c r="H157" s="304"/>
      <c r="I157" s="210"/>
      <c r="J157" s="188"/>
    </row>
    <row r="158" spans="2:18" x14ac:dyDescent="0.2">
      <c r="B158" s="247" t="s">
        <v>5</v>
      </c>
      <c r="C158" s="167" t="s">
        <v>127</v>
      </c>
      <c r="D158" s="292" t="s">
        <v>183</v>
      </c>
      <c r="E158" s="293"/>
      <c r="F158" s="293"/>
      <c r="G158" s="294"/>
      <c r="H158" s="12">
        <f>H133</f>
        <v>8029.9332000000004</v>
      </c>
      <c r="I158" s="207"/>
    </row>
    <row r="159" spans="2:18" ht="22.5" x14ac:dyDescent="0.2">
      <c r="B159" s="247" t="s">
        <v>6</v>
      </c>
      <c r="C159" s="166" t="s">
        <v>185</v>
      </c>
      <c r="D159" s="292" t="s">
        <v>186</v>
      </c>
      <c r="E159" s="293"/>
      <c r="F159" s="293"/>
      <c r="G159" s="294"/>
      <c r="H159" s="12">
        <f>H40+H80+H98</f>
        <v>1328.92</v>
      </c>
      <c r="I159" s="201"/>
    </row>
    <row r="160" spans="2:18" ht="22.5" x14ac:dyDescent="0.2">
      <c r="B160" s="247" t="s">
        <v>7</v>
      </c>
      <c r="C160" s="205" t="s">
        <v>203</v>
      </c>
      <c r="D160" s="305" t="s">
        <v>211</v>
      </c>
      <c r="E160" s="306"/>
      <c r="F160" s="306"/>
      <c r="G160" s="307"/>
      <c r="H160" s="206">
        <f>TRUNC((H$40*$G53),2)</f>
        <v>189.67</v>
      </c>
      <c r="I160" s="207"/>
      <c r="J160" s="187"/>
    </row>
    <row r="161" spans="2:14" ht="12.75" customHeight="1" x14ac:dyDescent="0.2">
      <c r="B161" s="247" t="s">
        <v>8</v>
      </c>
      <c r="C161" s="166" t="s">
        <v>19</v>
      </c>
      <c r="D161" s="289" t="s">
        <v>195</v>
      </c>
      <c r="E161" s="290"/>
      <c r="F161" s="291"/>
      <c r="G161" s="13">
        <f>G114</f>
        <v>0.05</v>
      </c>
      <c r="H161" s="12">
        <f>TRUNC((H$159+H$160)*$G161,2)</f>
        <v>75.92</v>
      </c>
      <c r="I161" s="201"/>
      <c r="J161" s="288"/>
      <c r="K161" s="288"/>
      <c r="L161" s="288"/>
      <c r="M161" s="288"/>
      <c r="N161" s="288"/>
    </row>
    <row r="162" spans="2:14" ht="12.75" customHeight="1" x14ac:dyDescent="0.2">
      <c r="B162" s="247" t="s">
        <v>9</v>
      </c>
      <c r="C162" s="166" t="s">
        <v>4</v>
      </c>
      <c r="D162" s="289" t="s">
        <v>196</v>
      </c>
      <c r="E162" s="290"/>
      <c r="F162" s="291"/>
      <c r="G162" s="13">
        <f>G115</f>
        <v>0.1</v>
      </c>
      <c r="H162" s="12">
        <f>TRUNC((H$159+H$160+H$161)*$G162,2)</f>
        <v>159.44999999999999</v>
      </c>
      <c r="I162" s="201"/>
      <c r="J162" s="288"/>
      <c r="K162" s="288"/>
      <c r="L162" s="288"/>
      <c r="M162" s="288"/>
      <c r="N162" s="288"/>
    </row>
    <row r="163" spans="2:14" ht="12.75" customHeight="1" x14ac:dyDescent="0.2">
      <c r="B163" s="247" t="s">
        <v>10</v>
      </c>
      <c r="C163" s="166" t="s">
        <v>128</v>
      </c>
      <c r="D163" s="289" t="s">
        <v>205</v>
      </c>
      <c r="E163" s="290"/>
      <c r="F163" s="291"/>
      <c r="G163" s="13">
        <f>G117+G118+G119</f>
        <v>0.14250000000000002</v>
      </c>
      <c r="H163" s="12">
        <f>TRUNC((H$159+H$160+H$161+H$162)/(1-$G163)-(H$159+H$160+H$161+H$162),2)</f>
        <v>291.47000000000003</v>
      </c>
      <c r="I163" s="201"/>
      <c r="J163" s="288"/>
      <c r="K163" s="288"/>
      <c r="L163" s="288"/>
      <c r="M163" s="288"/>
      <c r="N163" s="288"/>
    </row>
    <row r="164" spans="2:14" ht="22.5" x14ac:dyDescent="0.2">
      <c r="B164" s="247" t="s">
        <v>11</v>
      </c>
      <c r="C164" s="274" t="s">
        <v>129</v>
      </c>
      <c r="D164" s="292" t="s">
        <v>206</v>
      </c>
      <c r="E164" s="293"/>
      <c r="F164" s="293"/>
      <c r="G164" s="294"/>
      <c r="H164" s="275">
        <f>SUM(H159:H163)</f>
        <v>2045.4300000000003</v>
      </c>
      <c r="I164" s="202"/>
    </row>
    <row r="165" spans="2:14" x14ac:dyDescent="0.2">
      <c r="B165" s="273" t="s">
        <v>184</v>
      </c>
      <c r="C165" s="276" t="s">
        <v>154</v>
      </c>
      <c r="D165" s="295" t="s">
        <v>204</v>
      </c>
      <c r="E165" s="296"/>
      <c r="F165" s="296"/>
      <c r="G165" s="297"/>
      <c r="H165" s="277">
        <f>H158-H164</f>
        <v>5984.5032000000001</v>
      </c>
      <c r="I165" s="216"/>
    </row>
    <row r="166" spans="2:14" ht="45" customHeight="1" x14ac:dyDescent="0.2">
      <c r="B166" s="298" t="s">
        <v>153</v>
      </c>
      <c r="C166" s="298"/>
      <c r="D166" s="298"/>
      <c r="E166" s="298"/>
      <c r="F166" s="298"/>
      <c r="G166" s="298"/>
      <c r="H166" s="298"/>
      <c r="I166" s="203"/>
    </row>
  </sheetData>
  <mergeCells count="139">
    <mergeCell ref="B166:H166"/>
    <mergeCell ref="D161:F161"/>
    <mergeCell ref="J161:N163"/>
    <mergeCell ref="D162:F162"/>
    <mergeCell ref="D163:F163"/>
    <mergeCell ref="D164:G164"/>
    <mergeCell ref="D165:G165"/>
    <mergeCell ref="B142:C142"/>
    <mergeCell ref="B155:F155"/>
    <mergeCell ref="B157:H157"/>
    <mergeCell ref="D158:G158"/>
    <mergeCell ref="D159:G159"/>
    <mergeCell ref="D160:G160"/>
    <mergeCell ref="B136:C136"/>
    <mergeCell ref="B137:C137"/>
    <mergeCell ref="B138:C138"/>
    <mergeCell ref="B139:C139"/>
    <mergeCell ref="B140:C140"/>
    <mergeCell ref="B141:C141"/>
    <mergeCell ref="D128:G128"/>
    <mergeCell ref="D129:G129"/>
    <mergeCell ref="D130:G130"/>
    <mergeCell ref="D131:G131"/>
    <mergeCell ref="D132:G132"/>
    <mergeCell ref="D133:G133"/>
    <mergeCell ref="D120:G120"/>
    <mergeCell ref="B122:H122"/>
    <mergeCell ref="B124:H124"/>
    <mergeCell ref="C125:G125"/>
    <mergeCell ref="D126:G126"/>
    <mergeCell ref="D127:G127"/>
    <mergeCell ref="D114:F114"/>
    <mergeCell ref="D115:F115"/>
    <mergeCell ref="D116:F116"/>
    <mergeCell ref="D117:F117"/>
    <mergeCell ref="D118:F118"/>
    <mergeCell ref="D119:F119"/>
    <mergeCell ref="D99:G99"/>
    <mergeCell ref="C100:G100"/>
    <mergeCell ref="B103:H103"/>
    <mergeCell ref="C104:G104"/>
    <mergeCell ref="B112:H112"/>
    <mergeCell ref="C113:F113"/>
    <mergeCell ref="C92:F92"/>
    <mergeCell ref="D93:F93"/>
    <mergeCell ref="C94:G94"/>
    <mergeCell ref="B96:H96"/>
    <mergeCell ref="C97:G97"/>
    <mergeCell ref="D98:G98"/>
    <mergeCell ref="C85:F85"/>
    <mergeCell ref="D86:F86"/>
    <mergeCell ref="D87:F87"/>
    <mergeCell ref="D88:G88"/>
    <mergeCell ref="C89:G89"/>
    <mergeCell ref="B91:H91"/>
    <mergeCell ref="D77:F77"/>
    <mergeCell ref="D78:E78"/>
    <mergeCell ref="D79:E79"/>
    <mergeCell ref="C80:G80"/>
    <mergeCell ref="B83:H83"/>
    <mergeCell ref="B84:H84"/>
    <mergeCell ref="B70:H70"/>
    <mergeCell ref="B72:H72"/>
    <mergeCell ref="C73:F73"/>
    <mergeCell ref="D74:F74"/>
    <mergeCell ref="D75:F75"/>
    <mergeCell ref="D76:E76"/>
    <mergeCell ref="B64:H64"/>
    <mergeCell ref="C65:G65"/>
    <mergeCell ref="D66:G66"/>
    <mergeCell ref="D67:G67"/>
    <mergeCell ref="D68:G68"/>
    <mergeCell ref="C69:G69"/>
    <mergeCell ref="J57:N57"/>
    <mergeCell ref="D58:G58"/>
    <mergeCell ref="D59:G59"/>
    <mergeCell ref="D61:G61"/>
    <mergeCell ref="C62:G62"/>
    <mergeCell ref="B63:H63"/>
    <mergeCell ref="D52:F52"/>
    <mergeCell ref="C53:F53"/>
    <mergeCell ref="B54:H54"/>
    <mergeCell ref="B55:H55"/>
    <mergeCell ref="C56:G56"/>
    <mergeCell ref="D57:G57"/>
    <mergeCell ref="H46:H47"/>
    <mergeCell ref="J46:J47"/>
    <mergeCell ref="D48:F48"/>
    <mergeCell ref="D49:F49"/>
    <mergeCell ref="D50:F50"/>
    <mergeCell ref="D51:F51"/>
    <mergeCell ref="D44:F44"/>
    <mergeCell ref="D45:F45"/>
    <mergeCell ref="B46:B47"/>
    <mergeCell ref="C46:C47"/>
    <mergeCell ref="D46:D47"/>
    <mergeCell ref="G46:G47"/>
    <mergeCell ref="D38:F38"/>
    <mergeCell ref="D39:F39"/>
    <mergeCell ref="C40:F40"/>
    <mergeCell ref="B41:H41"/>
    <mergeCell ref="B42:H42"/>
    <mergeCell ref="C43:F43"/>
    <mergeCell ref="C31:F31"/>
    <mergeCell ref="B34:H34"/>
    <mergeCell ref="B35:H35"/>
    <mergeCell ref="B36:H36"/>
    <mergeCell ref="C37:F37"/>
    <mergeCell ref="D26:F26"/>
    <mergeCell ref="D27:F27"/>
    <mergeCell ref="D28:F28"/>
    <mergeCell ref="D29:F29"/>
    <mergeCell ref="D30:F30"/>
    <mergeCell ref="B19:B20"/>
    <mergeCell ref="C19:H19"/>
    <mergeCell ref="C20:H20"/>
    <mergeCell ref="B22:H22"/>
    <mergeCell ref="B24:H24"/>
    <mergeCell ref="C25:F25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</mergeCells>
  <dataValidations count="10">
    <dataValidation type="list" allowBlank="1" showInputMessage="1" showErrorMessage="1" sqref="G79">
      <formula1>"3,6,9,12,15"</formula1>
    </dataValidation>
    <dataValidation type="custom" allowBlank="1" showInputMessage="1" showErrorMessage="1" sqref="G116">
      <formula1>1-(G117+G118+G119)</formula1>
    </dataValidation>
    <dataValidation type="list" operator="equal" allowBlank="1" showInputMessage="1" showErrorMessage="1" errorTitle="Valor errado" error="Percentual fixo. Preencher com 40%." sqref="F76 F78">
      <formula1>"40%"</formula1>
    </dataValidation>
    <dataValidation type="whole" allowBlank="1" showInputMessage="1" showErrorMessage="1" errorTitle="Valor errado" error="Quantidade fixa de dias. Prencher com 30" sqref="G86">
      <formula1>30</formula1>
      <formula2>30</formula2>
    </dataValidation>
    <dataValidation type="list" allowBlank="1" showInputMessage="1" showErrorMessage="1" sqref="G117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18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47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T169"/>
  <sheetViews>
    <sheetView showGridLines="0" tabSelected="1" topLeftCell="B118" workbookViewId="0">
      <selection activeCell="J159" sqref="J159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1" t="s">
        <v>68</v>
      </c>
      <c r="C2" s="371"/>
      <c r="D2" s="371"/>
      <c r="E2" s="371"/>
      <c r="F2" s="371"/>
      <c r="G2" s="371"/>
      <c r="H2" s="371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2" t="s">
        <v>321</v>
      </c>
      <c r="C3" s="372"/>
      <c r="D3" s="372"/>
      <c r="E3" s="372"/>
      <c r="F3" s="372"/>
      <c r="G3" s="372"/>
      <c r="H3" s="372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3" t="s">
        <v>155</v>
      </c>
      <c r="C6" s="373"/>
      <c r="D6" s="373"/>
      <c r="E6" s="373"/>
      <c r="F6" s="373"/>
      <c r="G6" s="374" t="s">
        <v>305</v>
      </c>
      <c r="H6" s="374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4" t="s">
        <v>69</v>
      </c>
      <c r="C8" s="304"/>
      <c r="D8" s="304"/>
      <c r="E8" s="304"/>
      <c r="F8" s="304"/>
      <c r="G8" s="304"/>
      <c r="H8" s="304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5">
        <v>1</v>
      </c>
      <c r="C9" s="356" t="s">
        <v>70</v>
      </c>
      <c r="D9" s="356"/>
      <c r="E9" s="356"/>
      <c r="F9" s="356"/>
      <c r="G9" s="356"/>
      <c r="H9" s="356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5"/>
      <c r="C10" s="357"/>
      <c r="D10" s="357"/>
      <c r="E10" s="357"/>
      <c r="F10" s="357"/>
      <c r="G10" s="357"/>
      <c r="H10" s="357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5">
        <v>2</v>
      </c>
      <c r="C11" s="356" t="s">
        <v>72</v>
      </c>
      <c r="D11" s="356"/>
      <c r="E11" s="356"/>
      <c r="F11" s="356"/>
      <c r="G11" s="356"/>
      <c r="H11" s="356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5"/>
      <c r="C12" s="357"/>
      <c r="D12" s="357"/>
      <c r="E12" s="357"/>
      <c r="F12" s="357"/>
      <c r="G12" s="357"/>
      <c r="H12" s="357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5">
        <v>3</v>
      </c>
      <c r="C13" s="356" t="s">
        <v>73</v>
      </c>
      <c r="D13" s="356"/>
      <c r="E13" s="356"/>
      <c r="F13" s="356"/>
      <c r="G13" s="356"/>
      <c r="H13" s="356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5"/>
      <c r="C14" s="357"/>
      <c r="D14" s="357"/>
      <c r="E14" s="357"/>
      <c r="F14" s="357"/>
      <c r="G14" s="357"/>
      <c r="H14" s="357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5">
        <v>4</v>
      </c>
      <c r="C15" s="356" t="s">
        <v>74</v>
      </c>
      <c r="D15" s="356"/>
      <c r="E15" s="356"/>
      <c r="F15" s="356"/>
      <c r="G15" s="356"/>
      <c r="H15" s="356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5"/>
      <c r="C16" s="357"/>
      <c r="D16" s="357"/>
      <c r="E16" s="357"/>
      <c r="F16" s="357"/>
      <c r="G16" s="357"/>
      <c r="H16" s="357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5">
        <v>5</v>
      </c>
      <c r="C17" s="356" t="s">
        <v>75</v>
      </c>
      <c r="D17" s="356"/>
      <c r="E17" s="356"/>
      <c r="F17" s="356"/>
      <c r="G17" s="356"/>
      <c r="H17" s="356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5"/>
      <c r="C18" s="357"/>
      <c r="D18" s="357"/>
      <c r="E18" s="357"/>
      <c r="F18" s="357"/>
      <c r="G18" s="357"/>
      <c r="H18" s="357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5">
        <v>6</v>
      </c>
      <c r="C19" s="356" t="s">
        <v>76</v>
      </c>
      <c r="D19" s="356"/>
      <c r="E19" s="356"/>
      <c r="F19" s="356"/>
      <c r="G19" s="356"/>
      <c r="H19" s="356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5"/>
      <c r="C20" s="357"/>
      <c r="D20" s="357"/>
      <c r="E20" s="357"/>
      <c r="F20" s="357"/>
      <c r="G20" s="357"/>
      <c r="H20" s="357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3" t="s">
        <v>95</v>
      </c>
      <c r="C22" s="323"/>
      <c r="D22" s="323"/>
      <c r="E22" s="323"/>
      <c r="F22" s="323"/>
      <c r="G22" s="323"/>
      <c r="H22" s="32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4" t="s">
        <v>83</v>
      </c>
      <c r="C24" s="324"/>
      <c r="D24" s="324"/>
      <c r="E24" s="324"/>
      <c r="F24" s="324"/>
      <c r="G24" s="324"/>
      <c r="H24" s="32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0" t="s">
        <v>77</v>
      </c>
      <c r="D25" s="328"/>
      <c r="E25" s="328"/>
      <c r="F25" s="281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17" t="s">
        <v>221</v>
      </c>
      <c r="E26" s="318"/>
      <c r="F26" s="319"/>
      <c r="G26" s="21"/>
      <c r="H26" s="82">
        <v>2650.78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17" t="s">
        <v>156</v>
      </c>
      <c r="E27" s="318"/>
      <c r="F27" s="319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17" t="s">
        <v>199</v>
      </c>
      <c r="E28" s="318"/>
      <c r="F28" s="319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17" t="s">
        <v>208</v>
      </c>
      <c r="E29" s="318"/>
      <c r="F29" s="319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8" t="s">
        <v>9</v>
      </c>
      <c r="C30" s="176" t="s">
        <v>130</v>
      </c>
      <c r="D30" s="317" t="s">
        <v>209</v>
      </c>
      <c r="E30" s="318"/>
      <c r="F30" s="319"/>
      <c r="G30" s="261">
        <v>0.5</v>
      </c>
      <c r="H30" s="27">
        <f>TRUNC($G$34*$H34*(1+G$30),2)</f>
        <v>577.91999999999996</v>
      </c>
      <c r="I30" s="218"/>
      <c r="J30" s="133"/>
      <c r="K30" s="119"/>
      <c r="L30" s="234"/>
      <c r="M30" s="134"/>
      <c r="N30" s="121"/>
      <c r="O30" s="121"/>
      <c r="P30" s="121"/>
      <c r="Q30" s="121"/>
      <c r="R30" s="121"/>
    </row>
    <row r="31" spans="2:18" x14ac:dyDescent="0.2">
      <c r="B31" s="247" t="s">
        <v>10</v>
      </c>
      <c r="C31" s="176" t="s">
        <v>3</v>
      </c>
      <c r="D31" s="317"/>
      <c r="E31" s="318"/>
      <c r="F31" s="319"/>
      <c r="G31" s="261"/>
      <c r="H31" s="106"/>
      <c r="I31" s="193"/>
      <c r="J31" s="119"/>
      <c r="K31" s="119"/>
      <c r="L31" s="135"/>
      <c r="M31" s="120"/>
      <c r="N31" s="121"/>
      <c r="O31" s="121"/>
      <c r="P31" s="121"/>
      <c r="Q31" s="121"/>
      <c r="R31" s="121"/>
    </row>
    <row r="32" spans="2:18" x14ac:dyDescent="0.2">
      <c r="B32" s="247" t="s">
        <v>157</v>
      </c>
      <c r="C32" s="280" t="s">
        <v>78</v>
      </c>
      <c r="D32" s="328"/>
      <c r="E32" s="328"/>
      <c r="F32" s="281"/>
      <c r="G32" s="36"/>
      <c r="H32" s="23">
        <f>SUM(H26:H31)</f>
        <v>3228.7000000000003</v>
      </c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ht="22.5" x14ac:dyDescent="0.2">
      <c r="B33" s="239"/>
      <c r="C33" s="324" t="s">
        <v>145</v>
      </c>
      <c r="D33" s="324"/>
      <c r="E33" s="324"/>
      <c r="F33" s="324"/>
      <c r="G33" s="109" t="s">
        <v>131</v>
      </c>
      <c r="H33" s="108" t="s">
        <v>150</v>
      </c>
      <c r="I33" s="5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x14ac:dyDescent="0.2">
      <c r="B34" s="239"/>
      <c r="C34" s="324"/>
      <c r="D34" s="324"/>
      <c r="E34" s="324"/>
      <c r="F34" s="324"/>
      <c r="G34" s="107">
        <v>32</v>
      </c>
      <c r="H34" s="83">
        <f>IF(G34="",0,TRUNC((H26+H27+H28)/220,2))</f>
        <v>12.04</v>
      </c>
      <c r="I34" s="194"/>
      <c r="J34" s="119"/>
      <c r="K34" s="119"/>
      <c r="L34" s="119"/>
      <c r="M34" s="120"/>
      <c r="N34" s="121"/>
      <c r="O34" s="121"/>
      <c r="P34" s="121"/>
      <c r="Q34" s="121"/>
      <c r="R34" s="121"/>
    </row>
    <row r="35" spans="2:18" x14ac:dyDescent="0.2">
      <c r="B35" s="239"/>
      <c r="C35" s="239"/>
      <c r="D35" s="239"/>
      <c r="E35" s="239"/>
      <c r="F35" s="239"/>
      <c r="G35" s="239"/>
      <c r="H35" s="136"/>
      <c r="I35" s="24"/>
      <c r="J35" s="119"/>
      <c r="K35" s="119"/>
      <c r="L35" s="119"/>
      <c r="M35" s="120"/>
      <c r="N35" s="121"/>
      <c r="O35" s="121"/>
      <c r="P35" s="121"/>
      <c r="Q35" s="121"/>
      <c r="R35" s="121"/>
    </row>
    <row r="36" spans="2:18" x14ac:dyDescent="0.2">
      <c r="B36" s="239"/>
      <c r="C36" s="239"/>
      <c r="D36" s="239"/>
      <c r="E36" s="239"/>
      <c r="F36" s="239"/>
      <c r="G36" s="239"/>
      <c r="H36" s="136"/>
      <c r="I36" s="24"/>
      <c r="J36" s="119"/>
      <c r="K36" s="119"/>
      <c r="L36" s="119"/>
      <c r="M36" s="120"/>
      <c r="N36" s="121"/>
      <c r="O36" s="121"/>
      <c r="P36" s="121"/>
      <c r="Q36" s="121"/>
      <c r="R36" s="121"/>
    </row>
    <row r="37" spans="2:18" ht="12.75" customHeight="1" x14ac:dyDescent="0.2">
      <c r="B37" s="324" t="s">
        <v>84</v>
      </c>
      <c r="C37" s="324"/>
      <c r="D37" s="324"/>
      <c r="E37" s="324"/>
      <c r="F37" s="324"/>
      <c r="G37" s="324"/>
      <c r="H37" s="324"/>
      <c r="I37" s="208"/>
      <c r="J37" s="137"/>
      <c r="K37" s="119"/>
      <c r="L37" s="135"/>
      <c r="M37" s="134"/>
      <c r="N37" s="121"/>
      <c r="O37" s="121"/>
      <c r="P37" s="121"/>
      <c r="Q37" s="121"/>
      <c r="R37" s="121"/>
    </row>
    <row r="38" spans="2:18" x14ac:dyDescent="0.2">
      <c r="B38" s="367"/>
      <c r="C38" s="368"/>
      <c r="D38" s="368"/>
      <c r="E38" s="368"/>
      <c r="F38" s="368"/>
      <c r="G38" s="368"/>
      <c r="H38" s="369"/>
      <c r="I38" s="208"/>
      <c r="J38" s="137"/>
      <c r="K38" s="119"/>
      <c r="L38" s="135"/>
      <c r="M38" s="134"/>
      <c r="N38" s="121"/>
      <c r="O38" s="121"/>
      <c r="P38" s="121"/>
      <c r="Q38" s="121"/>
      <c r="R38" s="121"/>
    </row>
    <row r="39" spans="2:18" x14ac:dyDescent="0.2">
      <c r="B39" s="370" t="s">
        <v>54</v>
      </c>
      <c r="C39" s="370"/>
      <c r="D39" s="370"/>
      <c r="E39" s="370"/>
      <c r="F39" s="370"/>
      <c r="G39" s="370"/>
      <c r="H39" s="370"/>
      <c r="I39" s="208"/>
      <c r="J39" s="137"/>
      <c r="K39" s="119"/>
      <c r="L39" s="135"/>
      <c r="M39" s="134"/>
      <c r="N39" s="121"/>
      <c r="O39" s="121"/>
      <c r="P39" s="121"/>
      <c r="Q39" s="121"/>
      <c r="R39" s="121"/>
    </row>
    <row r="40" spans="2:18" x14ac:dyDescent="0.2">
      <c r="B40" s="177" t="s">
        <v>56</v>
      </c>
      <c r="C40" s="280" t="s">
        <v>45</v>
      </c>
      <c r="D40" s="328"/>
      <c r="E40" s="328"/>
      <c r="F40" s="281"/>
      <c r="G40" s="177" t="s">
        <v>2</v>
      </c>
      <c r="H40" s="177" t="s">
        <v>67</v>
      </c>
      <c r="I40" s="208"/>
      <c r="J40" s="140"/>
      <c r="K40" s="119"/>
      <c r="L40" s="119"/>
      <c r="M40" s="120"/>
      <c r="N40" s="121"/>
      <c r="O40" s="121"/>
      <c r="P40" s="121"/>
      <c r="Q40" s="121"/>
      <c r="R40" s="121"/>
    </row>
    <row r="41" spans="2:18" x14ac:dyDescent="0.2">
      <c r="B41" s="247" t="s">
        <v>5</v>
      </c>
      <c r="C41" s="175" t="s">
        <v>133</v>
      </c>
      <c r="D41" s="317" t="s">
        <v>158</v>
      </c>
      <c r="E41" s="318"/>
      <c r="F41" s="319"/>
      <c r="G41" s="26">
        <f>1/12</f>
        <v>8.3333333333333329E-2</v>
      </c>
      <c r="H41" s="27">
        <f>TRUNC((H$32*$G41),2)</f>
        <v>269.05</v>
      </c>
      <c r="I41" s="195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x14ac:dyDescent="0.2">
      <c r="B42" s="247" t="s">
        <v>6</v>
      </c>
      <c r="C42" s="175" t="s">
        <v>82</v>
      </c>
      <c r="D42" s="317" t="s">
        <v>160</v>
      </c>
      <c r="E42" s="318"/>
      <c r="F42" s="319"/>
      <c r="G42" s="26">
        <f>(1/12)+(1/3/12)</f>
        <v>0.1111111111111111</v>
      </c>
      <c r="H42" s="27">
        <f>TRUNC((H$32*$G42),2)</f>
        <v>358.74</v>
      </c>
      <c r="I42" s="195"/>
      <c r="J42" s="137"/>
      <c r="K42" s="119"/>
      <c r="L42" s="119"/>
      <c r="M42" s="134"/>
      <c r="N42" s="121"/>
      <c r="O42" s="121"/>
      <c r="P42" s="121"/>
      <c r="Q42" s="121"/>
      <c r="R42" s="121"/>
    </row>
    <row r="43" spans="2:18" x14ac:dyDescent="0.2">
      <c r="B43" s="247" t="s">
        <v>159</v>
      </c>
      <c r="C43" s="280" t="s">
        <v>78</v>
      </c>
      <c r="D43" s="328"/>
      <c r="E43" s="328"/>
      <c r="F43" s="281"/>
      <c r="G43" s="28">
        <f>TRUNC(SUM(G41:G42),4)</f>
        <v>0.19439999999999999</v>
      </c>
      <c r="H43" s="23">
        <f>SUM(H41:H42)</f>
        <v>627.79</v>
      </c>
      <c r="I43" s="24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344"/>
      <c r="C44" s="343"/>
      <c r="D44" s="343"/>
      <c r="E44" s="343"/>
      <c r="F44" s="343"/>
      <c r="G44" s="343"/>
      <c r="H44" s="345"/>
      <c r="I44" s="239"/>
      <c r="J44" s="137"/>
      <c r="K44" s="119"/>
      <c r="L44" s="119"/>
      <c r="M44" s="134"/>
      <c r="N44" s="121"/>
      <c r="O44" s="121"/>
      <c r="P44" s="121"/>
      <c r="Q44" s="121"/>
      <c r="R44" s="121"/>
    </row>
    <row r="45" spans="2:18" ht="30" customHeight="1" x14ac:dyDescent="0.2">
      <c r="B45" s="350" t="s">
        <v>85</v>
      </c>
      <c r="C45" s="351"/>
      <c r="D45" s="351"/>
      <c r="E45" s="351"/>
      <c r="F45" s="351"/>
      <c r="G45" s="351"/>
      <c r="H45" s="352"/>
      <c r="I45" s="196"/>
      <c r="J45" s="138"/>
      <c r="K45" s="139"/>
      <c r="L45" s="119"/>
      <c r="M45" s="120"/>
      <c r="N45" s="121"/>
      <c r="O45" s="121"/>
      <c r="P45" s="121"/>
      <c r="Q45" s="121"/>
      <c r="R45" s="121"/>
    </row>
    <row r="46" spans="2:18" x14ac:dyDescent="0.2">
      <c r="B46" s="177" t="s">
        <v>57</v>
      </c>
      <c r="C46" s="280" t="s">
        <v>86</v>
      </c>
      <c r="D46" s="328"/>
      <c r="E46" s="328"/>
      <c r="F46" s="281"/>
      <c r="G46" s="177" t="s">
        <v>2</v>
      </c>
      <c r="H46" s="177" t="s">
        <v>67</v>
      </c>
      <c r="I46" s="208"/>
      <c r="J46" s="137"/>
      <c r="K46" s="119"/>
      <c r="L46" s="119"/>
      <c r="M46" s="134"/>
      <c r="N46" s="121"/>
      <c r="O46" s="121"/>
      <c r="P46" s="121"/>
      <c r="Q46" s="121"/>
      <c r="R46" s="121"/>
    </row>
    <row r="47" spans="2:18" x14ac:dyDescent="0.2">
      <c r="B47" s="247" t="s">
        <v>5</v>
      </c>
      <c r="C47" s="175" t="s">
        <v>48</v>
      </c>
      <c r="D47" s="317" t="s">
        <v>161</v>
      </c>
      <c r="E47" s="318"/>
      <c r="F47" s="319"/>
      <c r="G47" s="26">
        <v>0.2</v>
      </c>
      <c r="H47" s="27">
        <f>TRUNC((H$32+H$43)*$G47,2)</f>
        <v>771.29</v>
      </c>
      <c r="I47" s="195"/>
      <c r="J47" s="137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6</v>
      </c>
      <c r="C48" s="160" t="s">
        <v>49</v>
      </c>
      <c r="D48" s="317" t="s">
        <v>162</v>
      </c>
      <c r="E48" s="318"/>
      <c r="F48" s="319"/>
      <c r="G48" s="26">
        <v>2.5000000000000001E-2</v>
      </c>
      <c r="H48" s="27">
        <f>TRUNC((H$32+H$43)*$G48,2)</f>
        <v>96.41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358" t="s">
        <v>7</v>
      </c>
      <c r="C49" s="360" t="s">
        <v>124</v>
      </c>
      <c r="D49" s="362" t="s">
        <v>168</v>
      </c>
      <c r="E49" s="11" t="s">
        <v>125</v>
      </c>
      <c r="F49" s="11" t="s">
        <v>123</v>
      </c>
      <c r="G49" s="363">
        <f>E50*F50</f>
        <v>0.03</v>
      </c>
      <c r="H49" s="365">
        <f>TRUNC((H$32+H$43)*$G49,2)</f>
        <v>115.69</v>
      </c>
      <c r="I49" s="198"/>
      <c r="J49" s="353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359"/>
      <c r="C50" s="361"/>
      <c r="D50" s="362"/>
      <c r="E50" s="84">
        <v>0.03</v>
      </c>
      <c r="F50" s="85">
        <v>1</v>
      </c>
      <c r="G50" s="364"/>
      <c r="H50" s="366"/>
      <c r="I50" s="198"/>
      <c r="J50" s="353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8</v>
      </c>
      <c r="C51" s="175" t="s">
        <v>47</v>
      </c>
      <c r="D51" s="317" t="s">
        <v>163</v>
      </c>
      <c r="E51" s="318"/>
      <c r="F51" s="319"/>
      <c r="G51" s="26">
        <v>1.4999999999999999E-2</v>
      </c>
      <c r="H51" s="27">
        <f>TRUNC((H$32+H$43)*$G51,2)</f>
        <v>57.84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9</v>
      </c>
      <c r="C52" s="175" t="s">
        <v>50</v>
      </c>
      <c r="D52" s="317" t="s">
        <v>164</v>
      </c>
      <c r="E52" s="318"/>
      <c r="F52" s="319"/>
      <c r="G52" s="26">
        <v>0.01</v>
      </c>
      <c r="H52" s="27">
        <f>TRUNC((H$32+H$43)*$G52,2)</f>
        <v>38.56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10</v>
      </c>
      <c r="C53" s="175" t="s">
        <v>51</v>
      </c>
      <c r="D53" s="317" t="s">
        <v>165</v>
      </c>
      <c r="E53" s="318"/>
      <c r="F53" s="319"/>
      <c r="G53" s="26">
        <v>6.0000000000000001E-3</v>
      </c>
      <c r="H53" s="27">
        <f>TRUNC((H$32+H$43)*$G53,2)</f>
        <v>23.13</v>
      </c>
      <c r="I53" s="195"/>
      <c r="J53" s="137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247" t="s">
        <v>11</v>
      </c>
      <c r="C54" s="175" t="s">
        <v>52</v>
      </c>
      <c r="D54" s="317" t="s">
        <v>166</v>
      </c>
      <c r="E54" s="318"/>
      <c r="F54" s="319"/>
      <c r="G54" s="26">
        <v>2E-3</v>
      </c>
      <c r="H54" s="27">
        <f>TRUNC((H$32+H$43)*$G54,2)</f>
        <v>7.71</v>
      </c>
      <c r="I54" s="195"/>
      <c r="J54" s="137"/>
      <c r="K54" s="119"/>
      <c r="L54" s="119"/>
      <c r="M54" s="120"/>
      <c r="N54" s="121"/>
      <c r="O54" s="121"/>
      <c r="P54" s="121"/>
      <c r="Q54" s="121"/>
      <c r="R54" s="121"/>
    </row>
    <row r="55" spans="2:18" x14ac:dyDescent="0.2">
      <c r="B55" s="247" t="s">
        <v>12</v>
      </c>
      <c r="C55" s="175" t="s">
        <v>53</v>
      </c>
      <c r="D55" s="317" t="s">
        <v>167</v>
      </c>
      <c r="E55" s="318"/>
      <c r="F55" s="319"/>
      <c r="G55" s="26">
        <v>0.08</v>
      </c>
      <c r="H55" s="27">
        <f>TRUNC((H$32+H$43)*$G55,2)</f>
        <v>308.51</v>
      </c>
      <c r="I55" s="195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247" t="s">
        <v>169</v>
      </c>
      <c r="C56" s="280" t="s">
        <v>78</v>
      </c>
      <c r="D56" s="328"/>
      <c r="E56" s="328"/>
      <c r="F56" s="281"/>
      <c r="G56" s="29">
        <f>SUM(G47:G55)</f>
        <v>0.36800000000000005</v>
      </c>
      <c r="H56" s="30">
        <f>SUM(H47:H55)</f>
        <v>1419.1399999999999</v>
      </c>
      <c r="I56" s="24"/>
      <c r="J56" s="140"/>
      <c r="K56" s="119"/>
      <c r="L56" s="119"/>
      <c r="M56" s="120"/>
      <c r="N56" s="121"/>
      <c r="O56" s="121"/>
      <c r="P56" s="121"/>
      <c r="Q56" s="121"/>
      <c r="R56" s="121"/>
    </row>
    <row r="57" spans="2:18" x14ac:dyDescent="0.2">
      <c r="B57" s="347"/>
      <c r="C57" s="348"/>
      <c r="D57" s="348"/>
      <c r="E57" s="348"/>
      <c r="F57" s="348"/>
      <c r="G57" s="348"/>
      <c r="H57" s="349"/>
      <c r="I57" s="234"/>
      <c r="J57" s="140"/>
      <c r="K57" s="119"/>
      <c r="L57" s="119"/>
      <c r="M57" s="120"/>
      <c r="N57" s="141"/>
      <c r="O57" s="121"/>
      <c r="P57" s="121"/>
      <c r="Q57" s="121"/>
      <c r="R57" s="121"/>
    </row>
    <row r="58" spans="2:18" ht="12.75" customHeight="1" x14ac:dyDescent="0.2">
      <c r="B58" s="350" t="s">
        <v>55</v>
      </c>
      <c r="C58" s="351"/>
      <c r="D58" s="351"/>
      <c r="E58" s="351"/>
      <c r="F58" s="351"/>
      <c r="G58" s="351"/>
      <c r="H58" s="352"/>
      <c r="I58" s="234"/>
      <c r="J58" s="137"/>
      <c r="K58" s="119"/>
      <c r="L58" s="119"/>
      <c r="M58" s="120"/>
      <c r="N58" s="121"/>
      <c r="O58" s="121"/>
      <c r="P58" s="121"/>
      <c r="Q58" s="121"/>
      <c r="R58" s="121"/>
    </row>
    <row r="59" spans="2:18" x14ac:dyDescent="0.2">
      <c r="B59" s="177" t="s">
        <v>58</v>
      </c>
      <c r="C59" s="280" t="s">
        <v>59</v>
      </c>
      <c r="D59" s="328"/>
      <c r="E59" s="328"/>
      <c r="F59" s="328"/>
      <c r="G59" s="281"/>
      <c r="H59" s="177" t="s">
        <v>67</v>
      </c>
      <c r="I59" s="208"/>
      <c r="J59" s="138"/>
      <c r="K59" s="119"/>
      <c r="L59" s="119"/>
      <c r="M59" s="120"/>
      <c r="N59" s="121"/>
      <c r="O59" s="121"/>
      <c r="P59" s="121"/>
      <c r="Q59" s="121"/>
      <c r="R59" s="121"/>
    </row>
    <row r="60" spans="2:18" ht="12.75" customHeight="1" x14ac:dyDescent="0.2">
      <c r="B60" s="247" t="s">
        <v>5</v>
      </c>
      <c r="C60" s="175" t="s">
        <v>65</v>
      </c>
      <c r="D60" s="317" t="s">
        <v>172</v>
      </c>
      <c r="E60" s="318"/>
      <c r="F60" s="318"/>
      <c r="G60" s="319"/>
      <c r="H60" s="86">
        <f>(8.55*2*22)-(H26*6%)</f>
        <v>217.15320000000003</v>
      </c>
      <c r="I60" s="212"/>
      <c r="J60" s="354"/>
      <c r="K60" s="354"/>
      <c r="L60" s="354"/>
      <c r="M60" s="354"/>
      <c r="N60" s="354"/>
      <c r="O60" s="121"/>
      <c r="P60" s="121"/>
      <c r="Q60" s="121"/>
      <c r="R60" s="121"/>
    </row>
    <row r="61" spans="2:18" ht="12.75" customHeight="1" x14ac:dyDescent="0.2">
      <c r="B61" s="247" t="s">
        <v>6</v>
      </c>
      <c r="C61" s="175" t="s">
        <v>66</v>
      </c>
      <c r="D61" s="317" t="s">
        <v>173</v>
      </c>
      <c r="E61" s="318"/>
      <c r="F61" s="318"/>
      <c r="G61" s="319"/>
      <c r="H61" s="86">
        <f>15*22</f>
        <v>330</v>
      </c>
      <c r="I61" s="212"/>
      <c r="J61" s="137"/>
      <c r="K61" s="137"/>
      <c r="L61" s="137"/>
      <c r="M61" s="137"/>
      <c r="N61" s="137"/>
      <c r="O61" s="121"/>
      <c r="P61" s="121"/>
      <c r="Q61" s="121"/>
      <c r="R61" s="121"/>
    </row>
    <row r="62" spans="2:18" x14ac:dyDescent="0.2">
      <c r="B62" s="247" t="s">
        <v>7</v>
      </c>
      <c r="C62" s="175" t="s">
        <v>228</v>
      </c>
      <c r="D62" s="317" t="s">
        <v>229</v>
      </c>
      <c r="E62" s="318"/>
      <c r="F62" s="318"/>
      <c r="G62" s="319"/>
      <c r="H62" s="86">
        <v>66</v>
      </c>
      <c r="I62" s="212"/>
      <c r="J62" s="137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247" t="s">
        <v>8</v>
      </c>
      <c r="C63" s="175" t="s">
        <v>223</v>
      </c>
      <c r="D63" s="243"/>
      <c r="E63" s="244"/>
      <c r="F63" s="244"/>
      <c r="G63" s="245"/>
      <c r="H63" s="86">
        <v>5</v>
      </c>
      <c r="I63" s="212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s="142" customFormat="1" x14ac:dyDescent="0.2">
      <c r="B64" s="247" t="s">
        <v>9</v>
      </c>
      <c r="C64" s="175" t="s">
        <v>3</v>
      </c>
      <c r="D64" s="317"/>
      <c r="E64" s="318"/>
      <c r="F64" s="318"/>
      <c r="G64" s="319"/>
      <c r="H64" s="86">
        <v>0</v>
      </c>
      <c r="I64" s="212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247" t="s">
        <v>170</v>
      </c>
      <c r="C65" s="280" t="s">
        <v>78</v>
      </c>
      <c r="D65" s="328"/>
      <c r="E65" s="328"/>
      <c r="F65" s="328"/>
      <c r="G65" s="281"/>
      <c r="H65" s="30">
        <f>SUM(H60:H64)</f>
        <v>618.15319999999997</v>
      </c>
      <c r="I65" s="24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344"/>
      <c r="C66" s="343"/>
      <c r="D66" s="343"/>
      <c r="E66" s="343"/>
      <c r="F66" s="343"/>
      <c r="G66" s="343"/>
      <c r="H66" s="345"/>
      <c r="I66" s="239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346" t="s">
        <v>88</v>
      </c>
      <c r="C67" s="346"/>
      <c r="D67" s="346"/>
      <c r="E67" s="346"/>
      <c r="F67" s="346"/>
      <c r="G67" s="346"/>
      <c r="H67" s="346"/>
      <c r="I67" s="239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177">
        <v>2</v>
      </c>
      <c r="C68" s="280" t="s">
        <v>87</v>
      </c>
      <c r="D68" s="328"/>
      <c r="E68" s="328"/>
      <c r="F68" s="328"/>
      <c r="G68" s="281"/>
      <c r="H68" s="177" t="s">
        <v>67</v>
      </c>
      <c r="I68" s="208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47" t="s">
        <v>56</v>
      </c>
      <c r="C69" s="163" t="s">
        <v>45</v>
      </c>
      <c r="D69" s="317" t="s">
        <v>159</v>
      </c>
      <c r="E69" s="318"/>
      <c r="F69" s="318"/>
      <c r="G69" s="319"/>
      <c r="H69" s="27">
        <f>H43</f>
        <v>627.79</v>
      </c>
      <c r="I69" s="195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247" t="s">
        <v>57</v>
      </c>
      <c r="C70" s="163" t="s">
        <v>46</v>
      </c>
      <c r="D70" s="317" t="s">
        <v>169</v>
      </c>
      <c r="E70" s="318"/>
      <c r="F70" s="318"/>
      <c r="G70" s="319"/>
      <c r="H70" s="27">
        <f>H56</f>
        <v>1419.1399999999999</v>
      </c>
      <c r="I70" s="195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47" t="s">
        <v>58</v>
      </c>
      <c r="C71" s="163" t="s">
        <v>59</v>
      </c>
      <c r="D71" s="317" t="s">
        <v>170</v>
      </c>
      <c r="E71" s="318"/>
      <c r="F71" s="318"/>
      <c r="G71" s="319"/>
      <c r="H71" s="27">
        <f>H65</f>
        <v>618.15319999999997</v>
      </c>
      <c r="I71" s="195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247" t="s">
        <v>171</v>
      </c>
      <c r="C72" s="280" t="s">
        <v>78</v>
      </c>
      <c r="D72" s="328"/>
      <c r="E72" s="328"/>
      <c r="F72" s="328"/>
      <c r="G72" s="281"/>
      <c r="H72" s="23">
        <f>SUM(H69:H71)</f>
        <v>2665.0832</v>
      </c>
      <c r="I72" s="24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343"/>
      <c r="C73" s="343"/>
      <c r="D73" s="343"/>
      <c r="E73" s="343"/>
      <c r="F73" s="343"/>
      <c r="G73" s="343"/>
      <c r="H73" s="343"/>
      <c r="I73" s="208"/>
      <c r="J73" s="137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239"/>
      <c r="C74" s="239"/>
      <c r="D74" s="239"/>
      <c r="E74" s="239"/>
      <c r="F74" s="239"/>
      <c r="G74" s="239"/>
      <c r="H74" s="239"/>
      <c r="I74" s="208"/>
      <c r="J74" s="137"/>
      <c r="K74" s="119"/>
      <c r="L74" s="119"/>
      <c r="M74" s="120"/>
      <c r="N74" s="121"/>
      <c r="O74" s="121"/>
      <c r="P74" s="121"/>
      <c r="Q74" s="121"/>
      <c r="R74" s="121"/>
    </row>
    <row r="75" spans="2:18" x14ac:dyDescent="0.2">
      <c r="B75" s="324" t="s">
        <v>89</v>
      </c>
      <c r="C75" s="324"/>
      <c r="D75" s="324"/>
      <c r="E75" s="324"/>
      <c r="F75" s="324"/>
      <c r="G75" s="324"/>
      <c r="H75" s="324"/>
      <c r="I75" s="208"/>
      <c r="J75" s="137"/>
      <c r="K75" s="119"/>
      <c r="L75" s="119"/>
      <c r="M75" s="120"/>
      <c r="N75" s="121"/>
      <c r="O75" s="121"/>
      <c r="P75" s="121"/>
      <c r="Q75" s="121"/>
      <c r="R75" s="121"/>
    </row>
    <row r="76" spans="2:18" x14ac:dyDescent="0.2">
      <c r="B76" s="177">
        <v>3</v>
      </c>
      <c r="C76" s="280" t="s">
        <v>79</v>
      </c>
      <c r="D76" s="328"/>
      <c r="E76" s="328"/>
      <c r="F76" s="281"/>
      <c r="G76" s="177" t="s">
        <v>2</v>
      </c>
      <c r="H76" s="177" t="s">
        <v>67</v>
      </c>
      <c r="I76" s="208"/>
      <c r="J76" s="143"/>
      <c r="K76" s="119"/>
      <c r="L76" s="119"/>
      <c r="M76" s="120"/>
      <c r="N76" s="121"/>
      <c r="O76" s="121"/>
      <c r="P76" s="121"/>
      <c r="Q76" s="121"/>
      <c r="R76" s="121"/>
    </row>
    <row r="77" spans="2:18" x14ac:dyDescent="0.2">
      <c r="B77" s="247" t="s">
        <v>5</v>
      </c>
      <c r="C77" s="164" t="s">
        <v>118</v>
      </c>
      <c r="D77" s="317" t="s">
        <v>188</v>
      </c>
      <c r="E77" s="318"/>
      <c r="F77" s="319"/>
      <c r="G77" s="87">
        <v>0.3</v>
      </c>
      <c r="H77" s="31">
        <f>TRUNC((H$78+H$79)*$G77,2)</f>
        <v>151.16999999999999</v>
      </c>
      <c r="I77" s="24"/>
      <c r="J77" s="140"/>
      <c r="K77" s="119"/>
      <c r="L77" s="119"/>
      <c r="M77" s="120"/>
      <c r="N77" s="121"/>
      <c r="O77" s="144"/>
      <c r="P77" s="121"/>
      <c r="Q77" s="121"/>
      <c r="R77" s="121"/>
    </row>
    <row r="78" spans="2:18" x14ac:dyDescent="0.2">
      <c r="B78" s="247" t="s">
        <v>6</v>
      </c>
      <c r="C78" s="175" t="s">
        <v>119</v>
      </c>
      <c r="D78" s="317" t="s">
        <v>210</v>
      </c>
      <c r="E78" s="318"/>
      <c r="F78" s="319"/>
      <c r="G78" s="32"/>
      <c r="H78" s="27">
        <f>TRUNC((H$32+H$43+H$55+H$65-H60)/12,2)</f>
        <v>380.5</v>
      </c>
      <c r="I78" s="195"/>
      <c r="J78" s="137"/>
      <c r="K78" s="119"/>
      <c r="L78" s="119"/>
      <c r="M78" s="120"/>
      <c r="N78" s="121"/>
      <c r="O78" s="145"/>
      <c r="P78" s="121"/>
      <c r="Q78" s="121"/>
      <c r="R78" s="121"/>
    </row>
    <row r="79" spans="2:18" x14ac:dyDescent="0.2">
      <c r="B79" s="247" t="s">
        <v>7</v>
      </c>
      <c r="C79" s="175" t="s">
        <v>120</v>
      </c>
      <c r="D79" s="317" t="s">
        <v>200</v>
      </c>
      <c r="E79" s="319"/>
      <c r="F79" s="89">
        <v>0.4</v>
      </c>
      <c r="G79" s="32"/>
      <c r="H79" s="27">
        <f>TRUNC(H$55*$F79,2)</f>
        <v>123.4</v>
      </c>
      <c r="I79" s="195"/>
      <c r="J79" s="137"/>
      <c r="K79" s="119"/>
      <c r="L79" s="119"/>
      <c r="M79" s="120"/>
      <c r="N79" s="121"/>
      <c r="O79" s="145"/>
      <c r="P79" s="121"/>
      <c r="Q79" s="121"/>
      <c r="R79" s="121"/>
    </row>
    <row r="80" spans="2:18" x14ac:dyDescent="0.2">
      <c r="B80" s="247" t="s">
        <v>8</v>
      </c>
      <c r="C80" s="164" t="s">
        <v>121</v>
      </c>
      <c r="D80" s="317" t="s">
        <v>189</v>
      </c>
      <c r="E80" s="318"/>
      <c r="F80" s="319"/>
      <c r="G80" s="87">
        <v>1</v>
      </c>
      <c r="H80" s="168">
        <f>IF($G80&gt;=1,(TRUNC(H$81*$G80,2)),"ERRO")</f>
        <v>123.4</v>
      </c>
      <c r="I80" s="197"/>
      <c r="J80" s="137"/>
      <c r="K80" s="119"/>
      <c r="L80" s="119"/>
      <c r="M80" s="120"/>
      <c r="N80" s="121"/>
      <c r="O80" s="141"/>
      <c r="P80" s="121"/>
      <c r="Q80" s="121"/>
      <c r="R80" s="121"/>
    </row>
    <row r="81" spans="2:18" x14ac:dyDescent="0.2">
      <c r="B81" s="247" t="s">
        <v>9</v>
      </c>
      <c r="C81" s="175" t="s">
        <v>122</v>
      </c>
      <c r="D81" s="317" t="s">
        <v>200</v>
      </c>
      <c r="E81" s="319"/>
      <c r="F81" s="89">
        <v>0.4</v>
      </c>
      <c r="G81" s="32"/>
      <c r="H81" s="27">
        <f>TRUNC(H$55*$F81,2)</f>
        <v>123.4</v>
      </c>
      <c r="I81" s="195"/>
      <c r="J81" s="137"/>
      <c r="K81" s="119"/>
      <c r="L81" s="119"/>
      <c r="M81" s="120"/>
      <c r="N81" s="121"/>
      <c r="O81" s="141"/>
      <c r="P81" s="121"/>
      <c r="Q81" s="121"/>
      <c r="R81" s="121"/>
    </row>
    <row r="82" spans="2:18" x14ac:dyDescent="0.2">
      <c r="B82" s="247" t="s">
        <v>10</v>
      </c>
      <c r="C82" s="164" t="s">
        <v>207</v>
      </c>
      <c r="D82" s="341" t="s">
        <v>201</v>
      </c>
      <c r="E82" s="342"/>
      <c r="F82" s="88">
        <v>12</v>
      </c>
      <c r="G82" s="88">
        <v>3</v>
      </c>
      <c r="H82" s="27">
        <f>TRUNC(((H$32+H$43+H$56)/30)*$G82/$F82,2)</f>
        <v>43.96</v>
      </c>
      <c r="I82" s="195"/>
      <c r="J82" s="190"/>
      <c r="K82" s="120"/>
      <c r="L82" s="120"/>
      <c r="M82" s="120"/>
      <c r="N82" s="121"/>
      <c r="O82" s="141"/>
      <c r="P82" s="121"/>
      <c r="Q82" s="121"/>
      <c r="R82" s="121"/>
    </row>
    <row r="83" spans="2:18" x14ac:dyDescent="0.2">
      <c r="B83" s="247" t="s">
        <v>175</v>
      </c>
      <c r="C83" s="280" t="s">
        <v>78</v>
      </c>
      <c r="D83" s="328"/>
      <c r="E83" s="328"/>
      <c r="F83" s="328"/>
      <c r="G83" s="281"/>
      <c r="H83" s="23">
        <f>H$77+H$80+H$82</f>
        <v>318.52999999999997</v>
      </c>
      <c r="I83" s="24"/>
      <c r="J83" s="121"/>
      <c r="K83" s="121"/>
      <c r="L83" s="121"/>
      <c r="M83" s="120"/>
      <c r="N83" s="121"/>
      <c r="O83" s="121"/>
      <c r="P83" s="121"/>
      <c r="Q83" s="121"/>
      <c r="R83" s="121"/>
    </row>
    <row r="84" spans="2:18" x14ac:dyDescent="0.2">
      <c r="B84" s="185"/>
      <c r="C84" s="185"/>
      <c r="D84" s="185"/>
      <c r="E84" s="185"/>
      <c r="F84" s="185"/>
      <c r="G84" s="185"/>
      <c r="H84" s="185"/>
      <c r="I84" s="185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239"/>
      <c r="C85" s="239"/>
      <c r="D85" s="239"/>
      <c r="E85" s="239"/>
      <c r="F85" s="239"/>
      <c r="G85" s="239"/>
      <c r="H85" s="239"/>
      <c r="I85" s="208"/>
      <c r="J85" s="137"/>
      <c r="K85" s="119"/>
      <c r="L85" s="119"/>
      <c r="M85" s="120"/>
      <c r="N85" s="121"/>
      <c r="O85" s="121"/>
      <c r="P85" s="121"/>
      <c r="Q85" s="121"/>
      <c r="R85" s="121"/>
    </row>
    <row r="86" spans="2:18" x14ac:dyDescent="0.2">
      <c r="B86" s="324" t="s">
        <v>90</v>
      </c>
      <c r="C86" s="324"/>
      <c r="D86" s="324"/>
      <c r="E86" s="324"/>
      <c r="F86" s="324"/>
      <c r="G86" s="324"/>
      <c r="H86" s="324"/>
      <c r="I86" s="208"/>
      <c r="J86" s="137"/>
      <c r="K86" s="119"/>
      <c r="L86" s="119"/>
      <c r="M86" s="120"/>
      <c r="N86" s="121"/>
      <c r="O86" s="121"/>
      <c r="P86" s="121"/>
      <c r="Q86" s="121"/>
      <c r="R86" s="121"/>
    </row>
    <row r="87" spans="2:18" x14ac:dyDescent="0.2">
      <c r="B87" s="335" t="s">
        <v>110</v>
      </c>
      <c r="C87" s="336"/>
      <c r="D87" s="336"/>
      <c r="E87" s="336"/>
      <c r="F87" s="336"/>
      <c r="G87" s="336"/>
      <c r="H87" s="337"/>
      <c r="I87" s="208"/>
      <c r="J87" s="137"/>
      <c r="K87" s="119"/>
      <c r="L87" s="119"/>
      <c r="M87" s="120"/>
      <c r="N87" s="121"/>
      <c r="O87" s="121"/>
      <c r="P87" s="121"/>
      <c r="Q87" s="121"/>
      <c r="R87" s="121"/>
    </row>
    <row r="88" spans="2:18" x14ac:dyDescent="0.2">
      <c r="B88" s="177" t="s">
        <v>17</v>
      </c>
      <c r="C88" s="280" t="s">
        <v>111</v>
      </c>
      <c r="D88" s="328"/>
      <c r="E88" s="328"/>
      <c r="F88" s="281"/>
      <c r="G88" s="177" t="s">
        <v>126</v>
      </c>
      <c r="H88" s="177" t="s">
        <v>67</v>
      </c>
      <c r="I88" s="208"/>
      <c r="J88" s="119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47" t="s">
        <v>5</v>
      </c>
      <c r="C89" s="175" t="s">
        <v>132</v>
      </c>
      <c r="D89" s="317" t="s">
        <v>181</v>
      </c>
      <c r="E89" s="318"/>
      <c r="F89" s="319"/>
      <c r="G89" s="88">
        <v>30</v>
      </c>
      <c r="H89" s="27">
        <f>TRUNC((H$91*$G89)/12,2)</f>
        <v>517.66999999999996</v>
      </c>
      <c r="I89" s="195"/>
      <c r="J89" s="140"/>
      <c r="K89" s="119"/>
      <c r="L89" s="119"/>
      <c r="M89" s="120"/>
      <c r="N89" s="146"/>
      <c r="O89" s="121"/>
      <c r="P89" s="121"/>
      <c r="Q89" s="121"/>
      <c r="R89" s="121"/>
    </row>
    <row r="90" spans="2:18" ht="22.5" x14ac:dyDescent="0.2">
      <c r="B90" s="247" t="s">
        <v>6</v>
      </c>
      <c r="C90" s="165" t="s">
        <v>187</v>
      </c>
      <c r="D90" s="338" t="s">
        <v>190</v>
      </c>
      <c r="E90" s="339"/>
      <c r="F90" s="340"/>
      <c r="G90" s="114">
        <v>8</v>
      </c>
      <c r="H90" s="27">
        <f>TRUNC((H$91*$G90)/12,2)</f>
        <v>138.04</v>
      </c>
      <c r="I90" s="195"/>
      <c r="J90" s="140"/>
      <c r="K90" s="119"/>
      <c r="L90" s="119"/>
      <c r="M90" s="120"/>
      <c r="N90" s="146"/>
      <c r="O90" s="121"/>
      <c r="P90" s="121"/>
      <c r="Q90" s="121"/>
      <c r="R90" s="121"/>
    </row>
    <row r="91" spans="2:18" x14ac:dyDescent="0.2">
      <c r="B91" s="247" t="s">
        <v>7</v>
      </c>
      <c r="C91" s="175" t="s">
        <v>134</v>
      </c>
      <c r="D91" s="317" t="s">
        <v>174</v>
      </c>
      <c r="E91" s="318"/>
      <c r="F91" s="318"/>
      <c r="G91" s="319"/>
      <c r="H91" s="27">
        <f>TRUNC((H$32+H$72+H$83)/30,2)</f>
        <v>207.07</v>
      </c>
      <c r="I91" s="195"/>
      <c r="J91" s="140"/>
      <c r="K91" s="119"/>
      <c r="L91" s="119"/>
      <c r="M91" s="120"/>
      <c r="N91" s="146"/>
      <c r="O91" s="121"/>
      <c r="P91" s="121"/>
      <c r="Q91" s="121"/>
      <c r="R91" s="121"/>
    </row>
    <row r="92" spans="2:18" x14ac:dyDescent="0.2">
      <c r="B92" s="247" t="s">
        <v>176</v>
      </c>
      <c r="C92" s="280" t="s">
        <v>78</v>
      </c>
      <c r="D92" s="328"/>
      <c r="E92" s="328"/>
      <c r="F92" s="328"/>
      <c r="G92" s="281"/>
      <c r="H92" s="23">
        <f>TRUNC(H$89+H$90,2)</f>
        <v>655.71</v>
      </c>
      <c r="I92" s="24"/>
      <c r="J92" s="140"/>
      <c r="K92" s="119"/>
      <c r="L92" s="119"/>
      <c r="M92" s="120"/>
      <c r="N92" s="121"/>
      <c r="O92" s="121"/>
      <c r="P92" s="121"/>
      <c r="Q92" s="121"/>
      <c r="R92" s="121"/>
    </row>
    <row r="93" spans="2:18" x14ac:dyDescent="0.2">
      <c r="B93" s="147"/>
      <c r="C93" s="148"/>
      <c r="D93" s="148"/>
      <c r="E93" s="148"/>
      <c r="F93" s="148"/>
      <c r="G93" s="148"/>
      <c r="H93" s="149"/>
      <c r="I93" s="33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332" t="s">
        <v>112</v>
      </c>
      <c r="C94" s="333"/>
      <c r="D94" s="333"/>
      <c r="E94" s="333"/>
      <c r="F94" s="333"/>
      <c r="G94" s="333"/>
      <c r="H94" s="334"/>
      <c r="I94" s="208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177" t="s">
        <v>18</v>
      </c>
      <c r="C95" s="280" t="s">
        <v>113</v>
      </c>
      <c r="D95" s="328"/>
      <c r="E95" s="328"/>
      <c r="F95" s="281"/>
      <c r="G95" s="177" t="s">
        <v>126</v>
      </c>
      <c r="H95" s="177" t="s">
        <v>67</v>
      </c>
      <c r="I95" s="208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ht="22.5" x14ac:dyDescent="0.2">
      <c r="B96" s="247" t="s">
        <v>5</v>
      </c>
      <c r="C96" s="165" t="s">
        <v>114</v>
      </c>
      <c r="D96" s="317" t="s">
        <v>212</v>
      </c>
      <c r="E96" s="318"/>
      <c r="F96" s="319"/>
      <c r="G96" s="88"/>
      <c r="H96" s="27">
        <f>TRUNC(((H$32+H72+H83)/220)*(1+50%)*G96,2)</f>
        <v>0</v>
      </c>
      <c r="I96" s="195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247" t="s">
        <v>177</v>
      </c>
      <c r="C97" s="280" t="s">
        <v>78</v>
      </c>
      <c r="D97" s="328"/>
      <c r="E97" s="328"/>
      <c r="F97" s="328"/>
      <c r="G97" s="281"/>
      <c r="H97" s="23">
        <f>H96</f>
        <v>0</v>
      </c>
      <c r="I97" s="195"/>
      <c r="J97" s="137"/>
      <c r="K97" s="119"/>
      <c r="L97" s="119"/>
      <c r="M97" s="120"/>
      <c r="N97" s="121"/>
      <c r="O97" s="121"/>
      <c r="P97" s="121"/>
      <c r="Q97" s="121"/>
      <c r="R97" s="121"/>
    </row>
    <row r="98" spans="2:18" x14ac:dyDescent="0.2">
      <c r="B98" s="249"/>
      <c r="C98" s="250"/>
      <c r="D98" s="250"/>
      <c r="E98" s="250"/>
      <c r="F98" s="250"/>
      <c r="G98" s="250"/>
      <c r="H98" s="251"/>
      <c r="I98" s="217"/>
      <c r="J98" s="137"/>
      <c r="K98" s="119"/>
      <c r="L98" s="119"/>
      <c r="M98" s="120"/>
      <c r="N98" s="121"/>
      <c r="O98" s="121"/>
      <c r="P98" s="121"/>
      <c r="Q98" s="121"/>
      <c r="R98" s="121"/>
    </row>
    <row r="99" spans="2:18" x14ac:dyDescent="0.2">
      <c r="B99" s="332" t="s">
        <v>91</v>
      </c>
      <c r="C99" s="333"/>
      <c r="D99" s="333"/>
      <c r="E99" s="333"/>
      <c r="F99" s="333"/>
      <c r="G99" s="333"/>
      <c r="H99" s="334"/>
      <c r="I99" s="208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177">
        <v>4</v>
      </c>
      <c r="C100" s="280" t="s">
        <v>92</v>
      </c>
      <c r="D100" s="328"/>
      <c r="E100" s="328"/>
      <c r="F100" s="328"/>
      <c r="G100" s="281"/>
      <c r="H100" s="177" t="s">
        <v>67</v>
      </c>
      <c r="I100" s="208"/>
      <c r="J100" s="137"/>
      <c r="K100" s="119"/>
      <c r="L100" s="119"/>
      <c r="M100" s="120"/>
      <c r="N100" s="150"/>
      <c r="O100" s="121"/>
      <c r="P100" s="121"/>
      <c r="Q100" s="121"/>
      <c r="R100" s="121"/>
    </row>
    <row r="101" spans="2:18" x14ac:dyDescent="0.2">
      <c r="B101" s="247" t="s">
        <v>17</v>
      </c>
      <c r="C101" s="175" t="s">
        <v>60</v>
      </c>
      <c r="D101" s="317" t="s">
        <v>176</v>
      </c>
      <c r="E101" s="318"/>
      <c r="F101" s="318"/>
      <c r="G101" s="319"/>
      <c r="H101" s="27">
        <f>H92</f>
        <v>655.71</v>
      </c>
      <c r="I101" s="195"/>
      <c r="J101" s="137"/>
      <c r="K101" s="137"/>
      <c r="L101" s="137"/>
      <c r="M101" s="137"/>
      <c r="N101" s="121"/>
      <c r="O101" s="121"/>
      <c r="P101" s="121"/>
      <c r="Q101" s="121"/>
      <c r="R101" s="121"/>
    </row>
    <row r="102" spans="2:18" x14ac:dyDescent="0.2">
      <c r="B102" s="247" t="s">
        <v>18</v>
      </c>
      <c r="C102" s="175" t="s">
        <v>62</v>
      </c>
      <c r="D102" s="317" t="s">
        <v>177</v>
      </c>
      <c r="E102" s="318"/>
      <c r="F102" s="318"/>
      <c r="G102" s="319"/>
      <c r="H102" s="27">
        <f>H97</f>
        <v>0</v>
      </c>
      <c r="I102" s="195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247" t="s">
        <v>178</v>
      </c>
      <c r="C103" s="280" t="s">
        <v>78</v>
      </c>
      <c r="D103" s="328"/>
      <c r="E103" s="328"/>
      <c r="F103" s="328"/>
      <c r="G103" s="281"/>
      <c r="H103" s="23">
        <f>SUM(H101:H102)</f>
        <v>655.71</v>
      </c>
      <c r="I103" s="24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239"/>
      <c r="C104" s="239"/>
      <c r="D104" s="239"/>
      <c r="E104" s="239"/>
      <c r="F104" s="239"/>
      <c r="G104" s="239"/>
      <c r="H104" s="239"/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39"/>
      <c r="C105" s="239"/>
      <c r="D105" s="239"/>
      <c r="E105" s="239"/>
      <c r="F105" s="239"/>
      <c r="G105" s="239"/>
      <c r="H105" s="239"/>
      <c r="I105" s="208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324" t="s">
        <v>93</v>
      </c>
      <c r="C106" s="324"/>
      <c r="D106" s="324"/>
      <c r="E106" s="324"/>
      <c r="F106" s="324"/>
      <c r="G106" s="324"/>
      <c r="H106" s="324"/>
      <c r="I106" s="208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177">
        <v>5</v>
      </c>
      <c r="C107" s="329" t="s">
        <v>80</v>
      </c>
      <c r="D107" s="330"/>
      <c r="E107" s="330"/>
      <c r="F107" s="330"/>
      <c r="G107" s="331"/>
      <c r="H107" s="177" t="s">
        <v>67</v>
      </c>
      <c r="I107" s="208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47" t="s">
        <v>5</v>
      </c>
      <c r="C108" s="126" t="s">
        <v>63</v>
      </c>
      <c r="D108" s="127"/>
      <c r="E108" s="127"/>
      <c r="F108" s="127"/>
      <c r="G108" s="128"/>
      <c r="H108" s="129">
        <f>Insumos!G11</f>
        <v>105.67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6</v>
      </c>
      <c r="C109" s="126" t="s">
        <v>236</v>
      </c>
      <c r="D109" s="127"/>
      <c r="E109" s="127"/>
      <c r="F109" s="127"/>
      <c r="G109" s="128"/>
      <c r="H109" s="129">
        <f>Insumos!G24</f>
        <v>27.6</v>
      </c>
      <c r="I109" s="195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47" t="s">
        <v>7</v>
      </c>
      <c r="C110" s="126" t="s">
        <v>14</v>
      </c>
      <c r="D110" s="127"/>
      <c r="E110" s="127"/>
      <c r="F110" s="127"/>
      <c r="G110" s="128"/>
      <c r="H110" s="129">
        <f>Insumos!H94</f>
        <v>61.579999999999991</v>
      </c>
      <c r="I110" s="195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47" t="s">
        <v>8</v>
      </c>
      <c r="C111" s="126" t="s">
        <v>225</v>
      </c>
      <c r="D111" s="127"/>
      <c r="E111" s="127"/>
      <c r="F111" s="127"/>
      <c r="G111" s="128"/>
      <c r="H111" s="129">
        <f>Insumos!H39</f>
        <v>3.8</v>
      </c>
      <c r="I111" s="195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247" t="s">
        <v>179</v>
      </c>
      <c r="C112" s="161" t="s">
        <v>78</v>
      </c>
      <c r="D112" s="161"/>
      <c r="E112" s="161"/>
      <c r="F112" s="161"/>
      <c r="G112" s="162"/>
      <c r="H112" s="23">
        <f>SUM(H108:H111)</f>
        <v>198.65</v>
      </c>
      <c r="I112" s="24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239"/>
      <c r="C113" s="239"/>
      <c r="D113" s="239"/>
      <c r="E113" s="239"/>
      <c r="F113" s="239"/>
      <c r="G113" s="151"/>
      <c r="H113" s="136"/>
      <c r="I113" s="24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39"/>
      <c r="C114" s="239"/>
      <c r="D114" s="239"/>
      <c r="E114" s="239"/>
      <c r="F114" s="239"/>
      <c r="G114" s="239"/>
      <c r="H114" s="239"/>
      <c r="I114" s="208"/>
      <c r="J114" s="137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324" t="s">
        <v>94</v>
      </c>
      <c r="C115" s="324"/>
      <c r="D115" s="324"/>
      <c r="E115" s="324"/>
      <c r="F115" s="324"/>
      <c r="G115" s="324"/>
      <c r="H115" s="324"/>
      <c r="I115" s="208"/>
      <c r="J115" s="137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177">
        <v>6</v>
      </c>
      <c r="C116" s="280" t="s">
        <v>81</v>
      </c>
      <c r="D116" s="328"/>
      <c r="E116" s="328"/>
      <c r="F116" s="281"/>
      <c r="G116" s="177" t="s">
        <v>2</v>
      </c>
      <c r="H116" s="177" t="s">
        <v>67</v>
      </c>
      <c r="I116" s="20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47" t="s">
        <v>5</v>
      </c>
      <c r="C117" s="175" t="s">
        <v>19</v>
      </c>
      <c r="D117" s="317" t="s">
        <v>191</v>
      </c>
      <c r="E117" s="318"/>
      <c r="F117" s="319"/>
      <c r="G117" s="103">
        <v>0.05</v>
      </c>
      <c r="H117" s="27">
        <f>TRUNC(H$134*$G117,2)</f>
        <v>353.33</v>
      </c>
      <c r="I117" s="195"/>
      <c r="J117" s="119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6</v>
      </c>
      <c r="C118" s="175" t="s">
        <v>4</v>
      </c>
      <c r="D118" s="317" t="s">
        <v>192</v>
      </c>
      <c r="E118" s="318"/>
      <c r="F118" s="319"/>
      <c r="G118" s="103">
        <v>0.1</v>
      </c>
      <c r="H118" s="27">
        <f>TRUNC((H$134+H$117)*$G118,2)</f>
        <v>742</v>
      </c>
      <c r="I118" s="195"/>
      <c r="J118" s="119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7</v>
      </c>
      <c r="C119" s="175" t="s">
        <v>143</v>
      </c>
      <c r="D119" s="317" t="s">
        <v>193</v>
      </c>
      <c r="E119" s="318"/>
      <c r="F119" s="319"/>
      <c r="G119" s="105">
        <f>1-(G120+G121+G122)</f>
        <v>0.85749999999999993</v>
      </c>
      <c r="H119" s="34">
        <f>TRUNC(((H$134+H$117+H$118)/$G119),2)</f>
        <v>9518.3700000000008</v>
      </c>
      <c r="I119" s="198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40</v>
      </c>
      <c r="C120" s="175" t="s">
        <v>37</v>
      </c>
      <c r="D120" s="317" t="s">
        <v>194</v>
      </c>
      <c r="E120" s="318"/>
      <c r="F120" s="319"/>
      <c r="G120" s="104">
        <v>1.6500000000000001E-2</v>
      </c>
      <c r="H120" s="27">
        <f>TRUNC(H$119*$G120,2)</f>
        <v>157.05000000000001</v>
      </c>
      <c r="I120" s="195"/>
      <c r="J120" s="137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247" t="s">
        <v>41</v>
      </c>
      <c r="C121" s="175" t="s">
        <v>38</v>
      </c>
      <c r="D121" s="317" t="s">
        <v>194</v>
      </c>
      <c r="E121" s="318"/>
      <c r="F121" s="319"/>
      <c r="G121" s="104">
        <v>7.5999999999999998E-2</v>
      </c>
      <c r="H121" s="27">
        <f>TRUNC(H$119*$G121,2)</f>
        <v>723.39</v>
      </c>
      <c r="I121" s="195"/>
      <c r="J121" s="137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247" t="s">
        <v>42</v>
      </c>
      <c r="C122" s="175" t="s">
        <v>39</v>
      </c>
      <c r="D122" s="317" t="s">
        <v>194</v>
      </c>
      <c r="E122" s="318"/>
      <c r="F122" s="319"/>
      <c r="G122" s="104">
        <v>0.05</v>
      </c>
      <c r="H122" s="27">
        <f>TRUNC(H$119*$G122,2)</f>
        <v>475.91</v>
      </c>
      <c r="I122" s="195"/>
      <c r="J122" s="137"/>
      <c r="K122" s="119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47" t="s">
        <v>180</v>
      </c>
      <c r="C123" s="242" t="s">
        <v>78</v>
      </c>
      <c r="D123" s="309" t="s">
        <v>182</v>
      </c>
      <c r="E123" s="309"/>
      <c r="F123" s="309"/>
      <c r="G123" s="310"/>
      <c r="H123" s="23">
        <f>SUM(H117:H122)-H119</f>
        <v>2451.6799999999985</v>
      </c>
      <c r="I123" s="24"/>
      <c r="J123" s="140"/>
      <c r="K123" s="119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124"/>
      <c r="C124" s="124"/>
      <c r="D124" s="124"/>
      <c r="E124" s="124"/>
      <c r="F124" s="124"/>
      <c r="G124" s="124"/>
      <c r="H124" s="152"/>
      <c r="I124" s="35"/>
      <c r="J124" s="119"/>
      <c r="K124" s="119"/>
      <c r="L124" s="119"/>
      <c r="M124" s="120"/>
      <c r="N124" s="121"/>
      <c r="O124" s="121"/>
      <c r="P124" s="121"/>
      <c r="Q124" s="121"/>
      <c r="R124" s="121"/>
    </row>
    <row r="125" spans="2:18" x14ac:dyDescent="0.2">
      <c r="B125" s="323" t="s">
        <v>319</v>
      </c>
      <c r="C125" s="323"/>
      <c r="D125" s="323"/>
      <c r="E125" s="323"/>
      <c r="F125" s="323"/>
      <c r="G125" s="323"/>
      <c r="H125" s="323"/>
      <c r="I125" s="209"/>
      <c r="J125" s="119"/>
      <c r="K125" s="153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241"/>
      <c r="C126" s="241"/>
      <c r="D126" s="241"/>
      <c r="E126" s="241"/>
      <c r="F126" s="241"/>
      <c r="G126" s="241"/>
      <c r="H126" s="241"/>
      <c r="I126" s="209"/>
      <c r="J126" s="119"/>
      <c r="K126" s="153"/>
      <c r="L126" s="119"/>
      <c r="M126" s="120"/>
      <c r="N126" s="121"/>
      <c r="O126" s="121"/>
      <c r="P126" s="121"/>
      <c r="Q126" s="121"/>
      <c r="R126" s="121"/>
    </row>
    <row r="127" spans="2:18" x14ac:dyDescent="0.2">
      <c r="B127" s="324" t="s">
        <v>116</v>
      </c>
      <c r="C127" s="324"/>
      <c r="D127" s="324"/>
      <c r="E127" s="324"/>
      <c r="F127" s="324"/>
      <c r="G127" s="324"/>
      <c r="H127" s="324"/>
      <c r="I127" s="208"/>
      <c r="J127" s="119"/>
      <c r="K127" s="153"/>
      <c r="L127" s="119"/>
      <c r="M127" s="120"/>
      <c r="N127" s="121"/>
      <c r="O127" s="121"/>
      <c r="P127" s="121"/>
      <c r="Q127" s="121"/>
      <c r="R127" s="121"/>
    </row>
    <row r="128" spans="2:18" ht="12.75" customHeight="1" x14ac:dyDescent="0.2">
      <c r="B128" s="36"/>
      <c r="C128" s="325" t="s">
        <v>144</v>
      </c>
      <c r="D128" s="326"/>
      <c r="E128" s="326"/>
      <c r="F128" s="326"/>
      <c r="G128" s="327"/>
      <c r="H128" s="177" t="s">
        <v>67</v>
      </c>
      <c r="I128" s="208"/>
      <c r="J128" s="119"/>
      <c r="K128" s="119"/>
      <c r="L128" s="119"/>
      <c r="M128" s="120"/>
      <c r="N128" s="121"/>
      <c r="O128" s="121"/>
      <c r="P128" s="121"/>
      <c r="Q128" s="121"/>
      <c r="R128" s="121"/>
    </row>
    <row r="129" spans="2:18" x14ac:dyDescent="0.2">
      <c r="B129" s="247" t="s">
        <v>5</v>
      </c>
      <c r="C129" s="165" t="s">
        <v>97</v>
      </c>
      <c r="D129" s="317" t="s">
        <v>157</v>
      </c>
      <c r="E129" s="318"/>
      <c r="F129" s="318"/>
      <c r="G129" s="319"/>
      <c r="H129" s="27">
        <f>H32</f>
        <v>3228.7000000000003</v>
      </c>
      <c r="I129" s="195"/>
      <c r="J129" s="119"/>
      <c r="K129" s="119"/>
      <c r="L129" s="119"/>
      <c r="M129" s="120"/>
      <c r="N129" s="121"/>
      <c r="O129" s="121"/>
      <c r="P129" s="121"/>
      <c r="Q129" s="121"/>
      <c r="R129" s="121"/>
    </row>
    <row r="130" spans="2:18" ht="22.5" x14ac:dyDescent="0.2">
      <c r="B130" s="247" t="s">
        <v>6</v>
      </c>
      <c r="C130" s="165" t="s">
        <v>98</v>
      </c>
      <c r="D130" s="317" t="s">
        <v>171</v>
      </c>
      <c r="E130" s="318"/>
      <c r="F130" s="318"/>
      <c r="G130" s="319"/>
      <c r="H130" s="27">
        <f>H72</f>
        <v>2665.0832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47" t="s">
        <v>7</v>
      </c>
      <c r="C131" s="165" t="s">
        <v>99</v>
      </c>
      <c r="D131" s="317" t="s">
        <v>175</v>
      </c>
      <c r="E131" s="318"/>
      <c r="F131" s="318"/>
      <c r="G131" s="319"/>
      <c r="H131" s="27">
        <f>H83</f>
        <v>318.52999999999997</v>
      </c>
      <c r="I131" s="195"/>
      <c r="J131" s="119"/>
      <c r="K131" s="153"/>
      <c r="L131" s="119"/>
      <c r="M131" s="120"/>
      <c r="N131" s="121"/>
      <c r="O131" s="121"/>
      <c r="P131" s="121"/>
      <c r="Q131" s="121"/>
      <c r="R131" s="121"/>
    </row>
    <row r="132" spans="2:18" ht="22.5" x14ac:dyDescent="0.2">
      <c r="B132" s="247" t="s">
        <v>8</v>
      </c>
      <c r="C132" s="165" t="s">
        <v>61</v>
      </c>
      <c r="D132" s="317" t="s">
        <v>178</v>
      </c>
      <c r="E132" s="318"/>
      <c r="F132" s="318"/>
      <c r="G132" s="319"/>
      <c r="H132" s="27">
        <f>H103</f>
        <v>655.71</v>
      </c>
      <c r="I132" s="195"/>
      <c r="J132" s="119"/>
      <c r="K132" s="153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47" t="s">
        <v>9</v>
      </c>
      <c r="C133" s="165" t="s">
        <v>100</v>
      </c>
      <c r="D133" s="317" t="s">
        <v>179</v>
      </c>
      <c r="E133" s="318"/>
      <c r="F133" s="318"/>
      <c r="G133" s="319"/>
      <c r="H133" s="27">
        <f>H112</f>
        <v>198.65</v>
      </c>
      <c r="I133" s="195"/>
      <c r="J133" s="119"/>
      <c r="K133" s="119"/>
      <c r="L133" s="119"/>
      <c r="M133" s="120"/>
      <c r="N133" s="121"/>
      <c r="O133" s="121"/>
      <c r="P133" s="121"/>
      <c r="Q133" s="121"/>
      <c r="R133" s="121"/>
    </row>
    <row r="134" spans="2:18" x14ac:dyDescent="0.2">
      <c r="B134" s="246" t="s">
        <v>10</v>
      </c>
      <c r="C134" s="164" t="s">
        <v>64</v>
      </c>
      <c r="D134" s="320" t="s">
        <v>198</v>
      </c>
      <c r="E134" s="321"/>
      <c r="F134" s="321"/>
      <c r="G134" s="322"/>
      <c r="H134" s="31">
        <f>SUM(H129:H133)</f>
        <v>7066.6731999999993</v>
      </c>
      <c r="I134" s="24"/>
      <c r="J134" s="119"/>
      <c r="K134" s="154"/>
      <c r="L134" s="119"/>
      <c r="M134" s="120"/>
      <c r="N134" s="121"/>
      <c r="O134" s="121"/>
      <c r="P134" s="121"/>
      <c r="Q134" s="121"/>
      <c r="R134" s="121"/>
    </row>
    <row r="135" spans="2:18" x14ac:dyDescent="0.2">
      <c r="B135" s="247" t="s">
        <v>11</v>
      </c>
      <c r="C135" s="175" t="s">
        <v>101</v>
      </c>
      <c r="D135" s="317" t="s">
        <v>180</v>
      </c>
      <c r="E135" s="318"/>
      <c r="F135" s="318"/>
      <c r="G135" s="319"/>
      <c r="H135" s="27">
        <f>H123</f>
        <v>2451.6799999999985</v>
      </c>
      <c r="I135" s="195"/>
      <c r="J135" s="119"/>
      <c r="K135" s="119"/>
      <c r="L135" s="119"/>
      <c r="M135" s="120"/>
      <c r="N135" s="121"/>
      <c r="O135" s="121"/>
      <c r="P135" s="121"/>
      <c r="Q135" s="121"/>
      <c r="R135" s="121"/>
    </row>
    <row r="136" spans="2:18" x14ac:dyDescent="0.2">
      <c r="B136" s="247" t="s">
        <v>183</v>
      </c>
      <c r="C136" s="238" t="s">
        <v>96</v>
      </c>
      <c r="D136" s="308" t="s">
        <v>197</v>
      </c>
      <c r="E136" s="309"/>
      <c r="F136" s="309"/>
      <c r="G136" s="310"/>
      <c r="H136" s="37">
        <f>SUM(H134:H135)</f>
        <v>9518.3531999999977</v>
      </c>
      <c r="I136" s="213"/>
      <c r="J136" s="119"/>
      <c r="K136" s="155"/>
      <c r="L136" s="119"/>
      <c r="M136" s="120"/>
      <c r="N136" s="121"/>
      <c r="O136" s="121"/>
      <c r="P136" s="121"/>
      <c r="Q136" s="121"/>
      <c r="R136" s="121"/>
    </row>
    <row r="137" spans="2:18" ht="12.75" hidden="1" customHeight="1" x14ac:dyDescent="0.2">
      <c r="B137" s="14"/>
      <c r="C137" s="14"/>
      <c r="D137" s="14"/>
      <c r="E137" s="14"/>
      <c r="F137" s="14"/>
      <c r="G137" s="14"/>
      <c r="H137" s="38"/>
      <c r="I137" s="214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40.5" hidden="1" customHeight="1" x14ac:dyDescent="0.2">
      <c r="B138" s="39"/>
      <c r="C138" s="39" t="s">
        <v>20</v>
      </c>
      <c r="D138" s="39"/>
      <c r="E138" s="39"/>
      <c r="F138" s="39"/>
      <c r="G138" s="40"/>
      <c r="H138" s="40"/>
      <c r="I138" s="215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39" hidden="1" customHeight="1" x14ac:dyDescent="0.2">
      <c r="B139" s="311" t="s">
        <v>22</v>
      </c>
      <c r="C139" s="312"/>
      <c r="D139" s="252"/>
      <c r="E139" s="252"/>
      <c r="F139" s="252"/>
      <c r="G139" s="41" t="s">
        <v>21</v>
      </c>
      <c r="H139" s="42" t="s">
        <v>0</v>
      </c>
      <c r="I139" s="215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3" t="s">
        <v>23</v>
      </c>
      <c r="C140" s="314"/>
      <c r="D140" s="43"/>
      <c r="E140" s="43"/>
      <c r="F140" s="43"/>
      <c r="G140" s="44"/>
      <c r="H140" s="45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315" t="s">
        <v>24</v>
      </c>
      <c r="C141" s="316"/>
      <c r="D141" s="46"/>
      <c r="E141" s="46"/>
      <c r="F141" s="46"/>
      <c r="G141" s="47"/>
      <c r="H141" s="48">
        <v>0</v>
      </c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2.75" hidden="1" customHeight="1" x14ac:dyDescent="0.2">
      <c r="B142" s="315" t="s">
        <v>25</v>
      </c>
      <c r="C142" s="316"/>
      <c r="D142" s="46"/>
      <c r="E142" s="46"/>
      <c r="F142" s="46"/>
      <c r="G142" s="47"/>
      <c r="H142" s="48">
        <v>0</v>
      </c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2.75" hidden="1" customHeight="1" x14ac:dyDescent="0.2">
      <c r="B143" s="315" t="s">
        <v>26</v>
      </c>
      <c r="C143" s="316"/>
      <c r="D143" s="46"/>
      <c r="E143" s="46"/>
      <c r="F143" s="46"/>
      <c r="G143" s="47"/>
      <c r="H143" s="48">
        <v>0</v>
      </c>
      <c r="I143" s="199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299"/>
      <c r="C144" s="300"/>
      <c r="D144" s="49"/>
      <c r="E144" s="49"/>
      <c r="F144" s="49"/>
      <c r="G144" s="50"/>
      <c r="H144" s="48"/>
      <c r="I144" s="199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3.5" hidden="1" customHeight="1" x14ac:dyDescent="0.2">
      <c r="B145" s="301"/>
      <c r="C145" s="302"/>
      <c r="D145" s="51"/>
      <c r="E145" s="51"/>
      <c r="F145" s="51"/>
      <c r="G145" s="52"/>
      <c r="H145" s="53"/>
      <c r="I145" s="199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54" t="s">
        <v>27</v>
      </c>
      <c r="C146" s="55"/>
      <c r="D146" s="55"/>
      <c r="E146" s="55"/>
      <c r="F146" s="55"/>
      <c r="G146" s="56"/>
      <c r="H146" s="57">
        <f>SUM(H144:H145)</f>
        <v>0</v>
      </c>
      <c r="I146" s="200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2.75" hidden="1" customHeight="1" x14ac:dyDescent="0.2">
      <c r="B147" s="14"/>
      <c r="C147" s="14"/>
      <c r="D147" s="14"/>
      <c r="E147" s="14"/>
      <c r="F147" s="14"/>
      <c r="G147" s="14"/>
      <c r="H147" s="14"/>
      <c r="I147" s="18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3.5" hidden="1" customHeight="1" x14ac:dyDescent="0.2">
      <c r="B148" s="39" t="s">
        <v>28</v>
      </c>
      <c r="C148" s="39" t="s">
        <v>29</v>
      </c>
      <c r="D148" s="39"/>
      <c r="E148" s="39"/>
      <c r="F148" s="39"/>
      <c r="G148" s="40"/>
      <c r="H148" s="40"/>
      <c r="I148" s="215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58" t="s">
        <v>30</v>
      </c>
      <c r="C149" s="59"/>
      <c r="D149" s="59"/>
      <c r="E149" s="59"/>
      <c r="F149" s="59"/>
      <c r="G149" s="59"/>
      <c r="H149" s="60"/>
      <c r="I149" s="215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2.75" hidden="1" customHeight="1" x14ac:dyDescent="0.2">
      <c r="B150" s="61"/>
      <c r="C150" s="62" t="s">
        <v>31</v>
      </c>
      <c r="D150" s="63"/>
      <c r="E150" s="63"/>
      <c r="F150" s="63"/>
      <c r="G150" s="64"/>
      <c r="H150" s="42" t="s">
        <v>0</v>
      </c>
      <c r="I150" s="215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2.75" hidden="1" customHeight="1" x14ac:dyDescent="0.2">
      <c r="B151" s="65" t="s">
        <v>5</v>
      </c>
      <c r="C151" s="66" t="s">
        <v>32</v>
      </c>
      <c r="D151" s="67"/>
      <c r="E151" s="67"/>
      <c r="F151" s="67"/>
      <c r="G151" s="68"/>
      <c r="H151" s="69">
        <f>H120</f>
        <v>157.05000000000001</v>
      </c>
      <c r="I151" s="199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3.5" hidden="1" customHeight="1" x14ac:dyDescent="0.2">
      <c r="B152" s="70" t="s">
        <v>6</v>
      </c>
      <c r="C152" s="71" t="s">
        <v>33</v>
      </c>
      <c r="D152" s="72"/>
      <c r="E152" s="72"/>
      <c r="F152" s="72"/>
      <c r="G152" s="73"/>
      <c r="H152" s="74" t="e">
        <f>#REF!</f>
        <v>#REF!</v>
      </c>
      <c r="I152" s="199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3.5" hidden="1" customHeight="1" x14ac:dyDescent="0.2">
      <c r="B153" s="70" t="s">
        <v>7</v>
      </c>
      <c r="C153" s="75" t="s">
        <v>34</v>
      </c>
      <c r="D153" s="76"/>
      <c r="E153" s="76"/>
      <c r="F153" s="76"/>
      <c r="G153" s="77"/>
      <c r="H153" s="74">
        <f>H123</f>
        <v>2451.6799999999985</v>
      </c>
      <c r="I153" s="199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ht="13.5" hidden="1" customHeight="1" x14ac:dyDescent="0.2">
      <c r="B154" s="78" t="s">
        <v>16</v>
      </c>
      <c r="C154" s="79"/>
      <c r="D154" s="79"/>
      <c r="E154" s="79"/>
      <c r="F154" s="79"/>
      <c r="G154" s="80"/>
      <c r="H154" s="57" t="e">
        <f>SUM(H151:H153)</f>
        <v>#REF!</v>
      </c>
      <c r="I154" s="200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ht="12.75" hidden="1" customHeight="1" x14ac:dyDescent="0.2">
      <c r="B155" s="81" t="s">
        <v>15</v>
      </c>
      <c r="C155" s="14" t="s">
        <v>35</v>
      </c>
      <c r="D155" s="14"/>
      <c r="E155" s="14"/>
      <c r="F155" s="14"/>
      <c r="G155" s="14"/>
      <c r="H155" s="14"/>
      <c r="I155" s="18"/>
      <c r="J155" s="156"/>
      <c r="K155" s="156"/>
      <c r="L155" s="156"/>
      <c r="M155" s="121"/>
      <c r="N155" s="121"/>
      <c r="O155" s="121"/>
      <c r="P155" s="121"/>
      <c r="Q155" s="121"/>
      <c r="R155" s="121"/>
    </row>
    <row r="156" spans="2:18" ht="12.75" hidden="1" customHeight="1" x14ac:dyDescent="0.2">
      <c r="B156" s="14"/>
      <c r="C156" s="14"/>
      <c r="D156" s="14"/>
      <c r="E156" s="14"/>
      <c r="F156" s="14"/>
      <c r="G156" s="14"/>
      <c r="H156" s="14"/>
      <c r="I156" s="18"/>
      <c r="J156" s="156"/>
      <c r="K156" s="156"/>
      <c r="L156" s="156"/>
      <c r="M156" s="121"/>
      <c r="N156" s="121"/>
      <c r="O156" s="121"/>
      <c r="P156" s="121"/>
      <c r="Q156" s="121"/>
      <c r="R156" s="121"/>
    </row>
    <row r="157" spans="2:18" x14ac:dyDescent="0.2">
      <c r="I157" s="18"/>
      <c r="J157" s="156"/>
      <c r="K157" s="156"/>
      <c r="L157" s="156"/>
      <c r="M157" s="121"/>
      <c r="N157" s="121"/>
      <c r="O157" s="121"/>
      <c r="P157" s="121"/>
      <c r="Q157" s="121"/>
      <c r="R157" s="121"/>
    </row>
    <row r="158" spans="2:18" x14ac:dyDescent="0.2">
      <c r="B158" s="303" t="s">
        <v>320</v>
      </c>
      <c r="C158" s="303"/>
      <c r="D158" s="303"/>
      <c r="E158" s="303"/>
      <c r="F158" s="303"/>
      <c r="I158" s="18"/>
      <c r="J158" s="188"/>
      <c r="K158" s="157"/>
      <c r="L158" s="156"/>
      <c r="M158" s="121"/>
      <c r="N158" s="121"/>
      <c r="O158" s="121"/>
      <c r="P158" s="121"/>
      <c r="Q158" s="121"/>
      <c r="R158" s="121"/>
    </row>
    <row r="159" spans="2:18" x14ac:dyDescent="0.2">
      <c r="B159" s="158"/>
      <c r="C159" s="158"/>
      <c r="D159" s="158"/>
      <c r="E159" s="142"/>
      <c r="F159" s="142"/>
      <c r="I159" s="18"/>
    </row>
    <row r="160" spans="2:18" x14ac:dyDescent="0.2">
      <c r="B160" s="304" t="s">
        <v>202</v>
      </c>
      <c r="C160" s="304"/>
      <c r="D160" s="304"/>
      <c r="E160" s="304"/>
      <c r="F160" s="304"/>
      <c r="G160" s="304"/>
      <c r="H160" s="304"/>
      <c r="I160" s="210"/>
      <c r="J160" s="188"/>
    </row>
    <row r="161" spans="2:14" x14ac:dyDescent="0.2">
      <c r="B161" s="247" t="s">
        <v>5</v>
      </c>
      <c r="C161" s="167" t="s">
        <v>127</v>
      </c>
      <c r="D161" s="292" t="s">
        <v>183</v>
      </c>
      <c r="E161" s="293"/>
      <c r="F161" s="293"/>
      <c r="G161" s="294"/>
      <c r="H161" s="12">
        <f>H136</f>
        <v>9518.3531999999977</v>
      </c>
      <c r="I161" s="207"/>
    </row>
    <row r="162" spans="2:14" ht="22.5" x14ac:dyDescent="0.2">
      <c r="B162" s="247" t="s">
        <v>6</v>
      </c>
      <c r="C162" s="166" t="s">
        <v>185</v>
      </c>
      <c r="D162" s="292" t="s">
        <v>186</v>
      </c>
      <c r="E162" s="293"/>
      <c r="F162" s="293"/>
      <c r="G162" s="294"/>
      <c r="H162" s="12">
        <f>H43+H83+H101</f>
        <v>1602.03</v>
      </c>
      <c r="I162" s="201"/>
    </row>
    <row r="163" spans="2:14" ht="22.5" x14ac:dyDescent="0.2">
      <c r="B163" s="247" t="s">
        <v>7</v>
      </c>
      <c r="C163" s="205" t="s">
        <v>203</v>
      </c>
      <c r="D163" s="305" t="s">
        <v>211</v>
      </c>
      <c r="E163" s="306"/>
      <c r="F163" s="306"/>
      <c r="G163" s="307"/>
      <c r="H163" s="206">
        <f>TRUNC((H$43*$G56),2)</f>
        <v>231.02</v>
      </c>
      <c r="I163" s="207"/>
      <c r="J163" s="187"/>
    </row>
    <row r="164" spans="2:14" ht="12.75" customHeight="1" x14ac:dyDescent="0.2">
      <c r="B164" s="247" t="s">
        <v>8</v>
      </c>
      <c r="C164" s="166" t="s">
        <v>19</v>
      </c>
      <c r="D164" s="289" t="s">
        <v>195</v>
      </c>
      <c r="E164" s="290"/>
      <c r="F164" s="291"/>
      <c r="G164" s="13">
        <f>G117</f>
        <v>0.05</v>
      </c>
      <c r="H164" s="12">
        <f>TRUNC((H$162+H$163)*$G164,2)</f>
        <v>91.65</v>
      </c>
      <c r="I164" s="201"/>
      <c r="J164" s="288"/>
      <c r="K164" s="288"/>
      <c r="L164" s="288"/>
      <c r="M164" s="288"/>
      <c r="N164" s="288"/>
    </row>
    <row r="165" spans="2:14" ht="12.75" customHeight="1" x14ac:dyDescent="0.2">
      <c r="B165" s="247" t="s">
        <v>9</v>
      </c>
      <c r="C165" s="166" t="s">
        <v>4</v>
      </c>
      <c r="D165" s="289" t="s">
        <v>196</v>
      </c>
      <c r="E165" s="290"/>
      <c r="F165" s="291"/>
      <c r="G165" s="13">
        <f>G118</f>
        <v>0.1</v>
      </c>
      <c r="H165" s="12">
        <f>TRUNC((H$162+H$163+H$164)*$G165,2)</f>
        <v>192.47</v>
      </c>
      <c r="I165" s="201"/>
      <c r="J165" s="288"/>
      <c r="K165" s="288"/>
      <c r="L165" s="288"/>
      <c r="M165" s="288"/>
      <c r="N165" s="288"/>
    </row>
    <row r="166" spans="2:14" ht="12.75" customHeight="1" x14ac:dyDescent="0.2">
      <c r="B166" s="247" t="s">
        <v>10</v>
      </c>
      <c r="C166" s="166" t="s">
        <v>128</v>
      </c>
      <c r="D166" s="289" t="s">
        <v>205</v>
      </c>
      <c r="E166" s="290"/>
      <c r="F166" s="291"/>
      <c r="G166" s="13">
        <f>G120+G121+G122</f>
        <v>0.14250000000000002</v>
      </c>
      <c r="H166" s="12">
        <f>TRUNC((H$162+H$163+H$164+H$165)/(1-$G166)-(H$162+H$163+H$164+H$165),2)</f>
        <v>351.83</v>
      </c>
      <c r="I166" s="201"/>
      <c r="J166" s="288"/>
      <c r="K166" s="288"/>
      <c r="L166" s="288"/>
      <c r="M166" s="288"/>
      <c r="N166" s="288"/>
    </row>
    <row r="167" spans="2:14" ht="22.5" x14ac:dyDescent="0.2">
      <c r="B167" s="247" t="s">
        <v>11</v>
      </c>
      <c r="C167" s="274" t="s">
        <v>129</v>
      </c>
      <c r="D167" s="292" t="s">
        <v>206</v>
      </c>
      <c r="E167" s="293"/>
      <c r="F167" s="293"/>
      <c r="G167" s="294"/>
      <c r="H167" s="275">
        <f>SUM(H162:H166)</f>
        <v>2469</v>
      </c>
      <c r="I167" s="202"/>
    </row>
    <row r="168" spans="2:14" x14ac:dyDescent="0.2">
      <c r="B168" s="273" t="s">
        <v>184</v>
      </c>
      <c r="C168" s="276" t="s">
        <v>154</v>
      </c>
      <c r="D168" s="295" t="s">
        <v>204</v>
      </c>
      <c r="E168" s="296"/>
      <c r="F168" s="296"/>
      <c r="G168" s="297"/>
      <c r="H168" s="277">
        <f>H161-H167</f>
        <v>7049.3531999999977</v>
      </c>
      <c r="I168" s="216"/>
    </row>
    <row r="169" spans="2:14" ht="45" customHeight="1" x14ac:dyDescent="0.2">
      <c r="B169" s="298" t="s">
        <v>153</v>
      </c>
      <c r="C169" s="298"/>
      <c r="D169" s="298"/>
      <c r="E169" s="298"/>
      <c r="F169" s="298"/>
      <c r="G169" s="298"/>
      <c r="H169" s="298"/>
      <c r="I169" s="203"/>
    </row>
  </sheetData>
  <mergeCells count="141">
    <mergeCell ref="B169:H169"/>
    <mergeCell ref="D164:F164"/>
    <mergeCell ref="J164:N166"/>
    <mergeCell ref="D165:F165"/>
    <mergeCell ref="D166:F166"/>
    <mergeCell ref="D167:G167"/>
    <mergeCell ref="D168:G168"/>
    <mergeCell ref="B145:C145"/>
    <mergeCell ref="B158:F158"/>
    <mergeCell ref="B160:H160"/>
    <mergeCell ref="D161:G161"/>
    <mergeCell ref="D162:G162"/>
    <mergeCell ref="D163:G163"/>
    <mergeCell ref="B139:C139"/>
    <mergeCell ref="B140:C140"/>
    <mergeCell ref="B141:C141"/>
    <mergeCell ref="B142:C142"/>
    <mergeCell ref="B143:C143"/>
    <mergeCell ref="B144:C144"/>
    <mergeCell ref="D131:G131"/>
    <mergeCell ref="D132:G132"/>
    <mergeCell ref="D133:G133"/>
    <mergeCell ref="D134:G134"/>
    <mergeCell ref="D135:G135"/>
    <mergeCell ref="D136:G136"/>
    <mergeCell ref="D123:G123"/>
    <mergeCell ref="B125:H125"/>
    <mergeCell ref="B127:H127"/>
    <mergeCell ref="C128:G128"/>
    <mergeCell ref="D129:G129"/>
    <mergeCell ref="D130:G130"/>
    <mergeCell ref="D117:F117"/>
    <mergeCell ref="D118:F118"/>
    <mergeCell ref="D119:F119"/>
    <mergeCell ref="D120:F120"/>
    <mergeCell ref="D121:F121"/>
    <mergeCell ref="D122:F122"/>
    <mergeCell ref="D102:G102"/>
    <mergeCell ref="C103:G103"/>
    <mergeCell ref="B106:H106"/>
    <mergeCell ref="C107:G107"/>
    <mergeCell ref="B115:H115"/>
    <mergeCell ref="C116:F116"/>
    <mergeCell ref="C95:F95"/>
    <mergeCell ref="D96:F96"/>
    <mergeCell ref="C97:G97"/>
    <mergeCell ref="B99:H99"/>
    <mergeCell ref="C100:G100"/>
    <mergeCell ref="D101:G101"/>
    <mergeCell ref="C88:F88"/>
    <mergeCell ref="D89:F89"/>
    <mergeCell ref="D90:F90"/>
    <mergeCell ref="D91:G91"/>
    <mergeCell ref="C92:G92"/>
    <mergeCell ref="B94:H94"/>
    <mergeCell ref="D80:F80"/>
    <mergeCell ref="D81:E81"/>
    <mergeCell ref="D82:E82"/>
    <mergeCell ref="C83:G83"/>
    <mergeCell ref="B86:H86"/>
    <mergeCell ref="B87:H87"/>
    <mergeCell ref="B73:H73"/>
    <mergeCell ref="B75:H75"/>
    <mergeCell ref="C76:F76"/>
    <mergeCell ref="D77:F77"/>
    <mergeCell ref="D78:F78"/>
    <mergeCell ref="D79:E79"/>
    <mergeCell ref="B67:H67"/>
    <mergeCell ref="C68:G68"/>
    <mergeCell ref="D69:G69"/>
    <mergeCell ref="D70:G70"/>
    <mergeCell ref="D71:G71"/>
    <mergeCell ref="C72:G72"/>
    <mergeCell ref="J60:N60"/>
    <mergeCell ref="D61:G61"/>
    <mergeCell ref="D62:G62"/>
    <mergeCell ref="D64:G64"/>
    <mergeCell ref="C65:G65"/>
    <mergeCell ref="B66:H66"/>
    <mergeCell ref="D55:F55"/>
    <mergeCell ref="C56:F56"/>
    <mergeCell ref="B57:H57"/>
    <mergeCell ref="B58:H58"/>
    <mergeCell ref="C59:G59"/>
    <mergeCell ref="D60:G60"/>
    <mergeCell ref="H49:H50"/>
    <mergeCell ref="J49:J50"/>
    <mergeCell ref="D51:F51"/>
    <mergeCell ref="D52:F52"/>
    <mergeCell ref="D53:F53"/>
    <mergeCell ref="D54:F54"/>
    <mergeCell ref="D47:F47"/>
    <mergeCell ref="D48:F48"/>
    <mergeCell ref="B49:B50"/>
    <mergeCell ref="C49:C50"/>
    <mergeCell ref="D49:D50"/>
    <mergeCell ref="G49:G50"/>
    <mergeCell ref="D41:F41"/>
    <mergeCell ref="D42:F42"/>
    <mergeCell ref="C43:F43"/>
    <mergeCell ref="B44:H44"/>
    <mergeCell ref="B45:H45"/>
    <mergeCell ref="C46:F46"/>
    <mergeCell ref="C32:F32"/>
    <mergeCell ref="C33:F34"/>
    <mergeCell ref="B37:H37"/>
    <mergeCell ref="B38:H38"/>
    <mergeCell ref="B39:H39"/>
    <mergeCell ref="C40:F40"/>
    <mergeCell ref="D26:F26"/>
    <mergeCell ref="D27:F27"/>
    <mergeCell ref="D28:F28"/>
    <mergeCell ref="D29:F29"/>
    <mergeCell ref="D30:F30"/>
    <mergeCell ref="D31:F31"/>
    <mergeCell ref="B19:B20"/>
    <mergeCell ref="C19:H19"/>
    <mergeCell ref="C20:H20"/>
    <mergeCell ref="B22:H22"/>
    <mergeCell ref="B24:H24"/>
    <mergeCell ref="C25:F25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</mergeCells>
  <dataValidations count="11">
    <dataValidation type="list" allowBlank="1" showInputMessage="1" showErrorMessage="1" sqref="G27">
      <formula1>"0%, 30%"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E50">
      <formula1>"1%, 2%, 3%"</formula1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G121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120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30">
      <formula1>"0, 50%, 100%"</formula1>
    </dataValidation>
    <dataValidation type="whole" allowBlank="1" showInputMessage="1" showErrorMessage="1" errorTitle="Valor errado" error="Quantidade fixa de dias. Prencher com 30" sqref="G89">
      <formula1>30</formula1>
      <formula2>30</formula2>
    </dataValidation>
    <dataValidation type="list" operator="equal" allowBlank="1" showInputMessage="1" showErrorMessage="1" errorTitle="Valor errado" error="Percentual fixo. Preencher com 40%." sqref="F79 F81">
      <formula1>"40%"</formula1>
    </dataValidation>
    <dataValidation type="custom" allowBlank="1" showInputMessage="1" showErrorMessage="1" sqref="G119">
      <formula1>1-(G120+G121+G122)</formula1>
    </dataValidation>
    <dataValidation type="list" allowBlank="1" showInputMessage="1" showErrorMessage="1" sqref="G82">
      <formula1>"3,6,9,12,15"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B1:T166"/>
  <sheetViews>
    <sheetView showGridLines="0" topLeftCell="B127" workbookViewId="0">
      <selection activeCell="F177" sqref="F177"/>
    </sheetView>
  </sheetViews>
  <sheetFormatPr defaultRowHeight="12.75" x14ac:dyDescent="0.2"/>
  <cols>
    <col min="1" max="1" width="3.5703125" style="117" customWidth="1"/>
    <col min="2" max="2" width="8.28515625" style="117" customWidth="1"/>
    <col min="3" max="3" width="39.140625" style="117" customWidth="1"/>
    <col min="4" max="4" width="29.140625" style="117" customWidth="1"/>
    <col min="5" max="6" width="8.140625" style="117" customWidth="1"/>
    <col min="7" max="7" width="9.140625" style="117" customWidth="1"/>
    <col min="8" max="9" width="15.28515625" style="117" customWidth="1"/>
    <col min="10" max="10" width="14.140625" style="118" bestFit="1" customWidth="1"/>
    <col min="11" max="11" width="10.42578125" style="118" customWidth="1"/>
    <col min="12" max="12" width="9.140625" style="118"/>
    <col min="13" max="13" width="10.140625" style="117" bestFit="1" customWidth="1"/>
    <col min="14" max="14" width="12.28515625" style="117" bestFit="1" customWidth="1"/>
    <col min="15" max="17" width="9.140625" style="117"/>
    <col min="18" max="18" width="4" style="117" customWidth="1"/>
    <col min="19" max="19" width="5.85546875" style="117" customWidth="1"/>
    <col min="20" max="16384" width="9.140625" style="117"/>
  </cols>
  <sheetData>
    <row r="1" spans="2:20" x14ac:dyDescent="0.2">
      <c r="B1" s="116"/>
      <c r="C1" s="204"/>
      <c r="D1" s="18"/>
      <c r="E1" s="18"/>
      <c r="F1" s="18"/>
      <c r="G1" s="18"/>
      <c r="H1" s="18"/>
      <c r="I1" s="18"/>
    </row>
    <row r="2" spans="2:20" x14ac:dyDescent="0.2">
      <c r="B2" s="371" t="s">
        <v>68</v>
      </c>
      <c r="C2" s="371"/>
      <c r="D2" s="371"/>
      <c r="E2" s="371"/>
      <c r="F2" s="371"/>
      <c r="G2" s="371"/>
      <c r="H2" s="371"/>
      <c r="I2" s="239"/>
      <c r="J2" s="119"/>
      <c r="K2" s="119"/>
      <c r="L2" s="119"/>
      <c r="M2" s="120"/>
      <c r="N2" s="121"/>
      <c r="O2" s="121"/>
      <c r="P2" s="121"/>
      <c r="Q2" s="121"/>
      <c r="R2" s="121"/>
    </row>
    <row r="3" spans="2:20" x14ac:dyDescent="0.2">
      <c r="B3" s="372" t="s">
        <v>321</v>
      </c>
      <c r="C3" s="372"/>
      <c r="D3" s="372"/>
      <c r="E3" s="372"/>
      <c r="F3" s="372"/>
      <c r="G3" s="372"/>
      <c r="H3" s="372"/>
      <c r="I3" s="240"/>
      <c r="J3" s="15"/>
      <c r="K3" s="15"/>
      <c r="L3" s="15"/>
      <c r="M3" s="16"/>
      <c r="N3" s="17"/>
      <c r="O3" s="17"/>
      <c r="P3" s="17"/>
      <c r="Q3" s="17"/>
      <c r="R3" s="17"/>
      <c r="S3" s="18"/>
      <c r="T3" s="18"/>
    </row>
    <row r="4" spans="2:20" x14ac:dyDescent="0.2">
      <c r="B4" s="122"/>
      <c r="C4" s="122"/>
      <c r="D4" s="122"/>
      <c r="E4" s="122"/>
      <c r="F4" s="122"/>
      <c r="G4" s="122"/>
      <c r="H4" s="122"/>
      <c r="I4" s="122"/>
      <c r="J4" s="119"/>
      <c r="K4" s="119"/>
      <c r="L4" s="119"/>
      <c r="M4" s="120"/>
      <c r="N4" s="121"/>
      <c r="O4" s="121"/>
      <c r="P4" s="121"/>
      <c r="Q4" s="121"/>
      <c r="R4" s="121"/>
    </row>
    <row r="5" spans="2:20" x14ac:dyDescent="0.2">
      <c r="B5" s="122"/>
      <c r="C5" s="122"/>
      <c r="D5" s="122"/>
      <c r="E5" s="122"/>
      <c r="F5" s="122"/>
      <c r="G5" s="122"/>
      <c r="H5" s="122"/>
      <c r="I5" s="122"/>
      <c r="J5" s="119"/>
      <c r="K5" s="119"/>
      <c r="L5" s="119"/>
      <c r="M5" s="120"/>
      <c r="N5" s="121"/>
      <c r="O5" s="121"/>
      <c r="P5" s="121"/>
      <c r="Q5" s="121"/>
      <c r="R5" s="121"/>
    </row>
    <row r="6" spans="2:20" x14ac:dyDescent="0.2">
      <c r="B6" s="373" t="s">
        <v>155</v>
      </c>
      <c r="C6" s="373"/>
      <c r="D6" s="373"/>
      <c r="E6" s="373"/>
      <c r="F6" s="373"/>
      <c r="G6" s="374" t="s">
        <v>305</v>
      </c>
      <c r="H6" s="374"/>
      <c r="I6" s="19"/>
      <c r="J6" s="119"/>
      <c r="K6" s="119"/>
      <c r="L6" s="119"/>
      <c r="M6" s="120"/>
      <c r="N6" s="121"/>
      <c r="O6" s="121"/>
      <c r="P6" s="121"/>
      <c r="Q6" s="121"/>
      <c r="R6" s="121"/>
    </row>
    <row r="7" spans="2:20" x14ac:dyDescent="0.2">
      <c r="B7" s="122"/>
      <c r="C7" s="122"/>
      <c r="D7" s="122"/>
      <c r="E7" s="122"/>
      <c r="F7" s="122"/>
      <c r="G7" s="122"/>
      <c r="H7" s="122"/>
      <c r="I7" s="18"/>
      <c r="J7" s="119"/>
      <c r="K7" s="119"/>
      <c r="L7" s="119"/>
      <c r="M7" s="120"/>
      <c r="N7" s="121"/>
      <c r="O7" s="121"/>
      <c r="P7" s="121"/>
      <c r="Q7" s="121"/>
      <c r="R7" s="121"/>
    </row>
    <row r="8" spans="2:20" x14ac:dyDescent="0.2">
      <c r="B8" s="304" t="s">
        <v>69</v>
      </c>
      <c r="C8" s="304"/>
      <c r="D8" s="304"/>
      <c r="E8" s="304"/>
      <c r="F8" s="304"/>
      <c r="G8" s="304"/>
      <c r="H8" s="304"/>
      <c r="I8" s="119"/>
      <c r="J8" s="120"/>
      <c r="K8" s="119"/>
      <c r="L8" s="119"/>
      <c r="M8" s="120"/>
      <c r="N8" s="121"/>
      <c r="O8" s="121"/>
      <c r="P8" s="121"/>
      <c r="Q8" s="121"/>
      <c r="R8" s="121"/>
    </row>
    <row r="9" spans="2:20" x14ac:dyDescent="0.2">
      <c r="B9" s="355">
        <v>1</v>
      </c>
      <c r="C9" s="356" t="s">
        <v>70</v>
      </c>
      <c r="D9" s="356"/>
      <c r="E9" s="356"/>
      <c r="F9" s="356"/>
      <c r="G9" s="356"/>
      <c r="H9" s="356"/>
      <c r="I9" s="119"/>
      <c r="J9" s="120"/>
      <c r="K9" s="119"/>
      <c r="L9" s="119"/>
      <c r="M9" s="120"/>
      <c r="N9" s="121"/>
      <c r="O9" s="121"/>
      <c r="P9" s="121"/>
      <c r="Q9" s="121"/>
      <c r="R9" s="121"/>
    </row>
    <row r="10" spans="2:20" x14ac:dyDescent="0.2">
      <c r="B10" s="355"/>
      <c r="C10" s="357"/>
      <c r="D10" s="357"/>
      <c r="E10" s="357"/>
      <c r="F10" s="357"/>
      <c r="G10" s="357"/>
      <c r="H10" s="357"/>
      <c r="I10" s="119"/>
      <c r="J10" s="120"/>
      <c r="K10" s="119"/>
      <c r="L10" s="119"/>
      <c r="M10" s="120"/>
      <c r="N10" s="121"/>
      <c r="O10" s="121"/>
      <c r="P10" s="121"/>
      <c r="Q10" s="121"/>
      <c r="R10" s="121"/>
    </row>
    <row r="11" spans="2:20" x14ac:dyDescent="0.2">
      <c r="B11" s="355">
        <v>2</v>
      </c>
      <c r="C11" s="356" t="s">
        <v>72</v>
      </c>
      <c r="D11" s="356"/>
      <c r="E11" s="356"/>
      <c r="F11" s="356"/>
      <c r="G11" s="356"/>
      <c r="H11" s="356"/>
      <c r="I11" s="119"/>
      <c r="J11" s="120"/>
      <c r="K11" s="119"/>
      <c r="L11" s="119"/>
      <c r="M11" s="120"/>
      <c r="N11" s="121"/>
      <c r="O11" s="121"/>
      <c r="P11" s="121"/>
      <c r="Q11" s="121"/>
      <c r="R11" s="121"/>
    </row>
    <row r="12" spans="2:20" x14ac:dyDescent="0.2">
      <c r="B12" s="355"/>
      <c r="C12" s="357"/>
      <c r="D12" s="357"/>
      <c r="E12" s="357"/>
      <c r="F12" s="357"/>
      <c r="G12" s="357"/>
      <c r="H12" s="357"/>
      <c r="I12" s="119"/>
      <c r="J12" s="120"/>
      <c r="K12" s="119"/>
      <c r="L12" s="119"/>
      <c r="M12" s="120"/>
      <c r="N12" s="121"/>
      <c r="O12" s="121"/>
      <c r="P12" s="121"/>
      <c r="Q12" s="121"/>
      <c r="R12" s="121"/>
    </row>
    <row r="13" spans="2:20" x14ac:dyDescent="0.2">
      <c r="B13" s="355">
        <v>3</v>
      </c>
      <c r="C13" s="356" t="s">
        <v>73</v>
      </c>
      <c r="D13" s="356"/>
      <c r="E13" s="356"/>
      <c r="F13" s="356"/>
      <c r="G13" s="356"/>
      <c r="H13" s="356"/>
      <c r="I13" s="119"/>
      <c r="J13" s="120"/>
      <c r="K13" s="119"/>
      <c r="L13" s="119"/>
      <c r="M13" s="120"/>
      <c r="N13" s="121"/>
      <c r="O13" s="121"/>
      <c r="P13" s="121"/>
      <c r="Q13" s="121"/>
      <c r="R13" s="121"/>
    </row>
    <row r="14" spans="2:20" x14ac:dyDescent="0.2">
      <c r="B14" s="355"/>
      <c r="C14" s="357"/>
      <c r="D14" s="357"/>
      <c r="E14" s="357"/>
      <c r="F14" s="357"/>
      <c r="G14" s="357"/>
      <c r="H14" s="357"/>
      <c r="I14" s="119"/>
      <c r="J14" s="120"/>
      <c r="K14" s="119"/>
      <c r="L14" s="119"/>
      <c r="M14" s="120"/>
      <c r="N14" s="121"/>
      <c r="O14" s="121"/>
      <c r="P14" s="121"/>
      <c r="Q14" s="121"/>
      <c r="R14" s="121"/>
    </row>
    <row r="15" spans="2:20" x14ac:dyDescent="0.2">
      <c r="B15" s="355">
        <v>4</v>
      </c>
      <c r="C15" s="356" t="s">
        <v>74</v>
      </c>
      <c r="D15" s="356"/>
      <c r="E15" s="356"/>
      <c r="F15" s="356"/>
      <c r="G15" s="356"/>
      <c r="H15" s="356"/>
      <c r="I15" s="119"/>
      <c r="J15" s="120"/>
      <c r="K15" s="119"/>
      <c r="L15" s="119"/>
      <c r="M15" s="120"/>
      <c r="N15" s="121"/>
      <c r="O15" s="121"/>
      <c r="P15" s="121"/>
      <c r="Q15" s="121"/>
      <c r="R15" s="121"/>
    </row>
    <row r="16" spans="2:20" x14ac:dyDescent="0.2">
      <c r="B16" s="355"/>
      <c r="C16" s="357"/>
      <c r="D16" s="357"/>
      <c r="E16" s="357"/>
      <c r="F16" s="357"/>
      <c r="G16" s="357"/>
      <c r="H16" s="357"/>
      <c r="I16" s="119"/>
      <c r="J16" s="120"/>
      <c r="K16" s="119"/>
      <c r="L16" s="119"/>
      <c r="M16" s="120"/>
      <c r="N16" s="121"/>
      <c r="O16" s="121"/>
      <c r="P16" s="121"/>
      <c r="Q16" s="121"/>
      <c r="R16" s="121"/>
    </row>
    <row r="17" spans="2:18" x14ac:dyDescent="0.2">
      <c r="B17" s="355">
        <v>5</v>
      </c>
      <c r="C17" s="356" t="s">
        <v>75</v>
      </c>
      <c r="D17" s="356"/>
      <c r="E17" s="356"/>
      <c r="F17" s="356"/>
      <c r="G17" s="356"/>
      <c r="H17" s="356"/>
      <c r="I17" s="119"/>
      <c r="J17" s="120"/>
      <c r="K17" s="119"/>
      <c r="L17" s="119"/>
      <c r="M17" s="120"/>
      <c r="N17" s="121"/>
      <c r="O17" s="121"/>
      <c r="P17" s="121"/>
      <c r="Q17" s="121"/>
      <c r="R17" s="121"/>
    </row>
    <row r="18" spans="2:18" x14ac:dyDescent="0.2">
      <c r="B18" s="355"/>
      <c r="C18" s="357"/>
      <c r="D18" s="357"/>
      <c r="E18" s="357"/>
      <c r="F18" s="357"/>
      <c r="G18" s="357"/>
      <c r="H18" s="357"/>
      <c r="I18" s="119"/>
      <c r="J18" s="120"/>
      <c r="K18" s="119"/>
      <c r="L18" s="119"/>
      <c r="M18" s="120"/>
      <c r="N18" s="121"/>
      <c r="O18" s="121"/>
      <c r="P18" s="121"/>
      <c r="Q18" s="121"/>
      <c r="R18" s="121"/>
    </row>
    <row r="19" spans="2:18" x14ac:dyDescent="0.2">
      <c r="B19" s="355">
        <v>6</v>
      </c>
      <c r="C19" s="356" t="s">
        <v>76</v>
      </c>
      <c r="D19" s="356"/>
      <c r="E19" s="356"/>
      <c r="F19" s="356"/>
      <c r="G19" s="356"/>
      <c r="H19" s="356"/>
      <c r="I19" s="119"/>
      <c r="J19" s="120"/>
      <c r="K19" s="119"/>
      <c r="L19" s="119"/>
      <c r="M19" s="120"/>
      <c r="N19" s="121"/>
      <c r="O19" s="121"/>
      <c r="P19" s="121"/>
      <c r="Q19" s="121"/>
      <c r="R19" s="121"/>
    </row>
    <row r="20" spans="2:18" x14ac:dyDescent="0.2">
      <c r="B20" s="355"/>
      <c r="C20" s="357"/>
      <c r="D20" s="357"/>
      <c r="E20" s="357"/>
      <c r="F20" s="357"/>
      <c r="G20" s="357"/>
      <c r="H20" s="357"/>
      <c r="I20" s="119"/>
      <c r="J20" s="120"/>
      <c r="K20" s="119"/>
      <c r="L20" s="119"/>
      <c r="M20" s="120"/>
      <c r="N20" s="121"/>
      <c r="O20" s="121"/>
      <c r="P20" s="121"/>
      <c r="Q20" s="121"/>
      <c r="R20" s="121"/>
    </row>
    <row r="21" spans="2:18" x14ac:dyDescent="0.2">
      <c r="B21" s="123"/>
      <c r="C21" s="123"/>
      <c r="D21" s="123"/>
      <c r="E21" s="123"/>
      <c r="F21" s="123"/>
      <c r="G21" s="124"/>
      <c r="H21" s="124"/>
      <c r="I21" s="119"/>
      <c r="J21" s="119"/>
      <c r="K21" s="119"/>
      <c r="L21" s="119"/>
      <c r="M21" s="120"/>
      <c r="N21" s="121"/>
      <c r="O21" s="121"/>
      <c r="P21" s="121"/>
      <c r="Q21" s="121"/>
      <c r="R21" s="121"/>
    </row>
    <row r="22" spans="2:18" x14ac:dyDescent="0.2">
      <c r="B22" s="323" t="s">
        <v>95</v>
      </c>
      <c r="C22" s="323"/>
      <c r="D22" s="323"/>
      <c r="E22" s="323"/>
      <c r="F22" s="323"/>
      <c r="G22" s="323"/>
      <c r="H22" s="323"/>
      <c r="J22" s="119"/>
      <c r="K22" s="119"/>
      <c r="L22" s="119"/>
      <c r="M22" s="120"/>
      <c r="N22" s="121"/>
      <c r="O22" s="121"/>
      <c r="P22" s="121"/>
      <c r="Q22" s="121"/>
      <c r="R22" s="121"/>
    </row>
    <row r="23" spans="2:18" x14ac:dyDescent="0.2">
      <c r="B23" s="125"/>
      <c r="C23" s="125"/>
      <c r="D23" s="125"/>
      <c r="E23" s="125"/>
      <c r="F23" s="125"/>
      <c r="G23" s="125"/>
      <c r="H23" s="125"/>
      <c r="J23" s="119"/>
      <c r="K23" s="119"/>
      <c r="L23" s="119"/>
      <c r="M23" s="120"/>
      <c r="N23" s="121"/>
      <c r="O23" s="121"/>
      <c r="P23" s="121"/>
      <c r="Q23" s="121"/>
      <c r="R23" s="121"/>
    </row>
    <row r="24" spans="2:18" x14ac:dyDescent="0.2">
      <c r="B24" s="324" t="s">
        <v>83</v>
      </c>
      <c r="C24" s="324"/>
      <c r="D24" s="324"/>
      <c r="E24" s="324"/>
      <c r="F24" s="324"/>
      <c r="G24" s="324"/>
      <c r="H24" s="324"/>
      <c r="I24" s="208"/>
      <c r="J24" s="119"/>
      <c r="K24" s="119"/>
      <c r="L24" s="119"/>
      <c r="M24" s="120"/>
      <c r="N24" s="121"/>
      <c r="O24" s="121"/>
      <c r="P24" s="121"/>
      <c r="Q24" s="121"/>
      <c r="R24" s="121"/>
    </row>
    <row r="25" spans="2:18" x14ac:dyDescent="0.2">
      <c r="B25" s="177">
        <v>1</v>
      </c>
      <c r="C25" s="280" t="s">
        <v>77</v>
      </c>
      <c r="D25" s="328"/>
      <c r="E25" s="328"/>
      <c r="F25" s="281"/>
      <c r="G25" s="177" t="s">
        <v>2</v>
      </c>
      <c r="H25" s="177" t="s">
        <v>67</v>
      </c>
      <c r="I25" s="208"/>
      <c r="J25" s="119"/>
      <c r="K25" s="119"/>
      <c r="L25" s="119"/>
      <c r="M25" s="120"/>
      <c r="N25" s="121"/>
      <c r="O25" s="121"/>
      <c r="P25" s="121"/>
      <c r="Q25" s="121"/>
      <c r="R25" s="121"/>
    </row>
    <row r="26" spans="2:18" ht="12.75" customHeight="1" x14ac:dyDescent="0.2">
      <c r="B26" s="20" t="s">
        <v>5</v>
      </c>
      <c r="C26" s="175" t="s">
        <v>36</v>
      </c>
      <c r="D26" s="317" t="s">
        <v>221</v>
      </c>
      <c r="E26" s="318"/>
      <c r="F26" s="319"/>
      <c r="G26" s="21"/>
      <c r="H26" s="27">
        <v>2650.78</v>
      </c>
      <c r="I26" s="195"/>
      <c r="J26" s="130"/>
      <c r="K26" s="130"/>
      <c r="L26" s="130"/>
      <c r="M26" s="131"/>
      <c r="N26" s="132"/>
      <c r="O26" s="121"/>
      <c r="P26" s="121"/>
      <c r="Q26" s="121"/>
      <c r="R26" s="121"/>
    </row>
    <row r="27" spans="2:18" x14ac:dyDescent="0.2">
      <c r="B27" s="20" t="s">
        <v>6</v>
      </c>
      <c r="C27" s="175" t="s">
        <v>43</v>
      </c>
      <c r="D27" s="317" t="s">
        <v>156</v>
      </c>
      <c r="E27" s="318"/>
      <c r="F27" s="319"/>
      <c r="G27" s="266"/>
      <c r="H27" s="22">
        <f>TRUNC(H$26*$G27,2)</f>
        <v>0</v>
      </c>
      <c r="I27" s="191"/>
      <c r="J27" s="119"/>
      <c r="K27" s="119"/>
      <c r="L27" s="119"/>
      <c r="M27" s="120"/>
      <c r="N27" s="121"/>
      <c r="O27" s="121"/>
      <c r="P27" s="121"/>
      <c r="Q27" s="121"/>
      <c r="R27" s="121"/>
    </row>
    <row r="28" spans="2:18" x14ac:dyDescent="0.2">
      <c r="B28" s="20" t="s">
        <v>7</v>
      </c>
      <c r="C28" s="176" t="s">
        <v>44</v>
      </c>
      <c r="D28" s="317" t="s">
        <v>199</v>
      </c>
      <c r="E28" s="318"/>
      <c r="F28" s="319"/>
      <c r="G28" s="266"/>
      <c r="H28" s="22">
        <f>TRUNC(H$26*$G28,2)</f>
        <v>0</v>
      </c>
      <c r="I28" s="191"/>
      <c r="J28" s="119"/>
      <c r="K28" s="119"/>
      <c r="L28" s="119"/>
      <c r="M28" s="120"/>
      <c r="N28" s="121"/>
      <c r="O28" s="121"/>
      <c r="P28" s="121"/>
      <c r="Q28" s="121"/>
      <c r="R28" s="121"/>
    </row>
    <row r="29" spans="2:18" x14ac:dyDescent="0.2">
      <c r="B29" s="20" t="s">
        <v>8</v>
      </c>
      <c r="C29" s="176" t="s">
        <v>1</v>
      </c>
      <c r="D29" s="317" t="s">
        <v>208</v>
      </c>
      <c r="E29" s="318"/>
      <c r="F29" s="319"/>
      <c r="G29" s="261"/>
      <c r="H29" s="129">
        <f>TRUNC(((H$26+H27)*$G29)/220*8*15,2)</f>
        <v>0</v>
      </c>
      <c r="I29" s="192"/>
      <c r="J29" s="119"/>
      <c r="K29" s="119"/>
      <c r="L29" s="119"/>
      <c r="M29" s="120"/>
      <c r="N29" s="121"/>
      <c r="O29" s="121"/>
      <c r="P29" s="121"/>
      <c r="Q29" s="121"/>
      <c r="R29" s="121"/>
    </row>
    <row r="30" spans="2:18" x14ac:dyDescent="0.2">
      <c r="B30" s="247" t="s">
        <v>10</v>
      </c>
      <c r="C30" s="176" t="s">
        <v>3</v>
      </c>
      <c r="D30" s="317"/>
      <c r="E30" s="318"/>
      <c r="F30" s="319"/>
      <c r="G30" s="261"/>
      <c r="H30" s="106"/>
      <c r="I30" s="193"/>
      <c r="J30" s="119"/>
      <c r="K30" s="119"/>
      <c r="L30" s="135"/>
      <c r="M30" s="120"/>
      <c r="N30" s="121"/>
      <c r="O30" s="121"/>
      <c r="P30" s="121"/>
      <c r="Q30" s="121"/>
      <c r="R30" s="121"/>
    </row>
    <row r="31" spans="2:18" x14ac:dyDescent="0.2">
      <c r="B31" s="247" t="s">
        <v>157</v>
      </c>
      <c r="C31" s="280" t="s">
        <v>78</v>
      </c>
      <c r="D31" s="328"/>
      <c r="E31" s="328"/>
      <c r="F31" s="281"/>
      <c r="G31" s="36"/>
      <c r="H31" s="23">
        <f>SUM(H26:H30)</f>
        <v>2650.78</v>
      </c>
      <c r="I31" s="24"/>
      <c r="J31" s="119"/>
      <c r="K31" s="119"/>
      <c r="L31" s="119"/>
      <c r="M31" s="120"/>
      <c r="N31" s="121"/>
      <c r="O31" s="121"/>
      <c r="P31" s="121"/>
      <c r="Q31" s="121"/>
      <c r="R31" s="121"/>
    </row>
    <row r="32" spans="2:18" x14ac:dyDescent="0.2">
      <c r="B32" s="239"/>
      <c r="C32" s="239"/>
      <c r="D32" s="239"/>
      <c r="E32" s="239"/>
      <c r="F32" s="239"/>
      <c r="G32" s="239"/>
      <c r="H32" s="136"/>
      <c r="I32" s="24"/>
      <c r="J32" s="119"/>
      <c r="K32" s="119"/>
      <c r="L32" s="119"/>
      <c r="M32" s="120"/>
      <c r="N32" s="121"/>
      <c r="O32" s="121"/>
      <c r="P32" s="121"/>
      <c r="Q32" s="121"/>
      <c r="R32" s="121"/>
    </row>
    <row r="33" spans="2:18" x14ac:dyDescent="0.2">
      <c r="B33" s="239"/>
      <c r="C33" s="239"/>
      <c r="D33" s="239"/>
      <c r="E33" s="239"/>
      <c r="F33" s="239"/>
      <c r="G33" s="239"/>
      <c r="H33" s="136"/>
      <c r="I33" s="24"/>
      <c r="J33" s="119"/>
      <c r="K33" s="119"/>
      <c r="L33" s="119"/>
      <c r="M33" s="120"/>
      <c r="N33" s="121"/>
      <c r="O33" s="121"/>
      <c r="P33" s="121"/>
      <c r="Q33" s="121"/>
      <c r="R33" s="121"/>
    </row>
    <row r="34" spans="2:18" ht="12.75" customHeight="1" x14ac:dyDescent="0.2">
      <c r="B34" s="324" t="s">
        <v>84</v>
      </c>
      <c r="C34" s="324"/>
      <c r="D34" s="324"/>
      <c r="E34" s="324"/>
      <c r="F34" s="324"/>
      <c r="G34" s="324"/>
      <c r="H34" s="324"/>
      <c r="I34" s="208"/>
      <c r="J34" s="137"/>
      <c r="K34" s="119"/>
      <c r="L34" s="135"/>
      <c r="M34" s="134"/>
      <c r="N34" s="121"/>
      <c r="O34" s="121"/>
      <c r="P34" s="121"/>
      <c r="Q34" s="121"/>
      <c r="R34" s="121"/>
    </row>
    <row r="35" spans="2:18" x14ac:dyDescent="0.2">
      <c r="B35" s="367"/>
      <c r="C35" s="368"/>
      <c r="D35" s="368"/>
      <c r="E35" s="368"/>
      <c r="F35" s="368"/>
      <c r="G35" s="368"/>
      <c r="H35" s="369"/>
      <c r="I35" s="208"/>
      <c r="J35" s="137"/>
      <c r="K35" s="119"/>
      <c r="L35" s="135"/>
      <c r="M35" s="134"/>
      <c r="N35" s="121"/>
      <c r="O35" s="121"/>
      <c r="P35" s="121"/>
      <c r="Q35" s="121"/>
      <c r="R35" s="121"/>
    </row>
    <row r="36" spans="2:18" x14ac:dyDescent="0.2">
      <c r="B36" s="370" t="s">
        <v>54</v>
      </c>
      <c r="C36" s="370"/>
      <c r="D36" s="370"/>
      <c r="E36" s="370"/>
      <c r="F36" s="370"/>
      <c r="G36" s="370"/>
      <c r="H36" s="370"/>
      <c r="I36" s="208"/>
      <c r="J36" s="137"/>
      <c r="K36" s="119"/>
      <c r="L36" s="135"/>
      <c r="M36" s="134"/>
      <c r="N36" s="121"/>
      <c r="O36" s="121"/>
      <c r="P36" s="121"/>
      <c r="Q36" s="121"/>
      <c r="R36" s="121"/>
    </row>
    <row r="37" spans="2:18" x14ac:dyDescent="0.2">
      <c r="B37" s="177" t="s">
        <v>56</v>
      </c>
      <c r="C37" s="280" t="s">
        <v>45</v>
      </c>
      <c r="D37" s="328"/>
      <c r="E37" s="328"/>
      <c r="F37" s="281"/>
      <c r="G37" s="177" t="s">
        <v>2</v>
      </c>
      <c r="H37" s="177" t="s">
        <v>67</v>
      </c>
      <c r="I37" s="208"/>
      <c r="J37" s="140"/>
      <c r="K37" s="119"/>
      <c r="L37" s="119"/>
      <c r="M37" s="120"/>
      <c r="N37" s="121"/>
      <c r="O37" s="121"/>
      <c r="P37" s="121"/>
      <c r="Q37" s="121"/>
      <c r="R37" s="121"/>
    </row>
    <row r="38" spans="2:18" x14ac:dyDescent="0.2">
      <c r="B38" s="247" t="s">
        <v>5</v>
      </c>
      <c r="C38" s="175" t="s">
        <v>133</v>
      </c>
      <c r="D38" s="317" t="s">
        <v>158</v>
      </c>
      <c r="E38" s="318"/>
      <c r="F38" s="319"/>
      <c r="G38" s="26">
        <f>1/12</f>
        <v>8.3333333333333329E-2</v>
      </c>
      <c r="H38" s="27">
        <f>TRUNC((H$31*$G38),2)</f>
        <v>220.89</v>
      </c>
      <c r="I38" s="195"/>
      <c r="J38" s="137"/>
      <c r="K38" s="119"/>
      <c r="L38" s="119"/>
      <c r="M38" s="134"/>
      <c r="N38" s="121"/>
      <c r="O38" s="121"/>
      <c r="P38" s="121"/>
      <c r="Q38" s="121"/>
      <c r="R38" s="121"/>
    </row>
    <row r="39" spans="2:18" x14ac:dyDescent="0.2">
      <c r="B39" s="247" t="s">
        <v>6</v>
      </c>
      <c r="C39" s="175" t="s">
        <v>82</v>
      </c>
      <c r="D39" s="317" t="s">
        <v>160</v>
      </c>
      <c r="E39" s="318"/>
      <c r="F39" s="319"/>
      <c r="G39" s="26">
        <f>(1/12)+(1/3/12)</f>
        <v>0.1111111111111111</v>
      </c>
      <c r="H39" s="27">
        <f>TRUNC((H$31*$G39),2)</f>
        <v>294.52999999999997</v>
      </c>
      <c r="I39" s="195"/>
      <c r="J39" s="137"/>
      <c r="K39" s="119"/>
      <c r="L39" s="119"/>
      <c r="M39" s="134"/>
      <c r="N39" s="121"/>
      <c r="O39" s="121"/>
      <c r="P39" s="121"/>
      <c r="Q39" s="121"/>
      <c r="R39" s="121"/>
    </row>
    <row r="40" spans="2:18" x14ac:dyDescent="0.2">
      <c r="B40" s="247" t="s">
        <v>159</v>
      </c>
      <c r="C40" s="280" t="s">
        <v>78</v>
      </c>
      <c r="D40" s="328"/>
      <c r="E40" s="328"/>
      <c r="F40" s="281"/>
      <c r="G40" s="28">
        <f>TRUNC(SUM(G38:G39),4)</f>
        <v>0.19439999999999999</v>
      </c>
      <c r="H40" s="23">
        <f>SUM(H38:H39)</f>
        <v>515.41999999999996</v>
      </c>
      <c r="I40" s="24"/>
      <c r="J40" s="137"/>
      <c r="K40" s="119"/>
      <c r="L40" s="119"/>
      <c r="M40" s="134"/>
      <c r="N40" s="121"/>
      <c r="O40" s="121"/>
      <c r="P40" s="121"/>
      <c r="Q40" s="121"/>
      <c r="R40" s="121"/>
    </row>
    <row r="41" spans="2:18" x14ac:dyDescent="0.2">
      <c r="B41" s="344"/>
      <c r="C41" s="343"/>
      <c r="D41" s="343"/>
      <c r="E41" s="343"/>
      <c r="F41" s="343"/>
      <c r="G41" s="343"/>
      <c r="H41" s="345"/>
      <c r="I41" s="239"/>
      <c r="J41" s="137"/>
      <c r="K41" s="119"/>
      <c r="L41" s="119"/>
      <c r="M41" s="134"/>
      <c r="N41" s="121"/>
      <c r="O41" s="121"/>
      <c r="P41" s="121"/>
      <c r="Q41" s="121"/>
      <c r="R41" s="121"/>
    </row>
    <row r="42" spans="2:18" ht="30" customHeight="1" x14ac:dyDescent="0.2">
      <c r="B42" s="350" t="s">
        <v>85</v>
      </c>
      <c r="C42" s="351"/>
      <c r="D42" s="351"/>
      <c r="E42" s="351"/>
      <c r="F42" s="351"/>
      <c r="G42" s="351"/>
      <c r="H42" s="352"/>
      <c r="I42" s="196"/>
      <c r="J42" s="138"/>
      <c r="K42" s="139"/>
      <c r="L42" s="119"/>
      <c r="M42" s="120"/>
      <c r="N42" s="121"/>
      <c r="O42" s="121"/>
      <c r="P42" s="121"/>
      <c r="Q42" s="121"/>
      <c r="R42" s="121"/>
    </row>
    <row r="43" spans="2:18" x14ac:dyDescent="0.2">
      <c r="B43" s="177" t="s">
        <v>57</v>
      </c>
      <c r="C43" s="280" t="s">
        <v>86</v>
      </c>
      <c r="D43" s="328"/>
      <c r="E43" s="328"/>
      <c r="F43" s="281"/>
      <c r="G43" s="177" t="s">
        <v>2</v>
      </c>
      <c r="H43" s="177" t="s">
        <v>67</v>
      </c>
      <c r="I43" s="208"/>
      <c r="J43" s="137"/>
      <c r="K43" s="119"/>
      <c r="L43" s="119"/>
      <c r="M43" s="134"/>
      <c r="N43" s="121"/>
      <c r="O43" s="121"/>
      <c r="P43" s="121"/>
      <c r="Q43" s="121"/>
      <c r="R43" s="121"/>
    </row>
    <row r="44" spans="2:18" x14ac:dyDescent="0.2">
      <c r="B44" s="247" t="s">
        <v>5</v>
      </c>
      <c r="C44" s="175" t="s">
        <v>48</v>
      </c>
      <c r="D44" s="317" t="s">
        <v>161</v>
      </c>
      <c r="E44" s="318"/>
      <c r="F44" s="319"/>
      <c r="G44" s="26">
        <v>0.2</v>
      </c>
      <c r="H44" s="27">
        <f>TRUNC((H$31+H$40)*$G44,2)</f>
        <v>633.24</v>
      </c>
      <c r="I44" s="195"/>
      <c r="J44" s="137"/>
      <c r="K44" s="119"/>
      <c r="L44" s="119"/>
      <c r="M44" s="120"/>
      <c r="N44" s="121"/>
      <c r="O44" s="121"/>
      <c r="P44" s="121"/>
      <c r="Q44" s="121"/>
      <c r="R44" s="121"/>
    </row>
    <row r="45" spans="2:18" x14ac:dyDescent="0.2">
      <c r="B45" s="247" t="s">
        <v>6</v>
      </c>
      <c r="C45" s="160" t="s">
        <v>49</v>
      </c>
      <c r="D45" s="317" t="s">
        <v>162</v>
      </c>
      <c r="E45" s="318"/>
      <c r="F45" s="319"/>
      <c r="G45" s="26">
        <v>2.5000000000000001E-2</v>
      </c>
      <c r="H45" s="27">
        <f>TRUNC((H$31+H$40)*$G45,2)</f>
        <v>79.150000000000006</v>
      </c>
      <c r="I45" s="195"/>
      <c r="J45" s="137"/>
      <c r="K45" s="119"/>
      <c r="L45" s="119"/>
      <c r="M45" s="120"/>
      <c r="N45" s="121"/>
      <c r="O45" s="121"/>
      <c r="P45" s="121"/>
      <c r="Q45" s="121"/>
      <c r="R45" s="121"/>
    </row>
    <row r="46" spans="2:18" x14ac:dyDescent="0.2">
      <c r="B46" s="358" t="s">
        <v>7</v>
      </c>
      <c r="C46" s="360" t="s">
        <v>124</v>
      </c>
      <c r="D46" s="362" t="s">
        <v>168</v>
      </c>
      <c r="E46" s="11" t="s">
        <v>125</v>
      </c>
      <c r="F46" s="11" t="s">
        <v>123</v>
      </c>
      <c r="G46" s="363">
        <f>E47*F47</f>
        <v>0.03</v>
      </c>
      <c r="H46" s="365">
        <f>TRUNC((H$31+H$40)*$G46,2)</f>
        <v>94.98</v>
      </c>
      <c r="I46" s="198"/>
      <c r="J46" s="353"/>
      <c r="K46" s="119"/>
      <c r="L46" s="119"/>
      <c r="M46" s="120"/>
      <c r="N46" s="121"/>
      <c r="O46" s="121"/>
      <c r="P46" s="121"/>
      <c r="Q46" s="121"/>
      <c r="R46" s="121"/>
    </row>
    <row r="47" spans="2:18" x14ac:dyDescent="0.2">
      <c r="B47" s="359"/>
      <c r="C47" s="361"/>
      <c r="D47" s="362"/>
      <c r="E47" s="84">
        <v>0.03</v>
      </c>
      <c r="F47" s="85">
        <v>1</v>
      </c>
      <c r="G47" s="364"/>
      <c r="H47" s="366"/>
      <c r="I47" s="198"/>
      <c r="J47" s="353"/>
      <c r="K47" s="119"/>
      <c r="L47" s="119"/>
      <c r="M47" s="120"/>
      <c r="N47" s="121"/>
      <c r="O47" s="121"/>
      <c r="P47" s="121"/>
      <c r="Q47" s="121"/>
      <c r="R47" s="121"/>
    </row>
    <row r="48" spans="2:18" x14ac:dyDescent="0.2">
      <c r="B48" s="247" t="s">
        <v>8</v>
      </c>
      <c r="C48" s="175" t="s">
        <v>47</v>
      </c>
      <c r="D48" s="317" t="s">
        <v>163</v>
      </c>
      <c r="E48" s="318"/>
      <c r="F48" s="319"/>
      <c r="G48" s="26">
        <v>1.4999999999999999E-2</v>
      </c>
      <c r="H48" s="27">
        <f>TRUNC((H$31+H$40)*$G48,2)</f>
        <v>47.49</v>
      </c>
      <c r="I48" s="195"/>
      <c r="J48" s="137"/>
      <c r="K48" s="119"/>
      <c r="L48" s="119"/>
      <c r="M48" s="120"/>
      <c r="N48" s="121"/>
      <c r="O48" s="121"/>
      <c r="P48" s="121"/>
      <c r="Q48" s="121"/>
      <c r="R48" s="121"/>
    </row>
    <row r="49" spans="2:18" x14ac:dyDescent="0.2">
      <c r="B49" s="247" t="s">
        <v>9</v>
      </c>
      <c r="C49" s="175" t="s">
        <v>50</v>
      </c>
      <c r="D49" s="317" t="s">
        <v>164</v>
      </c>
      <c r="E49" s="318"/>
      <c r="F49" s="319"/>
      <c r="G49" s="26">
        <v>0.01</v>
      </c>
      <c r="H49" s="27">
        <f>TRUNC((H$31+H$40)*$G49,2)</f>
        <v>31.66</v>
      </c>
      <c r="I49" s="195"/>
      <c r="J49" s="137"/>
      <c r="K49" s="119"/>
      <c r="L49" s="119"/>
      <c r="M49" s="120"/>
      <c r="N49" s="121"/>
      <c r="O49" s="121"/>
      <c r="P49" s="121"/>
      <c r="Q49" s="121"/>
      <c r="R49" s="121"/>
    </row>
    <row r="50" spans="2:18" x14ac:dyDescent="0.2">
      <c r="B50" s="247" t="s">
        <v>10</v>
      </c>
      <c r="C50" s="175" t="s">
        <v>51</v>
      </c>
      <c r="D50" s="317" t="s">
        <v>165</v>
      </c>
      <c r="E50" s="318"/>
      <c r="F50" s="319"/>
      <c r="G50" s="26">
        <v>6.0000000000000001E-3</v>
      </c>
      <c r="H50" s="27">
        <f>TRUNC((H$31+H$40)*$G50,2)</f>
        <v>18.989999999999998</v>
      </c>
      <c r="I50" s="195"/>
      <c r="J50" s="137"/>
      <c r="K50" s="119"/>
      <c r="L50" s="119"/>
      <c r="M50" s="120"/>
      <c r="N50" s="121"/>
      <c r="O50" s="121"/>
      <c r="P50" s="121"/>
      <c r="Q50" s="121"/>
      <c r="R50" s="121"/>
    </row>
    <row r="51" spans="2:18" x14ac:dyDescent="0.2">
      <c r="B51" s="247" t="s">
        <v>11</v>
      </c>
      <c r="C51" s="175" t="s">
        <v>52</v>
      </c>
      <c r="D51" s="317" t="s">
        <v>166</v>
      </c>
      <c r="E51" s="318"/>
      <c r="F51" s="319"/>
      <c r="G51" s="26">
        <v>2E-3</v>
      </c>
      <c r="H51" s="27">
        <f>TRUNC((H$31+H$40)*$G51,2)</f>
        <v>6.33</v>
      </c>
      <c r="I51" s="195"/>
      <c r="J51" s="137"/>
      <c r="K51" s="119"/>
      <c r="L51" s="119"/>
      <c r="M51" s="120"/>
      <c r="N51" s="121"/>
      <c r="O51" s="121"/>
      <c r="P51" s="121"/>
      <c r="Q51" s="121"/>
      <c r="R51" s="121"/>
    </row>
    <row r="52" spans="2:18" x14ac:dyDescent="0.2">
      <c r="B52" s="247" t="s">
        <v>12</v>
      </c>
      <c r="C52" s="175" t="s">
        <v>53</v>
      </c>
      <c r="D52" s="317" t="s">
        <v>167</v>
      </c>
      <c r="E52" s="318"/>
      <c r="F52" s="319"/>
      <c r="G52" s="26">
        <v>0.08</v>
      </c>
      <c r="H52" s="27">
        <f>TRUNC((H$31+H$40)*$G52,2)</f>
        <v>253.29</v>
      </c>
      <c r="I52" s="195"/>
      <c r="J52" s="137"/>
      <c r="K52" s="119"/>
      <c r="L52" s="119"/>
      <c r="M52" s="120"/>
      <c r="N52" s="121"/>
      <c r="O52" s="121"/>
      <c r="P52" s="121"/>
      <c r="Q52" s="121"/>
      <c r="R52" s="121"/>
    </row>
    <row r="53" spans="2:18" x14ac:dyDescent="0.2">
      <c r="B53" s="247" t="s">
        <v>169</v>
      </c>
      <c r="C53" s="280" t="s">
        <v>78</v>
      </c>
      <c r="D53" s="328"/>
      <c r="E53" s="328"/>
      <c r="F53" s="281"/>
      <c r="G53" s="29">
        <f>SUM(G44:G52)</f>
        <v>0.36800000000000005</v>
      </c>
      <c r="H53" s="30">
        <f>SUM(H44:H52)</f>
        <v>1165.1300000000001</v>
      </c>
      <c r="I53" s="24"/>
      <c r="J53" s="140"/>
      <c r="K53" s="119"/>
      <c r="L53" s="119"/>
      <c r="M53" s="120"/>
      <c r="N53" s="121"/>
      <c r="O53" s="121"/>
      <c r="P53" s="121"/>
      <c r="Q53" s="121"/>
      <c r="R53" s="121"/>
    </row>
    <row r="54" spans="2:18" x14ac:dyDescent="0.2">
      <c r="B54" s="347"/>
      <c r="C54" s="348"/>
      <c r="D54" s="348"/>
      <c r="E54" s="348"/>
      <c r="F54" s="348"/>
      <c r="G54" s="348"/>
      <c r="H54" s="349"/>
      <c r="I54" s="234"/>
      <c r="J54" s="140"/>
      <c r="K54" s="119"/>
      <c r="L54" s="119"/>
      <c r="M54" s="120"/>
      <c r="N54" s="141"/>
      <c r="O54" s="121"/>
      <c r="P54" s="121"/>
      <c r="Q54" s="121"/>
      <c r="R54" s="121"/>
    </row>
    <row r="55" spans="2:18" ht="12.75" customHeight="1" x14ac:dyDescent="0.2">
      <c r="B55" s="350" t="s">
        <v>55</v>
      </c>
      <c r="C55" s="351"/>
      <c r="D55" s="351"/>
      <c r="E55" s="351"/>
      <c r="F55" s="351"/>
      <c r="G55" s="351"/>
      <c r="H55" s="352"/>
      <c r="I55" s="234"/>
      <c r="J55" s="137"/>
      <c r="K55" s="119"/>
      <c r="L55" s="119"/>
      <c r="M55" s="120"/>
      <c r="N55" s="121"/>
      <c r="O55" s="121"/>
      <c r="P55" s="121"/>
      <c r="Q55" s="121"/>
      <c r="R55" s="121"/>
    </row>
    <row r="56" spans="2:18" x14ac:dyDescent="0.2">
      <c r="B56" s="177" t="s">
        <v>58</v>
      </c>
      <c r="C56" s="280" t="s">
        <v>59</v>
      </c>
      <c r="D56" s="328"/>
      <c r="E56" s="328"/>
      <c r="F56" s="328"/>
      <c r="G56" s="281"/>
      <c r="H56" s="177" t="s">
        <v>67</v>
      </c>
      <c r="I56" s="208"/>
      <c r="J56" s="138"/>
      <c r="K56" s="119"/>
      <c r="L56" s="119"/>
      <c r="M56" s="120"/>
      <c r="N56" s="121"/>
      <c r="O56" s="121"/>
      <c r="P56" s="121"/>
      <c r="Q56" s="121"/>
      <c r="R56" s="121"/>
    </row>
    <row r="57" spans="2:18" ht="12.75" customHeight="1" x14ac:dyDescent="0.2">
      <c r="B57" s="247" t="s">
        <v>5</v>
      </c>
      <c r="C57" s="175" t="s">
        <v>65</v>
      </c>
      <c r="D57" s="317" t="s">
        <v>172</v>
      </c>
      <c r="E57" s="318"/>
      <c r="F57" s="318"/>
      <c r="G57" s="319"/>
      <c r="H57" s="86">
        <f>(8.55*2*22)-(H26*6%)</f>
        <v>217.15320000000003</v>
      </c>
      <c r="I57" s="212"/>
      <c r="J57" s="354"/>
      <c r="K57" s="354"/>
      <c r="L57" s="354"/>
      <c r="M57" s="354"/>
      <c r="N57" s="354"/>
      <c r="O57" s="121"/>
      <c r="P57" s="121"/>
      <c r="Q57" s="121"/>
      <c r="R57" s="121"/>
    </row>
    <row r="58" spans="2:18" ht="12.75" customHeight="1" x14ac:dyDescent="0.2">
      <c r="B58" s="247" t="s">
        <v>6</v>
      </c>
      <c r="C58" s="175" t="s">
        <v>66</v>
      </c>
      <c r="D58" s="317" t="s">
        <v>173</v>
      </c>
      <c r="E58" s="318"/>
      <c r="F58" s="318"/>
      <c r="G58" s="319"/>
      <c r="H58" s="86">
        <f>15*22</f>
        <v>330</v>
      </c>
      <c r="I58" s="212"/>
      <c r="J58" s="137"/>
      <c r="K58" s="137"/>
      <c r="L58" s="137"/>
      <c r="M58" s="137"/>
      <c r="N58" s="137"/>
      <c r="O58" s="121"/>
      <c r="P58" s="121"/>
      <c r="Q58" s="121"/>
      <c r="R58" s="121"/>
    </row>
    <row r="59" spans="2:18" x14ac:dyDescent="0.2">
      <c r="B59" s="247" t="s">
        <v>7</v>
      </c>
      <c r="C59" s="175" t="s">
        <v>228</v>
      </c>
      <c r="D59" s="317" t="s">
        <v>229</v>
      </c>
      <c r="E59" s="318"/>
      <c r="F59" s="318"/>
      <c r="G59" s="319"/>
      <c r="H59" s="86">
        <v>66</v>
      </c>
      <c r="I59" s="212"/>
      <c r="J59" s="137"/>
      <c r="K59" s="119"/>
      <c r="L59" s="119"/>
      <c r="M59" s="120"/>
      <c r="N59" s="121"/>
      <c r="O59" s="121"/>
      <c r="P59" s="121"/>
      <c r="Q59" s="121"/>
      <c r="R59" s="121"/>
    </row>
    <row r="60" spans="2:18" x14ac:dyDescent="0.2">
      <c r="B60" s="247" t="s">
        <v>8</v>
      </c>
      <c r="C60" s="175" t="s">
        <v>223</v>
      </c>
      <c r="D60" s="243"/>
      <c r="E60" s="244"/>
      <c r="F60" s="244"/>
      <c r="G60" s="245"/>
      <c r="H60" s="86">
        <v>5</v>
      </c>
      <c r="I60" s="212"/>
      <c r="J60" s="137"/>
      <c r="K60" s="119"/>
      <c r="L60" s="119"/>
      <c r="M60" s="120"/>
      <c r="N60" s="121"/>
      <c r="O60" s="121"/>
      <c r="P60" s="121"/>
      <c r="Q60" s="121"/>
      <c r="R60" s="121"/>
    </row>
    <row r="61" spans="2:18" s="142" customFormat="1" x14ac:dyDescent="0.2">
      <c r="B61" s="247" t="s">
        <v>9</v>
      </c>
      <c r="C61" s="175" t="s">
        <v>3</v>
      </c>
      <c r="D61" s="317"/>
      <c r="E61" s="318"/>
      <c r="F61" s="318"/>
      <c r="G61" s="319"/>
      <c r="H61" s="86">
        <v>0</v>
      </c>
      <c r="I61" s="212"/>
      <c r="J61" s="137"/>
      <c r="K61" s="119"/>
      <c r="L61" s="119"/>
      <c r="M61" s="120"/>
      <c r="N61" s="121"/>
      <c r="O61" s="121"/>
      <c r="P61" s="121"/>
      <c r="Q61" s="121"/>
      <c r="R61" s="121"/>
    </row>
    <row r="62" spans="2:18" x14ac:dyDescent="0.2">
      <c r="B62" s="247" t="s">
        <v>170</v>
      </c>
      <c r="C62" s="280" t="s">
        <v>78</v>
      </c>
      <c r="D62" s="328"/>
      <c r="E62" s="328"/>
      <c r="F62" s="328"/>
      <c r="G62" s="281"/>
      <c r="H62" s="30">
        <f>SUM(H57:H61)</f>
        <v>618.15319999999997</v>
      </c>
      <c r="I62" s="24"/>
      <c r="K62" s="119"/>
      <c r="L62" s="119"/>
      <c r="M62" s="120"/>
      <c r="N62" s="121"/>
      <c r="O62" s="121"/>
      <c r="P62" s="121"/>
      <c r="Q62" s="121"/>
      <c r="R62" s="121"/>
    </row>
    <row r="63" spans="2:18" x14ac:dyDescent="0.2">
      <c r="B63" s="344"/>
      <c r="C63" s="343"/>
      <c r="D63" s="343"/>
      <c r="E63" s="343"/>
      <c r="F63" s="343"/>
      <c r="G63" s="343"/>
      <c r="H63" s="345"/>
      <c r="I63" s="239"/>
      <c r="J63" s="137"/>
      <c r="K63" s="119"/>
      <c r="L63" s="119"/>
      <c r="M63" s="120"/>
      <c r="N63" s="121"/>
      <c r="O63" s="121"/>
      <c r="P63" s="121"/>
      <c r="Q63" s="121"/>
      <c r="R63" s="121"/>
    </row>
    <row r="64" spans="2:18" x14ac:dyDescent="0.2">
      <c r="B64" s="346" t="s">
        <v>88</v>
      </c>
      <c r="C64" s="346"/>
      <c r="D64" s="346"/>
      <c r="E64" s="346"/>
      <c r="F64" s="346"/>
      <c r="G64" s="346"/>
      <c r="H64" s="346"/>
      <c r="I64" s="239"/>
      <c r="J64" s="137"/>
      <c r="K64" s="119"/>
      <c r="L64" s="119"/>
      <c r="M64" s="120"/>
      <c r="N64" s="121"/>
      <c r="O64" s="121"/>
      <c r="P64" s="121"/>
      <c r="Q64" s="121"/>
      <c r="R64" s="121"/>
    </row>
    <row r="65" spans="2:18" x14ac:dyDescent="0.2">
      <c r="B65" s="177">
        <v>2</v>
      </c>
      <c r="C65" s="280" t="s">
        <v>87</v>
      </c>
      <c r="D65" s="328"/>
      <c r="E65" s="328"/>
      <c r="F65" s="328"/>
      <c r="G65" s="281"/>
      <c r="H65" s="177" t="s">
        <v>67</v>
      </c>
      <c r="I65" s="208"/>
      <c r="J65" s="137"/>
      <c r="K65" s="119"/>
      <c r="L65" s="119"/>
      <c r="M65" s="120"/>
      <c r="N65" s="121"/>
      <c r="O65" s="121"/>
      <c r="P65" s="121"/>
      <c r="Q65" s="121"/>
      <c r="R65" s="121"/>
    </row>
    <row r="66" spans="2:18" x14ac:dyDescent="0.2">
      <c r="B66" s="247" t="s">
        <v>56</v>
      </c>
      <c r="C66" s="163" t="s">
        <v>45</v>
      </c>
      <c r="D66" s="317" t="s">
        <v>159</v>
      </c>
      <c r="E66" s="318"/>
      <c r="F66" s="318"/>
      <c r="G66" s="319"/>
      <c r="H66" s="27">
        <f>H40</f>
        <v>515.41999999999996</v>
      </c>
      <c r="I66" s="195"/>
      <c r="J66" s="137"/>
      <c r="K66" s="119"/>
      <c r="L66" s="119"/>
      <c r="M66" s="120"/>
      <c r="N66" s="121"/>
      <c r="O66" s="121"/>
      <c r="P66" s="121"/>
      <c r="Q66" s="121"/>
      <c r="R66" s="121"/>
    </row>
    <row r="67" spans="2:18" x14ac:dyDescent="0.2">
      <c r="B67" s="247" t="s">
        <v>57</v>
      </c>
      <c r="C67" s="163" t="s">
        <v>46</v>
      </c>
      <c r="D67" s="317" t="s">
        <v>169</v>
      </c>
      <c r="E67" s="318"/>
      <c r="F67" s="318"/>
      <c r="G67" s="319"/>
      <c r="H67" s="27">
        <f>H53</f>
        <v>1165.1300000000001</v>
      </c>
      <c r="I67" s="195"/>
      <c r="J67" s="137"/>
      <c r="K67" s="119"/>
      <c r="L67" s="119"/>
      <c r="M67" s="120"/>
      <c r="N67" s="121"/>
      <c r="O67" s="121"/>
      <c r="P67" s="121"/>
      <c r="Q67" s="121"/>
      <c r="R67" s="121"/>
    </row>
    <row r="68" spans="2:18" x14ac:dyDescent="0.2">
      <c r="B68" s="247" t="s">
        <v>58</v>
      </c>
      <c r="C68" s="163" t="s">
        <v>59</v>
      </c>
      <c r="D68" s="317" t="s">
        <v>170</v>
      </c>
      <c r="E68" s="318"/>
      <c r="F68" s="318"/>
      <c r="G68" s="319"/>
      <c r="H68" s="27">
        <f>H62</f>
        <v>618.15319999999997</v>
      </c>
      <c r="I68" s="195"/>
      <c r="J68" s="137"/>
      <c r="K68" s="119"/>
      <c r="L68" s="119"/>
      <c r="M68" s="120"/>
      <c r="N68" s="121"/>
      <c r="O68" s="121"/>
      <c r="P68" s="121"/>
      <c r="Q68" s="121"/>
      <c r="R68" s="121"/>
    </row>
    <row r="69" spans="2:18" x14ac:dyDescent="0.2">
      <c r="B69" s="247" t="s">
        <v>171</v>
      </c>
      <c r="C69" s="280" t="s">
        <v>78</v>
      </c>
      <c r="D69" s="328"/>
      <c r="E69" s="328"/>
      <c r="F69" s="328"/>
      <c r="G69" s="281"/>
      <c r="H69" s="23">
        <f>SUM(H66:H68)</f>
        <v>2298.7031999999999</v>
      </c>
      <c r="I69" s="24"/>
      <c r="J69" s="137"/>
      <c r="K69" s="119"/>
      <c r="L69" s="119"/>
      <c r="M69" s="120"/>
      <c r="N69" s="121"/>
      <c r="O69" s="121"/>
      <c r="P69" s="121"/>
      <c r="Q69" s="121"/>
      <c r="R69" s="121"/>
    </row>
    <row r="70" spans="2:18" x14ac:dyDescent="0.2">
      <c r="B70" s="343"/>
      <c r="C70" s="343"/>
      <c r="D70" s="343"/>
      <c r="E70" s="343"/>
      <c r="F70" s="343"/>
      <c r="G70" s="343"/>
      <c r="H70" s="343"/>
      <c r="I70" s="208"/>
      <c r="J70" s="137"/>
      <c r="K70" s="119"/>
      <c r="L70" s="119"/>
      <c r="M70" s="120"/>
      <c r="N70" s="121"/>
      <c r="O70" s="121"/>
      <c r="P70" s="121"/>
      <c r="Q70" s="121"/>
      <c r="R70" s="121"/>
    </row>
    <row r="71" spans="2:18" x14ac:dyDescent="0.2">
      <c r="B71" s="239"/>
      <c r="C71" s="239"/>
      <c r="D71" s="239"/>
      <c r="E71" s="239"/>
      <c r="F71" s="239"/>
      <c r="G71" s="239"/>
      <c r="H71" s="239"/>
      <c r="I71" s="208"/>
      <c r="J71" s="137"/>
      <c r="K71" s="119"/>
      <c r="L71" s="119"/>
      <c r="M71" s="120"/>
      <c r="N71" s="121"/>
      <c r="O71" s="121"/>
      <c r="P71" s="121"/>
      <c r="Q71" s="121"/>
      <c r="R71" s="121"/>
    </row>
    <row r="72" spans="2:18" x14ac:dyDescent="0.2">
      <c r="B72" s="324" t="s">
        <v>89</v>
      </c>
      <c r="C72" s="324"/>
      <c r="D72" s="324"/>
      <c r="E72" s="324"/>
      <c r="F72" s="324"/>
      <c r="G72" s="324"/>
      <c r="H72" s="324"/>
      <c r="I72" s="208"/>
      <c r="J72" s="137"/>
      <c r="K72" s="119"/>
      <c r="L72" s="119"/>
      <c r="M72" s="120"/>
      <c r="N72" s="121"/>
      <c r="O72" s="121"/>
      <c r="P72" s="121"/>
      <c r="Q72" s="121"/>
      <c r="R72" s="121"/>
    </row>
    <row r="73" spans="2:18" x14ac:dyDescent="0.2">
      <c r="B73" s="177">
        <v>3</v>
      </c>
      <c r="C73" s="280" t="s">
        <v>79</v>
      </c>
      <c r="D73" s="328"/>
      <c r="E73" s="328"/>
      <c r="F73" s="281"/>
      <c r="G73" s="177" t="s">
        <v>2</v>
      </c>
      <c r="H73" s="177" t="s">
        <v>67</v>
      </c>
      <c r="I73" s="208"/>
      <c r="J73" s="143"/>
      <c r="K73" s="119"/>
      <c r="L73" s="119"/>
      <c r="M73" s="120"/>
      <c r="N73" s="121"/>
      <c r="O73" s="121"/>
      <c r="P73" s="121"/>
      <c r="Q73" s="121"/>
      <c r="R73" s="121"/>
    </row>
    <row r="74" spans="2:18" x14ac:dyDescent="0.2">
      <c r="B74" s="247" t="s">
        <v>5</v>
      </c>
      <c r="C74" s="164" t="s">
        <v>118</v>
      </c>
      <c r="D74" s="317" t="s">
        <v>188</v>
      </c>
      <c r="E74" s="318"/>
      <c r="F74" s="319"/>
      <c r="G74" s="87">
        <v>0.3</v>
      </c>
      <c r="H74" s="31">
        <f>TRUNC((H$75+H$76)*$G74,2)</f>
        <v>125.9</v>
      </c>
      <c r="I74" s="24"/>
      <c r="J74" s="140"/>
      <c r="K74" s="119"/>
      <c r="L74" s="119"/>
      <c r="M74" s="120"/>
      <c r="N74" s="121"/>
      <c r="O74" s="144"/>
      <c r="P74" s="121"/>
      <c r="Q74" s="121"/>
      <c r="R74" s="121"/>
    </row>
    <row r="75" spans="2:18" x14ac:dyDescent="0.2">
      <c r="B75" s="247" t="s">
        <v>6</v>
      </c>
      <c r="C75" s="175" t="s">
        <v>119</v>
      </c>
      <c r="D75" s="317" t="s">
        <v>210</v>
      </c>
      <c r="E75" s="318"/>
      <c r="F75" s="319"/>
      <c r="G75" s="32"/>
      <c r="H75" s="27">
        <f>TRUNC((H$31+H$40+H$52+H$62-H57)/12,2)</f>
        <v>318.37</v>
      </c>
      <c r="I75" s="195"/>
      <c r="J75" s="137"/>
      <c r="K75" s="119"/>
      <c r="L75" s="119"/>
      <c r="M75" s="120"/>
      <c r="N75" s="121"/>
      <c r="O75" s="145"/>
      <c r="P75" s="121"/>
      <c r="Q75" s="121"/>
      <c r="R75" s="121"/>
    </row>
    <row r="76" spans="2:18" x14ac:dyDescent="0.2">
      <c r="B76" s="247" t="s">
        <v>7</v>
      </c>
      <c r="C76" s="175" t="s">
        <v>120</v>
      </c>
      <c r="D76" s="317" t="s">
        <v>200</v>
      </c>
      <c r="E76" s="319"/>
      <c r="F76" s="89">
        <v>0.4</v>
      </c>
      <c r="G76" s="32"/>
      <c r="H76" s="27">
        <f>TRUNC(H$52*$F76,2)</f>
        <v>101.31</v>
      </c>
      <c r="I76" s="195"/>
      <c r="J76" s="137"/>
      <c r="K76" s="119"/>
      <c r="L76" s="119"/>
      <c r="M76" s="120"/>
      <c r="N76" s="121"/>
      <c r="O76" s="145"/>
      <c r="P76" s="121"/>
      <c r="Q76" s="121"/>
      <c r="R76" s="121"/>
    </row>
    <row r="77" spans="2:18" x14ac:dyDescent="0.2">
      <c r="B77" s="247" t="s">
        <v>8</v>
      </c>
      <c r="C77" s="164" t="s">
        <v>121</v>
      </c>
      <c r="D77" s="317" t="s">
        <v>189</v>
      </c>
      <c r="E77" s="318"/>
      <c r="F77" s="319"/>
      <c r="G77" s="87">
        <v>1</v>
      </c>
      <c r="H77" s="168">
        <f>IF($G77&gt;=1,(TRUNC(H$78*$G77,2)),"ERRO")</f>
        <v>101.31</v>
      </c>
      <c r="I77" s="197"/>
      <c r="J77" s="137"/>
      <c r="K77" s="119"/>
      <c r="L77" s="119"/>
      <c r="M77" s="120"/>
      <c r="N77" s="121"/>
      <c r="O77" s="141"/>
      <c r="P77" s="121"/>
      <c r="Q77" s="121"/>
      <c r="R77" s="121"/>
    </row>
    <row r="78" spans="2:18" x14ac:dyDescent="0.2">
      <c r="B78" s="247" t="s">
        <v>9</v>
      </c>
      <c r="C78" s="175" t="s">
        <v>122</v>
      </c>
      <c r="D78" s="317" t="s">
        <v>200</v>
      </c>
      <c r="E78" s="319"/>
      <c r="F78" s="89">
        <v>0.4</v>
      </c>
      <c r="G78" s="32"/>
      <c r="H78" s="27">
        <f>TRUNC(H$52*$F78,2)</f>
        <v>101.31</v>
      </c>
      <c r="I78" s="195"/>
      <c r="J78" s="137"/>
      <c r="K78" s="119"/>
      <c r="L78" s="119"/>
      <c r="M78" s="120"/>
      <c r="N78" s="121"/>
      <c r="O78" s="141"/>
      <c r="P78" s="121"/>
      <c r="Q78" s="121"/>
      <c r="R78" s="121"/>
    </row>
    <row r="79" spans="2:18" x14ac:dyDescent="0.2">
      <c r="B79" s="247" t="s">
        <v>10</v>
      </c>
      <c r="C79" s="164" t="s">
        <v>207</v>
      </c>
      <c r="D79" s="341" t="s">
        <v>201</v>
      </c>
      <c r="E79" s="342"/>
      <c r="F79" s="88">
        <v>12</v>
      </c>
      <c r="G79" s="88">
        <v>3</v>
      </c>
      <c r="H79" s="27">
        <f>TRUNC(((H$31+H$40+H$53)/30)*$G79/$F79,2)</f>
        <v>36.090000000000003</v>
      </c>
      <c r="I79" s="195"/>
      <c r="J79" s="190"/>
      <c r="K79" s="120"/>
      <c r="L79" s="120"/>
      <c r="M79" s="120"/>
      <c r="N79" s="121"/>
      <c r="O79" s="141"/>
      <c r="P79" s="121"/>
      <c r="Q79" s="121"/>
      <c r="R79" s="121"/>
    </row>
    <row r="80" spans="2:18" x14ac:dyDescent="0.2">
      <c r="B80" s="247" t="s">
        <v>175</v>
      </c>
      <c r="C80" s="280" t="s">
        <v>78</v>
      </c>
      <c r="D80" s="328"/>
      <c r="E80" s="328"/>
      <c r="F80" s="328"/>
      <c r="G80" s="281"/>
      <c r="H80" s="23">
        <f>H$74+H$77+H$79</f>
        <v>263.3</v>
      </c>
      <c r="I80" s="24"/>
      <c r="J80" s="121"/>
      <c r="K80" s="121"/>
      <c r="L80" s="121"/>
      <c r="M80" s="120"/>
      <c r="N80" s="121"/>
      <c r="O80" s="121"/>
      <c r="P80" s="121"/>
      <c r="Q80" s="121"/>
      <c r="R80" s="121"/>
    </row>
    <row r="81" spans="2:18" x14ac:dyDescent="0.2">
      <c r="B81" s="185"/>
      <c r="C81" s="185"/>
      <c r="D81" s="185"/>
      <c r="E81" s="185"/>
      <c r="F81" s="185"/>
      <c r="G81" s="185"/>
      <c r="H81" s="185"/>
      <c r="I81" s="185"/>
      <c r="J81" s="137"/>
      <c r="K81" s="119"/>
      <c r="L81" s="119"/>
      <c r="M81" s="120"/>
      <c r="N81" s="121"/>
      <c r="O81" s="121"/>
      <c r="P81" s="121"/>
      <c r="Q81" s="121"/>
      <c r="R81" s="121"/>
    </row>
    <row r="82" spans="2:18" x14ac:dyDescent="0.2">
      <c r="B82" s="239"/>
      <c r="C82" s="239"/>
      <c r="D82" s="239"/>
      <c r="E82" s="239"/>
      <c r="F82" s="239"/>
      <c r="G82" s="239"/>
      <c r="H82" s="239"/>
      <c r="I82" s="208"/>
      <c r="J82" s="137"/>
      <c r="K82" s="119"/>
      <c r="L82" s="119"/>
      <c r="M82" s="120"/>
      <c r="N82" s="121"/>
      <c r="O82" s="121"/>
      <c r="P82" s="121"/>
      <c r="Q82" s="121"/>
      <c r="R82" s="121"/>
    </row>
    <row r="83" spans="2:18" x14ac:dyDescent="0.2">
      <c r="B83" s="324" t="s">
        <v>90</v>
      </c>
      <c r="C83" s="324"/>
      <c r="D83" s="324"/>
      <c r="E83" s="324"/>
      <c r="F83" s="324"/>
      <c r="G83" s="324"/>
      <c r="H83" s="324"/>
      <c r="I83" s="208"/>
      <c r="J83" s="137"/>
      <c r="K83" s="119"/>
      <c r="L83" s="119"/>
      <c r="M83" s="120"/>
      <c r="N83" s="121"/>
      <c r="O83" s="121"/>
      <c r="P83" s="121"/>
      <c r="Q83" s="121"/>
      <c r="R83" s="121"/>
    </row>
    <row r="84" spans="2:18" x14ac:dyDescent="0.2">
      <c r="B84" s="335" t="s">
        <v>110</v>
      </c>
      <c r="C84" s="336"/>
      <c r="D84" s="336"/>
      <c r="E84" s="336"/>
      <c r="F84" s="336"/>
      <c r="G84" s="336"/>
      <c r="H84" s="337"/>
      <c r="I84" s="208"/>
      <c r="J84" s="137"/>
      <c r="K84" s="119"/>
      <c r="L84" s="119"/>
      <c r="M84" s="120"/>
      <c r="N84" s="121"/>
      <c r="O84" s="121"/>
      <c r="P84" s="121"/>
      <c r="Q84" s="121"/>
      <c r="R84" s="121"/>
    </row>
    <row r="85" spans="2:18" x14ac:dyDescent="0.2">
      <c r="B85" s="177" t="s">
        <v>17</v>
      </c>
      <c r="C85" s="280" t="s">
        <v>111</v>
      </c>
      <c r="D85" s="328"/>
      <c r="E85" s="328"/>
      <c r="F85" s="281"/>
      <c r="G85" s="177" t="s">
        <v>126</v>
      </c>
      <c r="H85" s="177" t="s">
        <v>67</v>
      </c>
      <c r="I85" s="208"/>
      <c r="J85" s="119"/>
      <c r="K85" s="119"/>
      <c r="L85" s="119"/>
      <c r="M85" s="120"/>
      <c r="N85" s="146"/>
      <c r="O85" s="121"/>
      <c r="P85" s="121"/>
      <c r="Q85" s="121"/>
      <c r="R85" s="121"/>
    </row>
    <row r="86" spans="2:18" x14ac:dyDescent="0.2">
      <c r="B86" s="247" t="s">
        <v>5</v>
      </c>
      <c r="C86" s="175" t="s">
        <v>132</v>
      </c>
      <c r="D86" s="317" t="s">
        <v>181</v>
      </c>
      <c r="E86" s="318"/>
      <c r="F86" s="319"/>
      <c r="G86" s="88">
        <v>30</v>
      </c>
      <c r="H86" s="27">
        <f>TRUNC((H$88*$G86)/12,2)</f>
        <v>434.37</v>
      </c>
      <c r="I86" s="195"/>
      <c r="J86" s="140"/>
      <c r="K86" s="119"/>
      <c r="L86" s="119"/>
      <c r="M86" s="120"/>
      <c r="N86" s="146"/>
      <c r="O86" s="121"/>
      <c r="P86" s="121"/>
      <c r="Q86" s="121"/>
      <c r="R86" s="121"/>
    </row>
    <row r="87" spans="2:18" ht="22.5" x14ac:dyDescent="0.2">
      <c r="B87" s="247" t="s">
        <v>6</v>
      </c>
      <c r="C87" s="165" t="s">
        <v>187</v>
      </c>
      <c r="D87" s="338" t="s">
        <v>190</v>
      </c>
      <c r="E87" s="339"/>
      <c r="F87" s="340"/>
      <c r="G87" s="114">
        <v>8</v>
      </c>
      <c r="H87" s="27">
        <f>TRUNC((H$88*$G87)/12,2)</f>
        <v>115.83</v>
      </c>
      <c r="I87" s="195"/>
      <c r="J87" s="140"/>
      <c r="K87" s="119"/>
      <c r="L87" s="119"/>
      <c r="M87" s="120"/>
      <c r="N87" s="146"/>
      <c r="O87" s="121"/>
      <c r="P87" s="121"/>
      <c r="Q87" s="121"/>
      <c r="R87" s="121"/>
    </row>
    <row r="88" spans="2:18" x14ac:dyDescent="0.2">
      <c r="B88" s="247" t="s">
        <v>7</v>
      </c>
      <c r="C88" s="175" t="s">
        <v>134</v>
      </c>
      <c r="D88" s="317" t="s">
        <v>174</v>
      </c>
      <c r="E88" s="318"/>
      <c r="F88" s="318"/>
      <c r="G88" s="319"/>
      <c r="H88" s="27">
        <f>TRUNC((H$31+H$69+H$80)/30,2)</f>
        <v>173.75</v>
      </c>
      <c r="I88" s="195"/>
      <c r="J88" s="140"/>
      <c r="K88" s="119"/>
      <c r="L88" s="119"/>
      <c r="M88" s="120"/>
      <c r="N88" s="146"/>
      <c r="O88" s="121"/>
      <c r="P88" s="121"/>
      <c r="Q88" s="121"/>
      <c r="R88" s="121"/>
    </row>
    <row r="89" spans="2:18" x14ac:dyDescent="0.2">
      <c r="B89" s="247" t="s">
        <v>176</v>
      </c>
      <c r="C89" s="280" t="s">
        <v>78</v>
      </c>
      <c r="D89" s="328"/>
      <c r="E89" s="328"/>
      <c r="F89" s="328"/>
      <c r="G89" s="281"/>
      <c r="H89" s="23">
        <f>TRUNC(H$86+H$87,2)</f>
        <v>550.20000000000005</v>
      </c>
      <c r="I89" s="24"/>
      <c r="J89" s="140"/>
      <c r="K89" s="119"/>
      <c r="L89" s="119"/>
      <c r="M89" s="120"/>
      <c r="N89" s="121"/>
      <c r="O89" s="121"/>
      <c r="P89" s="121"/>
      <c r="Q89" s="121"/>
      <c r="R89" s="121"/>
    </row>
    <row r="90" spans="2:18" x14ac:dyDescent="0.2">
      <c r="B90" s="147"/>
      <c r="C90" s="148"/>
      <c r="D90" s="148"/>
      <c r="E90" s="148"/>
      <c r="F90" s="148"/>
      <c r="G90" s="148"/>
      <c r="H90" s="149"/>
      <c r="I90" s="33"/>
      <c r="J90" s="137"/>
      <c r="K90" s="119"/>
      <c r="L90" s="119"/>
      <c r="M90" s="120"/>
      <c r="N90" s="121"/>
      <c r="O90" s="121"/>
      <c r="P90" s="121"/>
      <c r="Q90" s="121"/>
      <c r="R90" s="121"/>
    </row>
    <row r="91" spans="2:18" x14ac:dyDescent="0.2">
      <c r="B91" s="332" t="s">
        <v>112</v>
      </c>
      <c r="C91" s="333"/>
      <c r="D91" s="333"/>
      <c r="E91" s="333"/>
      <c r="F91" s="333"/>
      <c r="G91" s="333"/>
      <c r="H91" s="334"/>
      <c r="I91" s="208"/>
      <c r="J91" s="137"/>
      <c r="K91" s="119"/>
      <c r="L91" s="119"/>
      <c r="M91" s="120"/>
      <c r="N91" s="121"/>
      <c r="O91" s="121"/>
      <c r="P91" s="121"/>
      <c r="Q91" s="121"/>
      <c r="R91" s="121"/>
    </row>
    <row r="92" spans="2:18" x14ac:dyDescent="0.2">
      <c r="B92" s="177" t="s">
        <v>18</v>
      </c>
      <c r="C92" s="280" t="s">
        <v>113</v>
      </c>
      <c r="D92" s="328"/>
      <c r="E92" s="328"/>
      <c r="F92" s="281"/>
      <c r="G92" s="177" t="s">
        <v>126</v>
      </c>
      <c r="H92" s="177" t="s">
        <v>67</v>
      </c>
      <c r="I92" s="208"/>
      <c r="J92" s="137"/>
      <c r="K92" s="119"/>
      <c r="L92" s="119"/>
      <c r="M92" s="120"/>
      <c r="N92" s="121"/>
      <c r="O92" s="121"/>
      <c r="P92" s="121"/>
      <c r="Q92" s="121"/>
      <c r="R92" s="121"/>
    </row>
    <row r="93" spans="2:18" ht="22.5" x14ac:dyDescent="0.2">
      <c r="B93" s="247" t="s">
        <v>5</v>
      </c>
      <c r="C93" s="165" t="s">
        <v>114</v>
      </c>
      <c r="D93" s="317" t="s">
        <v>212</v>
      </c>
      <c r="E93" s="318"/>
      <c r="F93" s="319"/>
      <c r="G93" s="88"/>
      <c r="H93" s="27">
        <f>TRUNC(((H$31+H69+H80)/220)*(1+50%)*G93,2)</f>
        <v>0</v>
      </c>
      <c r="I93" s="195"/>
      <c r="J93" s="137"/>
      <c r="K93" s="119"/>
      <c r="L93" s="119"/>
      <c r="M93" s="120"/>
      <c r="N93" s="121"/>
      <c r="O93" s="121"/>
      <c r="P93" s="121"/>
      <c r="Q93" s="121"/>
      <c r="R93" s="121"/>
    </row>
    <row r="94" spans="2:18" x14ac:dyDescent="0.2">
      <c r="B94" s="247" t="s">
        <v>177</v>
      </c>
      <c r="C94" s="280" t="s">
        <v>78</v>
      </c>
      <c r="D94" s="328"/>
      <c r="E94" s="328"/>
      <c r="F94" s="328"/>
      <c r="G94" s="281"/>
      <c r="H94" s="23">
        <f>H93</f>
        <v>0</v>
      </c>
      <c r="I94" s="195"/>
      <c r="J94" s="137"/>
      <c r="K94" s="119"/>
      <c r="L94" s="119"/>
      <c r="M94" s="120"/>
      <c r="N94" s="121"/>
      <c r="O94" s="121"/>
      <c r="P94" s="121"/>
      <c r="Q94" s="121"/>
      <c r="R94" s="121"/>
    </row>
    <row r="95" spans="2:18" x14ac:dyDescent="0.2">
      <c r="B95" s="249"/>
      <c r="C95" s="250"/>
      <c r="D95" s="250"/>
      <c r="E95" s="250"/>
      <c r="F95" s="250"/>
      <c r="G95" s="250"/>
      <c r="H95" s="251"/>
      <c r="I95" s="217"/>
      <c r="J95" s="137"/>
      <c r="K95" s="119"/>
      <c r="L95" s="119"/>
      <c r="M95" s="120"/>
      <c r="N95" s="121"/>
      <c r="O95" s="121"/>
      <c r="P95" s="121"/>
      <c r="Q95" s="121"/>
      <c r="R95" s="121"/>
    </row>
    <row r="96" spans="2:18" x14ac:dyDescent="0.2">
      <c r="B96" s="332" t="s">
        <v>91</v>
      </c>
      <c r="C96" s="333"/>
      <c r="D96" s="333"/>
      <c r="E96" s="333"/>
      <c r="F96" s="333"/>
      <c r="G96" s="333"/>
      <c r="H96" s="334"/>
      <c r="I96" s="208"/>
      <c r="J96" s="137"/>
      <c r="K96" s="119"/>
      <c r="L96" s="119"/>
      <c r="M96" s="120"/>
      <c r="N96" s="121"/>
      <c r="O96" s="121"/>
      <c r="P96" s="121"/>
      <c r="Q96" s="121"/>
      <c r="R96" s="121"/>
    </row>
    <row r="97" spans="2:18" x14ac:dyDescent="0.2">
      <c r="B97" s="177">
        <v>4</v>
      </c>
      <c r="C97" s="280" t="s">
        <v>92</v>
      </c>
      <c r="D97" s="328"/>
      <c r="E97" s="328"/>
      <c r="F97" s="328"/>
      <c r="G97" s="281"/>
      <c r="H97" s="177" t="s">
        <v>67</v>
      </c>
      <c r="I97" s="208"/>
      <c r="J97" s="137"/>
      <c r="K97" s="119"/>
      <c r="L97" s="119"/>
      <c r="M97" s="120"/>
      <c r="N97" s="150"/>
      <c r="O97" s="121"/>
      <c r="P97" s="121"/>
      <c r="Q97" s="121"/>
      <c r="R97" s="121"/>
    </row>
    <row r="98" spans="2:18" x14ac:dyDescent="0.2">
      <c r="B98" s="247" t="s">
        <v>17</v>
      </c>
      <c r="C98" s="175" t="s">
        <v>60</v>
      </c>
      <c r="D98" s="317" t="s">
        <v>176</v>
      </c>
      <c r="E98" s="318"/>
      <c r="F98" s="318"/>
      <c r="G98" s="319"/>
      <c r="H98" s="27">
        <f>H89</f>
        <v>550.20000000000005</v>
      </c>
      <c r="I98" s="195"/>
      <c r="J98" s="137"/>
      <c r="K98" s="137"/>
      <c r="L98" s="137"/>
      <c r="M98" s="137"/>
      <c r="N98" s="121"/>
      <c r="O98" s="121"/>
      <c r="P98" s="121"/>
      <c r="Q98" s="121"/>
      <c r="R98" s="121"/>
    </row>
    <row r="99" spans="2:18" x14ac:dyDescent="0.2">
      <c r="B99" s="247" t="s">
        <v>18</v>
      </c>
      <c r="C99" s="175" t="s">
        <v>62</v>
      </c>
      <c r="D99" s="317" t="s">
        <v>177</v>
      </c>
      <c r="E99" s="318"/>
      <c r="F99" s="318"/>
      <c r="G99" s="319"/>
      <c r="H99" s="27">
        <f>H94</f>
        <v>0</v>
      </c>
      <c r="I99" s="195"/>
      <c r="J99" s="137"/>
      <c r="K99" s="119"/>
      <c r="L99" s="119"/>
      <c r="M99" s="120"/>
      <c r="N99" s="121"/>
      <c r="O99" s="121"/>
      <c r="P99" s="121"/>
      <c r="Q99" s="121"/>
      <c r="R99" s="121"/>
    </row>
    <row r="100" spans="2:18" x14ac:dyDescent="0.2">
      <c r="B100" s="247" t="s">
        <v>178</v>
      </c>
      <c r="C100" s="280" t="s">
        <v>78</v>
      </c>
      <c r="D100" s="328"/>
      <c r="E100" s="328"/>
      <c r="F100" s="328"/>
      <c r="G100" s="281"/>
      <c r="H100" s="23">
        <f>SUM(H98:H99)</f>
        <v>550.20000000000005</v>
      </c>
      <c r="I100" s="24"/>
      <c r="J100" s="137"/>
      <c r="K100" s="119"/>
      <c r="L100" s="119"/>
      <c r="M100" s="120"/>
      <c r="N100" s="121"/>
      <c r="O100" s="121"/>
      <c r="P100" s="121"/>
      <c r="Q100" s="121"/>
      <c r="R100" s="121"/>
    </row>
    <row r="101" spans="2:18" x14ac:dyDescent="0.2">
      <c r="B101" s="239"/>
      <c r="C101" s="239"/>
      <c r="D101" s="239"/>
      <c r="E101" s="239"/>
      <c r="F101" s="239"/>
      <c r="G101" s="239"/>
      <c r="H101" s="239"/>
      <c r="I101" s="208"/>
      <c r="J101" s="137"/>
      <c r="K101" s="119"/>
      <c r="L101" s="119"/>
      <c r="M101" s="120"/>
      <c r="N101" s="121"/>
      <c r="O101" s="121"/>
      <c r="P101" s="121"/>
      <c r="Q101" s="121"/>
      <c r="R101" s="121"/>
    </row>
    <row r="102" spans="2:18" x14ac:dyDescent="0.2">
      <c r="B102" s="239"/>
      <c r="C102" s="239"/>
      <c r="D102" s="239"/>
      <c r="E102" s="239"/>
      <c r="F102" s="239"/>
      <c r="G102" s="239"/>
      <c r="H102" s="239"/>
      <c r="I102" s="208"/>
      <c r="J102" s="137"/>
      <c r="K102" s="119"/>
      <c r="L102" s="119"/>
      <c r="M102" s="120"/>
      <c r="N102" s="121"/>
      <c r="O102" s="121"/>
      <c r="P102" s="121"/>
      <c r="Q102" s="121"/>
      <c r="R102" s="121"/>
    </row>
    <row r="103" spans="2:18" x14ac:dyDescent="0.2">
      <c r="B103" s="324" t="s">
        <v>93</v>
      </c>
      <c r="C103" s="324"/>
      <c r="D103" s="324"/>
      <c r="E103" s="324"/>
      <c r="F103" s="324"/>
      <c r="G103" s="324"/>
      <c r="H103" s="324"/>
      <c r="I103" s="208"/>
      <c r="J103" s="137"/>
      <c r="K103" s="119"/>
      <c r="L103" s="119"/>
      <c r="M103" s="120"/>
      <c r="N103" s="121"/>
      <c r="O103" s="121"/>
      <c r="P103" s="121"/>
      <c r="Q103" s="121"/>
      <c r="R103" s="121"/>
    </row>
    <row r="104" spans="2:18" x14ac:dyDescent="0.2">
      <c r="B104" s="177">
        <v>5</v>
      </c>
      <c r="C104" s="329" t="s">
        <v>80</v>
      </c>
      <c r="D104" s="330"/>
      <c r="E104" s="330"/>
      <c r="F104" s="330"/>
      <c r="G104" s="331"/>
      <c r="H104" s="177" t="s">
        <v>67</v>
      </c>
      <c r="I104" s="208"/>
      <c r="J104" s="137"/>
      <c r="K104" s="119"/>
      <c r="L104" s="119"/>
      <c r="M104" s="120"/>
      <c r="N104" s="121"/>
      <c r="O104" s="121"/>
      <c r="P104" s="121"/>
      <c r="Q104" s="121"/>
      <c r="R104" s="121"/>
    </row>
    <row r="105" spans="2:18" x14ac:dyDescent="0.2">
      <c r="B105" s="247" t="s">
        <v>5</v>
      </c>
      <c r="C105" s="126" t="s">
        <v>63</v>
      </c>
      <c r="D105" s="127"/>
      <c r="E105" s="127"/>
      <c r="F105" s="127"/>
      <c r="G105" s="128"/>
      <c r="H105" s="129">
        <f>Insumos!G11</f>
        <v>105.67</v>
      </c>
      <c r="I105" s="195"/>
      <c r="J105" s="137"/>
      <c r="K105" s="119"/>
      <c r="L105" s="119"/>
      <c r="M105" s="120"/>
      <c r="N105" s="121"/>
      <c r="O105" s="121"/>
      <c r="P105" s="121"/>
      <c r="Q105" s="121"/>
      <c r="R105" s="121"/>
    </row>
    <row r="106" spans="2:18" x14ac:dyDescent="0.2">
      <c r="B106" s="247" t="s">
        <v>6</v>
      </c>
      <c r="C106" s="126" t="s">
        <v>236</v>
      </c>
      <c r="D106" s="127"/>
      <c r="E106" s="127"/>
      <c r="F106" s="127"/>
      <c r="G106" s="128"/>
      <c r="H106" s="129">
        <f>Insumos!G24</f>
        <v>27.6</v>
      </c>
      <c r="I106" s="195"/>
      <c r="J106" s="137"/>
      <c r="K106" s="119"/>
      <c r="L106" s="119"/>
      <c r="M106" s="120"/>
      <c r="N106" s="121"/>
      <c r="O106" s="121"/>
      <c r="P106" s="121"/>
      <c r="Q106" s="121"/>
      <c r="R106" s="121"/>
    </row>
    <row r="107" spans="2:18" x14ac:dyDescent="0.2">
      <c r="B107" s="247" t="s">
        <v>7</v>
      </c>
      <c r="C107" s="126" t="s">
        <v>14</v>
      </c>
      <c r="D107" s="127"/>
      <c r="E107" s="127"/>
      <c r="F107" s="127"/>
      <c r="G107" s="128"/>
      <c r="H107" s="129">
        <f>Insumos!H94</f>
        <v>61.579999999999991</v>
      </c>
      <c r="I107" s="195"/>
      <c r="J107" s="137"/>
      <c r="K107" s="119"/>
      <c r="L107" s="119"/>
      <c r="M107" s="120"/>
      <c r="N107" s="121"/>
      <c r="O107" s="121"/>
      <c r="P107" s="121"/>
      <c r="Q107" s="121"/>
      <c r="R107" s="121"/>
    </row>
    <row r="108" spans="2:18" x14ac:dyDescent="0.2">
      <c r="B108" s="247" t="s">
        <v>8</v>
      </c>
      <c r="C108" s="126" t="s">
        <v>225</v>
      </c>
      <c r="D108" s="127"/>
      <c r="E108" s="127"/>
      <c r="F108" s="127"/>
      <c r="G108" s="128"/>
      <c r="H108" s="129">
        <f>Insumos!H39</f>
        <v>3.8</v>
      </c>
      <c r="I108" s="195"/>
      <c r="J108" s="137"/>
      <c r="K108" s="119"/>
      <c r="L108" s="119"/>
      <c r="M108" s="120"/>
      <c r="N108" s="121"/>
      <c r="O108" s="121"/>
      <c r="P108" s="121"/>
      <c r="Q108" s="121"/>
      <c r="R108" s="121"/>
    </row>
    <row r="109" spans="2:18" x14ac:dyDescent="0.2">
      <c r="B109" s="247" t="s">
        <v>179</v>
      </c>
      <c r="C109" s="161" t="s">
        <v>78</v>
      </c>
      <c r="D109" s="161"/>
      <c r="E109" s="161"/>
      <c r="F109" s="161"/>
      <c r="G109" s="162"/>
      <c r="H109" s="23">
        <f>SUM(H105:H108)</f>
        <v>198.65</v>
      </c>
      <c r="I109" s="24"/>
      <c r="J109" s="137"/>
      <c r="K109" s="119"/>
      <c r="L109" s="119"/>
      <c r="M109" s="120"/>
      <c r="N109" s="121"/>
      <c r="O109" s="121"/>
      <c r="P109" s="121"/>
      <c r="Q109" s="121"/>
      <c r="R109" s="121"/>
    </row>
    <row r="110" spans="2:18" x14ac:dyDescent="0.2">
      <c r="B110" s="239"/>
      <c r="C110" s="239"/>
      <c r="D110" s="239"/>
      <c r="E110" s="239"/>
      <c r="F110" s="239"/>
      <c r="G110" s="151"/>
      <c r="H110" s="136"/>
      <c r="I110" s="24"/>
      <c r="J110" s="137"/>
      <c r="K110" s="119"/>
      <c r="L110" s="119"/>
      <c r="M110" s="120"/>
      <c r="N110" s="121"/>
      <c r="O110" s="121"/>
      <c r="P110" s="121"/>
      <c r="Q110" s="121"/>
      <c r="R110" s="121"/>
    </row>
    <row r="111" spans="2:18" x14ac:dyDescent="0.2">
      <c r="B111" s="239"/>
      <c r="C111" s="239"/>
      <c r="D111" s="239"/>
      <c r="E111" s="239"/>
      <c r="F111" s="239"/>
      <c r="G111" s="239"/>
      <c r="H111" s="239"/>
      <c r="I111" s="208"/>
      <c r="J111" s="137"/>
      <c r="K111" s="119"/>
      <c r="L111" s="119"/>
      <c r="M111" s="120"/>
      <c r="N111" s="121"/>
      <c r="O111" s="121"/>
      <c r="P111" s="121"/>
      <c r="Q111" s="121"/>
      <c r="R111" s="121"/>
    </row>
    <row r="112" spans="2:18" x14ac:dyDescent="0.2">
      <c r="B112" s="324" t="s">
        <v>94</v>
      </c>
      <c r="C112" s="324"/>
      <c r="D112" s="324"/>
      <c r="E112" s="324"/>
      <c r="F112" s="324"/>
      <c r="G112" s="324"/>
      <c r="H112" s="324"/>
      <c r="I112" s="208"/>
      <c r="J112" s="137"/>
      <c r="K112" s="119"/>
      <c r="L112" s="119"/>
      <c r="M112" s="120"/>
      <c r="N112" s="121"/>
      <c r="O112" s="121"/>
      <c r="P112" s="121"/>
      <c r="Q112" s="121"/>
      <c r="R112" s="121"/>
    </row>
    <row r="113" spans="2:18" x14ac:dyDescent="0.2">
      <c r="B113" s="177">
        <v>6</v>
      </c>
      <c r="C113" s="280" t="s">
        <v>81</v>
      </c>
      <c r="D113" s="328"/>
      <c r="E113" s="328"/>
      <c r="F113" s="281"/>
      <c r="G113" s="177" t="s">
        <v>2</v>
      </c>
      <c r="H113" s="177" t="s">
        <v>67</v>
      </c>
      <c r="I113" s="208"/>
      <c r="J113" s="137"/>
      <c r="K113" s="119"/>
      <c r="L113" s="119"/>
      <c r="M113" s="120"/>
      <c r="N113" s="121"/>
      <c r="O113" s="121"/>
      <c r="P113" s="121"/>
      <c r="Q113" s="121"/>
      <c r="R113" s="121"/>
    </row>
    <row r="114" spans="2:18" x14ac:dyDescent="0.2">
      <c r="B114" s="247" t="s">
        <v>5</v>
      </c>
      <c r="C114" s="175" t="s">
        <v>19</v>
      </c>
      <c r="D114" s="317" t="s">
        <v>191</v>
      </c>
      <c r="E114" s="318"/>
      <c r="F114" s="319"/>
      <c r="G114" s="103">
        <v>0.05</v>
      </c>
      <c r="H114" s="27">
        <f>TRUNC(H$131*$G114,2)</f>
        <v>298.08</v>
      </c>
      <c r="I114" s="195"/>
      <c r="J114" s="119"/>
      <c r="K114" s="119"/>
      <c r="L114" s="119"/>
      <c r="M114" s="120"/>
      <c r="N114" s="121"/>
      <c r="O114" s="121"/>
      <c r="P114" s="121"/>
      <c r="Q114" s="121"/>
      <c r="R114" s="121"/>
    </row>
    <row r="115" spans="2:18" x14ac:dyDescent="0.2">
      <c r="B115" s="247" t="s">
        <v>6</v>
      </c>
      <c r="C115" s="175" t="s">
        <v>4</v>
      </c>
      <c r="D115" s="317" t="s">
        <v>192</v>
      </c>
      <c r="E115" s="318"/>
      <c r="F115" s="319"/>
      <c r="G115" s="103">
        <v>0.1</v>
      </c>
      <c r="H115" s="27">
        <f>TRUNC((H$131+H$114)*$G115,2)</f>
        <v>625.97</v>
      </c>
      <c r="I115" s="195"/>
      <c r="J115" s="119"/>
      <c r="K115" s="119"/>
      <c r="L115" s="119"/>
      <c r="M115" s="120"/>
      <c r="N115" s="121"/>
      <c r="O115" s="121"/>
      <c r="P115" s="121"/>
      <c r="Q115" s="121"/>
      <c r="R115" s="121"/>
    </row>
    <row r="116" spans="2:18" x14ac:dyDescent="0.2">
      <c r="B116" s="247" t="s">
        <v>7</v>
      </c>
      <c r="C116" s="175" t="s">
        <v>143</v>
      </c>
      <c r="D116" s="317" t="s">
        <v>193</v>
      </c>
      <c r="E116" s="318"/>
      <c r="F116" s="319"/>
      <c r="G116" s="105">
        <f>1-(G117+G118+G119)</f>
        <v>0.85749999999999993</v>
      </c>
      <c r="H116" s="34">
        <f>TRUNC(((H$131+H$114+H$115)/$G116),2)</f>
        <v>8029.95</v>
      </c>
      <c r="I116" s="198"/>
      <c r="J116" s="137"/>
      <c r="K116" s="119"/>
      <c r="L116" s="119"/>
      <c r="M116" s="120"/>
      <c r="N116" s="121"/>
      <c r="O116" s="121"/>
      <c r="P116" s="121"/>
      <c r="Q116" s="121"/>
      <c r="R116" s="121"/>
    </row>
    <row r="117" spans="2:18" x14ac:dyDescent="0.2">
      <c r="B117" s="247" t="s">
        <v>40</v>
      </c>
      <c r="C117" s="175" t="s">
        <v>37</v>
      </c>
      <c r="D117" s="317" t="s">
        <v>194</v>
      </c>
      <c r="E117" s="318"/>
      <c r="F117" s="319"/>
      <c r="G117" s="104">
        <v>1.6500000000000001E-2</v>
      </c>
      <c r="H117" s="27">
        <f>TRUNC(H$116*$G117,2)</f>
        <v>132.49</v>
      </c>
      <c r="I117" s="195"/>
      <c r="J117" s="137"/>
      <c r="K117" s="119"/>
      <c r="L117" s="119"/>
      <c r="M117" s="120"/>
      <c r="N117" s="121"/>
      <c r="O117" s="121"/>
      <c r="P117" s="121"/>
      <c r="Q117" s="121"/>
      <c r="R117" s="121"/>
    </row>
    <row r="118" spans="2:18" x14ac:dyDescent="0.2">
      <c r="B118" s="247" t="s">
        <v>41</v>
      </c>
      <c r="C118" s="175" t="s">
        <v>38</v>
      </c>
      <c r="D118" s="317" t="s">
        <v>194</v>
      </c>
      <c r="E118" s="318"/>
      <c r="F118" s="319"/>
      <c r="G118" s="104">
        <v>7.5999999999999998E-2</v>
      </c>
      <c r="H118" s="27">
        <f>TRUNC(H$116*$G118,2)</f>
        <v>610.27</v>
      </c>
      <c r="I118" s="195"/>
      <c r="J118" s="137"/>
      <c r="K118" s="119"/>
      <c r="L118" s="119"/>
      <c r="M118" s="120"/>
      <c r="N118" s="121"/>
      <c r="O118" s="121"/>
      <c r="P118" s="121"/>
      <c r="Q118" s="121"/>
      <c r="R118" s="121"/>
    </row>
    <row r="119" spans="2:18" x14ac:dyDescent="0.2">
      <c r="B119" s="247" t="s">
        <v>42</v>
      </c>
      <c r="C119" s="175" t="s">
        <v>39</v>
      </c>
      <c r="D119" s="317" t="s">
        <v>194</v>
      </c>
      <c r="E119" s="318"/>
      <c r="F119" s="319"/>
      <c r="G119" s="104">
        <v>0.05</v>
      </c>
      <c r="H119" s="27">
        <f>TRUNC(H$116*$G119,2)</f>
        <v>401.49</v>
      </c>
      <c r="I119" s="195"/>
      <c r="J119" s="137"/>
      <c r="K119" s="119"/>
      <c r="L119" s="119"/>
      <c r="M119" s="120"/>
      <c r="N119" s="121"/>
      <c r="O119" s="121"/>
      <c r="P119" s="121"/>
      <c r="Q119" s="121"/>
      <c r="R119" s="121"/>
    </row>
    <row r="120" spans="2:18" x14ac:dyDescent="0.2">
      <c r="B120" s="247" t="s">
        <v>180</v>
      </c>
      <c r="C120" s="242" t="s">
        <v>78</v>
      </c>
      <c r="D120" s="309" t="s">
        <v>182</v>
      </c>
      <c r="E120" s="309"/>
      <c r="F120" s="309"/>
      <c r="G120" s="310"/>
      <c r="H120" s="23">
        <f>SUM(H114:H119)-H116</f>
        <v>2068.3000000000002</v>
      </c>
      <c r="I120" s="24"/>
      <c r="J120" s="140"/>
      <c r="K120" s="119"/>
      <c r="L120" s="119"/>
      <c r="M120" s="120"/>
      <c r="N120" s="121"/>
      <c r="O120" s="121"/>
      <c r="P120" s="121"/>
      <c r="Q120" s="121"/>
      <c r="R120" s="121"/>
    </row>
    <row r="121" spans="2:18" x14ac:dyDescent="0.2">
      <c r="B121" s="124"/>
      <c r="C121" s="124"/>
      <c r="D121" s="124"/>
      <c r="E121" s="124"/>
      <c r="F121" s="124"/>
      <c r="G121" s="124"/>
      <c r="H121" s="152"/>
      <c r="I121" s="35"/>
      <c r="J121" s="119"/>
      <c r="K121" s="119"/>
      <c r="L121" s="119"/>
      <c r="M121" s="120"/>
      <c r="N121" s="121"/>
      <c r="O121" s="121"/>
      <c r="P121" s="121"/>
      <c r="Q121" s="121"/>
      <c r="R121" s="121"/>
    </row>
    <row r="122" spans="2:18" x14ac:dyDescent="0.2">
      <c r="B122" s="323" t="s">
        <v>319</v>
      </c>
      <c r="C122" s="323"/>
      <c r="D122" s="323"/>
      <c r="E122" s="323"/>
      <c r="F122" s="323"/>
      <c r="G122" s="323"/>
      <c r="H122" s="323"/>
      <c r="I122" s="209"/>
      <c r="J122" s="119"/>
      <c r="K122" s="153"/>
      <c r="L122" s="119"/>
      <c r="M122" s="120"/>
      <c r="N122" s="121"/>
      <c r="O122" s="121"/>
      <c r="P122" s="121"/>
      <c r="Q122" s="121"/>
      <c r="R122" s="121"/>
    </row>
    <row r="123" spans="2:18" x14ac:dyDescent="0.2">
      <c r="B123" s="241"/>
      <c r="C123" s="241"/>
      <c r="D123" s="241"/>
      <c r="E123" s="241"/>
      <c r="F123" s="241"/>
      <c r="G123" s="241"/>
      <c r="H123" s="241"/>
      <c r="I123" s="209"/>
      <c r="J123" s="119"/>
      <c r="K123" s="153"/>
      <c r="L123" s="119"/>
      <c r="M123" s="120"/>
      <c r="N123" s="121"/>
      <c r="O123" s="121"/>
      <c r="P123" s="121"/>
      <c r="Q123" s="121"/>
      <c r="R123" s="121"/>
    </row>
    <row r="124" spans="2:18" x14ac:dyDescent="0.2">
      <c r="B124" s="324" t="s">
        <v>116</v>
      </c>
      <c r="C124" s="324"/>
      <c r="D124" s="324"/>
      <c r="E124" s="324"/>
      <c r="F124" s="324"/>
      <c r="G124" s="324"/>
      <c r="H124" s="324"/>
      <c r="I124" s="208"/>
      <c r="J124" s="119"/>
      <c r="K124" s="153"/>
      <c r="L124" s="119"/>
      <c r="M124" s="120"/>
      <c r="N124" s="121"/>
      <c r="O124" s="121"/>
      <c r="P124" s="121"/>
      <c r="Q124" s="121"/>
      <c r="R124" s="121"/>
    </row>
    <row r="125" spans="2:18" ht="12.75" customHeight="1" x14ac:dyDescent="0.2">
      <c r="B125" s="36"/>
      <c r="C125" s="325" t="s">
        <v>144</v>
      </c>
      <c r="D125" s="326"/>
      <c r="E125" s="326"/>
      <c r="F125" s="326"/>
      <c r="G125" s="327"/>
      <c r="H125" s="177" t="s">
        <v>67</v>
      </c>
      <c r="I125" s="208"/>
      <c r="J125" s="119"/>
      <c r="K125" s="119"/>
      <c r="L125" s="119"/>
      <c r="M125" s="120"/>
      <c r="N125" s="121"/>
      <c r="O125" s="121"/>
      <c r="P125" s="121"/>
      <c r="Q125" s="121"/>
      <c r="R125" s="121"/>
    </row>
    <row r="126" spans="2:18" x14ac:dyDescent="0.2">
      <c r="B126" s="247" t="s">
        <v>5</v>
      </c>
      <c r="C126" s="165" t="s">
        <v>97</v>
      </c>
      <c r="D126" s="317" t="s">
        <v>157</v>
      </c>
      <c r="E126" s="318"/>
      <c r="F126" s="318"/>
      <c r="G126" s="319"/>
      <c r="H126" s="27">
        <f>H31</f>
        <v>2650.78</v>
      </c>
      <c r="I126" s="195"/>
      <c r="J126" s="119"/>
      <c r="K126" s="119"/>
      <c r="L126" s="119"/>
      <c r="M126" s="120"/>
      <c r="N126" s="121"/>
      <c r="O126" s="121"/>
      <c r="P126" s="121"/>
      <c r="Q126" s="121"/>
      <c r="R126" s="121"/>
    </row>
    <row r="127" spans="2:18" ht="22.5" x14ac:dyDescent="0.2">
      <c r="B127" s="247" t="s">
        <v>6</v>
      </c>
      <c r="C127" s="165" t="s">
        <v>98</v>
      </c>
      <c r="D127" s="317" t="s">
        <v>171</v>
      </c>
      <c r="E127" s="318"/>
      <c r="F127" s="318"/>
      <c r="G127" s="319"/>
      <c r="H127" s="27">
        <f>H69</f>
        <v>2298.7031999999999</v>
      </c>
      <c r="I127" s="195"/>
      <c r="J127" s="119"/>
      <c r="K127" s="119"/>
      <c r="L127" s="119"/>
      <c r="M127" s="120"/>
      <c r="N127" s="121"/>
      <c r="O127" s="121"/>
      <c r="P127" s="121"/>
      <c r="Q127" s="121"/>
      <c r="R127" s="121"/>
    </row>
    <row r="128" spans="2:18" x14ac:dyDescent="0.2">
      <c r="B128" s="247" t="s">
        <v>7</v>
      </c>
      <c r="C128" s="165" t="s">
        <v>99</v>
      </c>
      <c r="D128" s="317" t="s">
        <v>175</v>
      </c>
      <c r="E128" s="318"/>
      <c r="F128" s="318"/>
      <c r="G128" s="319"/>
      <c r="H128" s="27">
        <f>H80</f>
        <v>263.3</v>
      </c>
      <c r="I128" s="195"/>
      <c r="J128" s="119"/>
      <c r="K128" s="153"/>
      <c r="L128" s="119"/>
      <c r="M128" s="120"/>
      <c r="N128" s="121"/>
      <c r="O128" s="121"/>
      <c r="P128" s="121"/>
      <c r="Q128" s="121"/>
      <c r="R128" s="121"/>
    </row>
    <row r="129" spans="2:18" ht="22.5" x14ac:dyDescent="0.2">
      <c r="B129" s="247" t="s">
        <v>8</v>
      </c>
      <c r="C129" s="165" t="s">
        <v>61</v>
      </c>
      <c r="D129" s="317" t="s">
        <v>178</v>
      </c>
      <c r="E129" s="318"/>
      <c r="F129" s="318"/>
      <c r="G129" s="319"/>
      <c r="H129" s="27">
        <f>H100</f>
        <v>550.20000000000005</v>
      </c>
      <c r="I129" s="195"/>
      <c r="J129" s="119"/>
      <c r="K129" s="153"/>
      <c r="L129" s="119"/>
      <c r="M129" s="120"/>
      <c r="N129" s="121"/>
      <c r="O129" s="121"/>
      <c r="P129" s="121"/>
      <c r="Q129" s="121"/>
      <c r="R129" s="121"/>
    </row>
    <row r="130" spans="2:18" x14ac:dyDescent="0.2">
      <c r="B130" s="247" t="s">
        <v>9</v>
      </c>
      <c r="C130" s="165" t="s">
        <v>100</v>
      </c>
      <c r="D130" s="317" t="s">
        <v>179</v>
      </c>
      <c r="E130" s="318"/>
      <c r="F130" s="318"/>
      <c r="G130" s="319"/>
      <c r="H130" s="27">
        <f>H109</f>
        <v>198.65</v>
      </c>
      <c r="I130" s="195"/>
      <c r="J130" s="119"/>
      <c r="K130" s="119"/>
      <c r="L130" s="119"/>
      <c r="M130" s="120"/>
      <c r="N130" s="121"/>
      <c r="O130" s="121"/>
      <c r="P130" s="121"/>
      <c r="Q130" s="121"/>
      <c r="R130" s="121"/>
    </row>
    <row r="131" spans="2:18" x14ac:dyDescent="0.2">
      <c r="B131" s="246" t="s">
        <v>10</v>
      </c>
      <c r="C131" s="164" t="s">
        <v>64</v>
      </c>
      <c r="D131" s="320" t="s">
        <v>198</v>
      </c>
      <c r="E131" s="321"/>
      <c r="F131" s="321"/>
      <c r="G131" s="322"/>
      <c r="H131" s="31">
        <f>SUM(H126:H130)</f>
        <v>5961.6332000000002</v>
      </c>
      <c r="I131" s="24"/>
      <c r="J131" s="119"/>
      <c r="K131" s="154"/>
      <c r="L131" s="119"/>
      <c r="M131" s="120"/>
      <c r="N131" s="121"/>
      <c r="O131" s="121"/>
      <c r="P131" s="121"/>
      <c r="Q131" s="121"/>
      <c r="R131" s="121"/>
    </row>
    <row r="132" spans="2:18" x14ac:dyDescent="0.2">
      <c r="B132" s="247" t="s">
        <v>11</v>
      </c>
      <c r="C132" s="175" t="s">
        <v>101</v>
      </c>
      <c r="D132" s="317" t="s">
        <v>180</v>
      </c>
      <c r="E132" s="318"/>
      <c r="F132" s="318"/>
      <c r="G132" s="319"/>
      <c r="H132" s="27">
        <f>H120</f>
        <v>2068.3000000000002</v>
      </c>
      <c r="I132" s="195"/>
      <c r="J132" s="119"/>
      <c r="K132" s="119"/>
      <c r="L132" s="119"/>
      <c r="M132" s="120"/>
      <c r="N132" s="121"/>
      <c r="O132" s="121"/>
      <c r="P132" s="121"/>
      <c r="Q132" s="121"/>
      <c r="R132" s="121"/>
    </row>
    <row r="133" spans="2:18" x14ac:dyDescent="0.2">
      <c r="B133" s="247" t="s">
        <v>183</v>
      </c>
      <c r="C133" s="238" t="s">
        <v>96</v>
      </c>
      <c r="D133" s="308" t="s">
        <v>197</v>
      </c>
      <c r="E133" s="309"/>
      <c r="F133" s="309"/>
      <c r="G133" s="310"/>
      <c r="H133" s="37">
        <f>SUM(H131:H132)</f>
        <v>8029.9332000000004</v>
      </c>
      <c r="I133" s="213"/>
      <c r="J133" s="119"/>
      <c r="K133" s="155"/>
      <c r="L133" s="119"/>
      <c r="M133" s="120"/>
      <c r="N133" s="121"/>
      <c r="O133" s="121"/>
      <c r="P133" s="121"/>
      <c r="Q133" s="121"/>
      <c r="R133" s="121"/>
    </row>
    <row r="134" spans="2:18" ht="12.75" hidden="1" customHeight="1" x14ac:dyDescent="0.2">
      <c r="B134" s="14"/>
      <c r="C134" s="14"/>
      <c r="D134" s="14"/>
      <c r="E134" s="14"/>
      <c r="F134" s="14"/>
      <c r="G134" s="14"/>
      <c r="H134" s="38"/>
      <c r="I134" s="214"/>
      <c r="J134" s="156"/>
      <c r="K134" s="156"/>
      <c r="L134" s="156"/>
      <c r="M134" s="121"/>
      <c r="N134" s="121"/>
      <c r="O134" s="121"/>
      <c r="P134" s="121"/>
      <c r="Q134" s="121"/>
      <c r="R134" s="121"/>
    </row>
    <row r="135" spans="2:18" ht="40.5" hidden="1" customHeight="1" x14ac:dyDescent="0.2">
      <c r="B135" s="39"/>
      <c r="C135" s="39" t="s">
        <v>20</v>
      </c>
      <c r="D135" s="39"/>
      <c r="E135" s="39"/>
      <c r="F135" s="39"/>
      <c r="G135" s="40"/>
      <c r="H135" s="40"/>
      <c r="I135" s="215"/>
      <c r="J135" s="156"/>
      <c r="K135" s="156"/>
      <c r="L135" s="156"/>
      <c r="M135" s="121"/>
      <c r="N135" s="121"/>
      <c r="O135" s="121"/>
      <c r="P135" s="121"/>
      <c r="Q135" s="121"/>
      <c r="R135" s="121"/>
    </row>
    <row r="136" spans="2:18" ht="39" hidden="1" customHeight="1" x14ac:dyDescent="0.2">
      <c r="B136" s="311" t="s">
        <v>22</v>
      </c>
      <c r="C136" s="312"/>
      <c r="D136" s="252"/>
      <c r="E136" s="252"/>
      <c r="F136" s="252"/>
      <c r="G136" s="41" t="s">
        <v>21</v>
      </c>
      <c r="H136" s="42" t="s">
        <v>0</v>
      </c>
      <c r="I136" s="215"/>
      <c r="J136" s="156"/>
      <c r="K136" s="156"/>
      <c r="L136" s="156"/>
      <c r="M136" s="121"/>
      <c r="N136" s="121"/>
      <c r="O136" s="121"/>
      <c r="P136" s="121"/>
      <c r="Q136" s="121"/>
      <c r="R136" s="121"/>
    </row>
    <row r="137" spans="2:18" ht="12.75" hidden="1" customHeight="1" x14ac:dyDescent="0.2">
      <c r="B137" s="313" t="s">
        <v>23</v>
      </c>
      <c r="C137" s="314"/>
      <c r="D137" s="43"/>
      <c r="E137" s="43"/>
      <c r="F137" s="43"/>
      <c r="G137" s="44"/>
      <c r="H137" s="45">
        <v>0</v>
      </c>
      <c r="I137" s="199"/>
      <c r="J137" s="156"/>
      <c r="K137" s="156"/>
      <c r="L137" s="156"/>
      <c r="M137" s="121"/>
      <c r="N137" s="121"/>
      <c r="O137" s="121"/>
      <c r="P137" s="121"/>
      <c r="Q137" s="121"/>
      <c r="R137" s="121"/>
    </row>
    <row r="138" spans="2:18" ht="12.75" hidden="1" customHeight="1" x14ac:dyDescent="0.2">
      <c r="B138" s="315" t="s">
        <v>24</v>
      </c>
      <c r="C138" s="316"/>
      <c r="D138" s="46"/>
      <c r="E138" s="46"/>
      <c r="F138" s="46"/>
      <c r="G138" s="47"/>
      <c r="H138" s="48">
        <v>0</v>
      </c>
      <c r="I138" s="199"/>
      <c r="J138" s="156"/>
      <c r="K138" s="156"/>
      <c r="L138" s="156"/>
      <c r="M138" s="121"/>
      <c r="N138" s="121"/>
      <c r="O138" s="121"/>
      <c r="P138" s="121"/>
      <c r="Q138" s="121"/>
      <c r="R138" s="121"/>
    </row>
    <row r="139" spans="2:18" ht="12.75" hidden="1" customHeight="1" x14ac:dyDescent="0.2">
      <c r="B139" s="315" t="s">
        <v>25</v>
      </c>
      <c r="C139" s="316"/>
      <c r="D139" s="46"/>
      <c r="E139" s="46"/>
      <c r="F139" s="46"/>
      <c r="G139" s="47"/>
      <c r="H139" s="48">
        <v>0</v>
      </c>
      <c r="I139" s="199"/>
      <c r="J139" s="156"/>
      <c r="K139" s="156"/>
      <c r="L139" s="156"/>
      <c r="M139" s="121"/>
      <c r="N139" s="121"/>
      <c r="O139" s="121"/>
      <c r="P139" s="121"/>
      <c r="Q139" s="121"/>
      <c r="R139" s="121"/>
    </row>
    <row r="140" spans="2:18" ht="12.75" hidden="1" customHeight="1" x14ac:dyDescent="0.2">
      <c r="B140" s="315" t="s">
        <v>26</v>
      </c>
      <c r="C140" s="316"/>
      <c r="D140" s="46"/>
      <c r="E140" s="46"/>
      <c r="F140" s="46"/>
      <c r="G140" s="47"/>
      <c r="H140" s="48">
        <v>0</v>
      </c>
      <c r="I140" s="199"/>
      <c r="J140" s="156"/>
      <c r="K140" s="156"/>
      <c r="L140" s="156"/>
      <c r="M140" s="121"/>
      <c r="N140" s="121"/>
      <c r="O140" s="121"/>
      <c r="P140" s="121"/>
      <c r="Q140" s="121"/>
      <c r="R140" s="121"/>
    </row>
    <row r="141" spans="2:18" ht="12.75" hidden="1" customHeight="1" x14ac:dyDescent="0.2">
      <c r="B141" s="299"/>
      <c r="C141" s="300"/>
      <c r="D141" s="49"/>
      <c r="E141" s="49"/>
      <c r="F141" s="49"/>
      <c r="G141" s="50"/>
      <c r="H141" s="48"/>
      <c r="I141" s="199"/>
      <c r="J141" s="156"/>
      <c r="K141" s="156"/>
      <c r="L141" s="156"/>
      <c r="M141" s="121"/>
      <c r="N141" s="121"/>
      <c r="O141" s="121"/>
      <c r="P141" s="121"/>
      <c r="Q141" s="121"/>
      <c r="R141" s="121"/>
    </row>
    <row r="142" spans="2:18" ht="13.5" hidden="1" customHeight="1" x14ac:dyDescent="0.2">
      <c r="B142" s="301"/>
      <c r="C142" s="302"/>
      <c r="D142" s="51"/>
      <c r="E142" s="51"/>
      <c r="F142" s="51"/>
      <c r="G142" s="52"/>
      <c r="H142" s="53"/>
      <c r="I142" s="199"/>
      <c r="J142" s="156"/>
      <c r="K142" s="156"/>
      <c r="L142" s="156"/>
      <c r="M142" s="121"/>
      <c r="N142" s="121"/>
      <c r="O142" s="121"/>
      <c r="P142" s="121"/>
      <c r="Q142" s="121"/>
      <c r="R142" s="121"/>
    </row>
    <row r="143" spans="2:18" ht="13.5" hidden="1" customHeight="1" x14ac:dyDescent="0.2">
      <c r="B143" s="54" t="s">
        <v>27</v>
      </c>
      <c r="C143" s="55"/>
      <c r="D143" s="55"/>
      <c r="E143" s="55"/>
      <c r="F143" s="55"/>
      <c r="G143" s="56"/>
      <c r="H143" s="57">
        <f>SUM(H141:H142)</f>
        <v>0</v>
      </c>
      <c r="I143" s="200"/>
      <c r="J143" s="156"/>
      <c r="K143" s="156"/>
      <c r="L143" s="156"/>
      <c r="M143" s="121"/>
      <c r="N143" s="121"/>
      <c r="O143" s="121"/>
      <c r="P143" s="121"/>
      <c r="Q143" s="121"/>
      <c r="R143" s="121"/>
    </row>
    <row r="144" spans="2:18" ht="12.75" hidden="1" customHeight="1" x14ac:dyDescent="0.2">
      <c r="B144" s="14"/>
      <c r="C144" s="14"/>
      <c r="D144" s="14"/>
      <c r="E144" s="14"/>
      <c r="F144" s="14"/>
      <c r="G144" s="14"/>
      <c r="H144" s="14"/>
      <c r="I144" s="18"/>
      <c r="J144" s="156"/>
      <c r="K144" s="156"/>
      <c r="L144" s="156"/>
      <c r="M144" s="121"/>
      <c r="N144" s="121"/>
      <c r="O144" s="121"/>
      <c r="P144" s="121"/>
      <c r="Q144" s="121"/>
      <c r="R144" s="121"/>
    </row>
    <row r="145" spans="2:18" ht="13.5" hidden="1" customHeight="1" x14ac:dyDescent="0.2">
      <c r="B145" s="39" t="s">
        <v>28</v>
      </c>
      <c r="C145" s="39" t="s">
        <v>29</v>
      </c>
      <c r="D145" s="39"/>
      <c r="E145" s="39"/>
      <c r="F145" s="39"/>
      <c r="G145" s="40"/>
      <c r="H145" s="40"/>
      <c r="I145" s="215"/>
      <c r="J145" s="156"/>
      <c r="K145" s="156"/>
      <c r="L145" s="156"/>
      <c r="M145" s="121"/>
      <c r="N145" s="121"/>
      <c r="O145" s="121"/>
      <c r="P145" s="121"/>
      <c r="Q145" s="121"/>
      <c r="R145" s="121"/>
    </row>
    <row r="146" spans="2:18" ht="13.5" hidden="1" customHeight="1" x14ac:dyDescent="0.2">
      <c r="B146" s="58" t="s">
        <v>30</v>
      </c>
      <c r="C146" s="59"/>
      <c r="D146" s="59"/>
      <c r="E146" s="59"/>
      <c r="F146" s="59"/>
      <c r="G146" s="59"/>
      <c r="H146" s="60"/>
      <c r="I146" s="215"/>
      <c r="J146" s="156"/>
      <c r="K146" s="156"/>
      <c r="L146" s="156"/>
      <c r="M146" s="121"/>
      <c r="N146" s="121"/>
      <c r="O146" s="121"/>
      <c r="P146" s="121"/>
      <c r="Q146" s="121"/>
      <c r="R146" s="121"/>
    </row>
    <row r="147" spans="2:18" ht="12.75" hidden="1" customHeight="1" x14ac:dyDescent="0.2">
      <c r="B147" s="61"/>
      <c r="C147" s="62" t="s">
        <v>31</v>
      </c>
      <c r="D147" s="63"/>
      <c r="E147" s="63"/>
      <c r="F147" s="63"/>
      <c r="G147" s="64"/>
      <c r="H147" s="42" t="s">
        <v>0</v>
      </c>
      <c r="I147" s="215"/>
      <c r="J147" s="156"/>
      <c r="K147" s="156"/>
      <c r="L147" s="156"/>
      <c r="M147" s="121"/>
      <c r="N147" s="121"/>
      <c r="O147" s="121"/>
      <c r="P147" s="121"/>
      <c r="Q147" s="121"/>
      <c r="R147" s="121"/>
    </row>
    <row r="148" spans="2:18" ht="12.75" hidden="1" customHeight="1" x14ac:dyDescent="0.2">
      <c r="B148" s="65" t="s">
        <v>5</v>
      </c>
      <c r="C148" s="66" t="s">
        <v>32</v>
      </c>
      <c r="D148" s="67"/>
      <c r="E148" s="67"/>
      <c r="F148" s="67"/>
      <c r="G148" s="68"/>
      <c r="H148" s="69">
        <f>H117</f>
        <v>132.49</v>
      </c>
      <c r="I148" s="199"/>
      <c r="J148" s="156"/>
      <c r="K148" s="156"/>
      <c r="L148" s="156"/>
      <c r="M148" s="121"/>
      <c r="N148" s="121"/>
      <c r="O148" s="121"/>
      <c r="P148" s="121"/>
      <c r="Q148" s="121"/>
      <c r="R148" s="121"/>
    </row>
    <row r="149" spans="2:18" ht="13.5" hidden="1" customHeight="1" x14ac:dyDescent="0.2">
      <c r="B149" s="70" t="s">
        <v>6</v>
      </c>
      <c r="C149" s="71" t="s">
        <v>33</v>
      </c>
      <c r="D149" s="72"/>
      <c r="E149" s="72"/>
      <c r="F149" s="72"/>
      <c r="G149" s="73"/>
      <c r="H149" s="74" t="e">
        <f>#REF!</f>
        <v>#REF!</v>
      </c>
      <c r="I149" s="199"/>
      <c r="J149" s="156"/>
      <c r="K149" s="156"/>
      <c r="L149" s="156"/>
      <c r="M149" s="121"/>
      <c r="N149" s="121"/>
      <c r="O149" s="121"/>
      <c r="P149" s="121"/>
      <c r="Q149" s="121"/>
      <c r="R149" s="121"/>
    </row>
    <row r="150" spans="2:18" ht="13.5" hidden="1" customHeight="1" x14ac:dyDescent="0.2">
      <c r="B150" s="70" t="s">
        <v>7</v>
      </c>
      <c r="C150" s="75" t="s">
        <v>34</v>
      </c>
      <c r="D150" s="76"/>
      <c r="E150" s="76"/>
      <c r="F150" s="76"/>
      <c r="G150" s="77"/>
      <c r="H150" s="74">
        <f>H120</f>
        <v>2068.3000000000002</v>
      </c>
      <c r="I150" s="199"/>
      <c r="J150" s="156"/>
      <c r="K150" s="156"/>
      <c r="L150" s="156"/>
      <c r="M150" s="121"/>
      <c r="N150" s="121"/>
      <c r="O150" s="121"/>
      <c r="P150" s="121"/>
      <c r="Q150" s="121"/>
      <c r="R150" s="121"/>
    </row>
    <row r="151" spans="2:18" ht="13.5" hidden="1" customHeight="1" x14ac:dyDescent="0.2">
      <c r="B151" s="78" t="s">
        <v>16</v>
      </c>
      <c r="C151" s="79"/>
      <c r="D151" s="79"/>
      <c r="E151" s="79"/>
      <c r="F151" s="79"/>
      <c r="G151" s="80"/>
      <c r="H151" s="57" t="e">
        <f>SUM(H148:H150)</f>
        <v>#REF!</v>
      </c>
      <c r="I151" s="200"/>
      <c r="J151" s="156"/>
      <c r="K151" s="156"/>
      <c r="L151" s="156"/>
      <c r="M151" s="121"/>
      <c r="N151" s="121"/>
      <c r="O151" s="121"/>
      <c r="P151" s="121"/>
      <c r="Q151" s="121"/>
      <c r="R151" s="121"/>
    </row>
    <row r="152" spans="2:18" ht="12.75" hidden="1" customHeight="1" x14ac:dyDescent="0.2">
      <c r="B152" s="81" t="s">
        <v>15</v>
      </c>
      <c r="C152" s="14" t="s">
        <v>35</v>
      </c>
      <c r="D152" s="14"/>
      <c r="E152" s="14"/>
      <c r="F152" s="14"/>
      <c r="G152" s="14"/>
      <c r="H152" s="14"/>
      <c r="I152" s="18"/>
      <c r="J152" s="156"/>
      <c r="K152" s="156"/>
      <c r="L152" s="156"/>
      <c r="M152" s="121"/>
      <c r="N152" s="121"/>
      <c r="O152" s="121"/>
      <c r="P152" s="121"/>
      <c r="Q152" s="121"/>
      <c r="R152" s="121"/>
    </row>
    <row r="153" spans="2:18" ht="12.75" hidden="1" customHeight="1" x14ac:dyDescent="0.2">
      <c r="B153" s="14"/>
      <c r="C153" s="14"/>
      <c r="D153" s="14"/>
      <c r="E153" s="14"/>
      <c r="F153" s="14"/>
      <c r="G153" s="14"/>
      <c r="H153" s="14"/>
      <c r="I153" s="18"/>
      <c r="J153" s="156"/>
      <c r="K153" s="156"/>
      <c r="L153" s="156"/>
      <c r="M153" s="121"/>
      <c r="N153" s="121"/>
      <c r="O153" s="121"/>
      <c r="P153" s="121"/>
      <c r="Q153" s="121"/>
      <c r="R153" s="121"/>
    </row>
    <row r="154" spans="2:18" x14ac:dyDescent="0.2">
      <c r="I154" s="18"/>
      <c r="J154" s="156"/>
      <c r="K154" s="156"/>
      <c r="L154" s="156"/>
      <c r="M154" s="121"/>
      <c r="N154" s="121"/>
      <c r="O154" s="121"/>
      <c r="P154" s="121"/>
      <c r="Q154" s="121"/>
      <c r="R154" s="121"/>
    </row>
    <row r="155" spans="2:18" x14ac:dyDescent="0.2">
      <c r="B155" s="303" t="s">
        <v>320</v>
      </c>
      <c r="C155" s="303"/>
      <c r="D155" s="303"/>
      <c r="E155" s="303"/>
      <c r="F155" s="303"/>
      <c r="I155" s="18"/>
      <c r="J155" s="188"/>
      <c r="K155" s="157"/>
      <c r="L155" s="156"/>
      <c r="M155" s="121"/>
      <c r="N155" s="121"/>
      <c r="O155" s="121"/>
      <c r="P155" s="121"/>
      <c r="Q155" s="121"/>
      <c r="R155" s="121"/>
    </row>
    <row r="156" spans="2:18" x14ac:dyDescent="0.2">
      <c r="B156" s="158"/>
      <c r="C156" s="158"/>
      <c r="D156" s="158"/>
      <c r="E156" s="142"/>
      <c r="F156" s="142"/>
      <c r="I156" s="18"/>
    </row>
    <row r="157" spans="2:18" x14ac:dyDescent="0.2">
      <c r="B157" s="304" t="s">
        <v>202</v>
      </c>
      <c r="C157" s="304"/>
      <c r="D157" s="304"/>
      <c r="E157" s="304"/>
      <c r="F157" s="304"/>
      <c r="G157" s="304"/>
      <c r="H157" s="304"/>
      <c r="I157" s="210"/>
      <c r="J157" s="188"/>
    </row>
    <row r="158" spans="2:18" x14ac:dyDescent="0.2">
      <c r="B158" s="247" t="s">
        <v>5</v>
      </c>
      <c r="C158" s="167" t="s">
        <v>127</v>
      </c>
      <c r="D158" s="292" t="s">
        <v>183</v>
      </c>
      <c r="E158" s="293"/>
      <c r="F158" s="293"/>
      <c r="G158" s="294"/>
      <c r="H158" s="12">
        <f>H133</f>
        <v>8029.9332000000004</v>
      </c>
      <c r="I158" s="207"/>
    </row>
    <row r="159" spans="2:18" ht="22.5" x14ac:dyDescent="0.2">
      <c r="B159" s="247" t="s">
        <v>6</v>
      </c>
      <c r="C159" s="166" t="s">
        <v>185</v>
      </c>
      <c r="D159" s="292" t="s">
        <v>186</v>
      </c>
      <c r="E159" s="293"/>
      <c r="F159" s="293"/>
      <c r="G159" s="294"/>
      <c r="H159" s="12">
        <f>H40+H80+H98</f>
        <v>1328.92</v>
      </c>
      <c r="I159" s="201"/>
    </row>
    <row r="160" spans="2:18" ht="22.5" x14ac:dyDescent="0.2">
      <c r="B160" s="247" t="s">
        <v>7</v>
      </c>
      <c r="C160" s="205" t="s">
        <v>203</v>
      </c>
      <c r="D160" s="305" t="s">
        <v>211</v>
      </c>
      <c r="E160" s="306"/>
      <c r="F160" s="306"/>
      <c r="G160" s="307"/>
      <c r="H160" s="206">
        <f>TRUNC((H$40*$G53),2)</f>
        <v>189.67</v>
      </c>
      <c r="I160" s="207"/>
      <c r="J160" s="187"/>
    </row>
    <row r="161" spans="2:14" ht="12.75" customHeight="1" x14ac:dyDescent="0.2">
      <c r="B161" s="247" t="s">
        <v>8</v>
      </c>
      <c r="C161" s="166" t="s">
        <v>19</v>
      </c>
      <c r="D161" s="289" t="s">
        <v>195</v>
      </c>
      <c r="E161" s="290"/>
      <c r="F161" s="291"/>
      <c r="G161" s="13">
        <f>G114</f>
        <v>0.05</v>
      </c>
      <c r="H161" s="12">
        <f>TRUNC((H$159+H$160)*$G161,2)</f>
        <v>75.92</v>
      </c>
      <c r="I161" s="201"/>
      <c r="J161" s="288"/>
      <c r="K161" s="288"/>
      <c r="L161" s="288"/>
      <c r="M161" s="288"/>
      <c r="N161" s="288"/>
    </row>
    <row r="162" spans="2:14" ht="12.75" customHeight="1" x14ac:dyDescent="0.2">
      <c r="B162" s="247" t="s">
        <v>9</v>
      </c>
      <c r="C162" s="166" t="s">
        <v>4</v>
      </c>
      <c r="D162" s="289" t="s">
        <v>196</v>
      </c>
      <c r="E162" s="290"/>
      <c r="F162" s="291"/>
      <c r="G162" s="13">
        <f>G115</f>
        <v>0.1</v>
      </c>
      <c r="H162" s="12">
        <f>TRUNC((H$159+H$160+H$161)*$G162,2)</f>
        <v>159.44999999999999</v>
      </c>
      <c r="I162" s="201"/>
      <c r="J162" s="288"/>
      <c r="K162" s="288"/>
      <c r="L162" s="288"/>
      <c r="M162" s="288"/>
      <c r="N162" s="288"/>
    </row>
    <row r="163" spans="2:14" ht="12.75" customHeight="1" x14ac:dyDescent="0.2">
      <c r="B163" s="247" t="s">
        <v>10</v>
      </c>
      <c r="C163" s="166" t="s">
        <v>128</v>
      </c>
      <c r="D163" s="289" t="s">
        <v>205</v>
      </c>
      <c r="E163" s="290"/>
      <c r="F163" s="291"/>
      <c r="G163" s="13">
        <f>G117+G118+G119</f>
        <v>0.14250000000000002</v>
      </c>
      <c r="H163" s="12">
        <f>TRUNC((H$159+H$160+H$161+H$162)/(1-$G163)-(H$159+H$160+H$161+H$162),2)</f>
        <v>291.47000000000003</v>
      </c>
      <c r="I163" s="201"/>
      <c r="J163" s="288"/>
      <c r="K163" s="288"/>
      <c r="L163" s="288"/>
      <c r="M163" s="288"/>
      <c r="N163" s="288"/>
    </row>
    <row r="164" spans="2:14" ht="22.5" x14ac:dyDescent="0.2">
      <c r="B164" s="247" t="s">
        <v>11</v>
      </c>
      <c r="C164" s="274" t="s">
        <v>129</v>
      </c>
      <c r="D164" s="292" t="s">
        <v>206</v>
      </c>
      <c r="E164" s="293"/>
      <c r="F164" s="293"/>
      <c r="G164" s="294"/>
      <c r="H164" s="275">
        <f>SUM(H159:H163)</f>
        <v>2045.4300000000003</v>
      </c>
      <c r="I164" s="202"/>
    </row>
    <row r="165" spans="2:14" x14ac:dyDescent="0.2">
      <c r="B165" s="273" t="s">
        <v>184</v>
      </c>
      <c r="C165" s="276" t="s">
        <v>154</v>
      </c>
      <c r="D165" s="295" t="s">
        <v>204</v>
      </c>
      <c r="E165" s="296"/>
      <c r="F165" s="296"/>
      <c r="G165" s="297"/>
      <c r="H165" s="277">
        <f>H158-H164</f>
        <v>5984.5032000000001</v>
      </c>
      <c r="I165" s="216"/>
    </row>
    <row r="166" spans="2:14" ht="45" customHeight="1" x14ac:dyDescent="0.2">
      <c r="B166" s="298" t="s">
        <v>153</v>
      </c>
      <c r="C166" s="298"/>
      <c r="D166" s="298"/>
      <c r="E166" s="298"/>
      <c r="F166" s="298"/>
      <c r="G166" s="298"/>
      <c r="H166" s="298"/>
      <c r="I166" s="203"/>
    </row>
  </sheetData>
  <mergeCells count="139">
    <mergeCell ref="B166:H166"/>
    <mergeCell ref="D161:F161"/>
    <mergeCell ref="J161:N163"/>
    <mergeCell ref="D162:F162"/>
    <mergeCell ref="D163:F163"/>
    <mergeCell ref="D164:G164"/>
    <mergeCell ref="D165:G165"/>
    <mergeCell ref="B142:C142"/>
    <mergeCell ref="B155:F155"/>
    <mergeCell ref="B157:H157"/>
    <mergeCell ref="D158:G158"/>
    <mergeCell ref="D159:G159"/>
    <mergeCell ref="D160:G160"/>
    <mergeCell ref="B136:C136"/>
    <mergeCell ref="B137:C137"/>
    <mergeCell ref="B138:C138"/>
    <mergeCell ref="B139:C139"/>
    <mergeCell ref="B140:C140"/>
    <mergeCell ref="B141:C141"/>
    <mergeCell ref="D128:G128"/>
    <mergeCell ref="D129:G129"/>
    <mergeCell ref="D130:G130"/>
    <mergeCell ref="D131:G131"/>
    <mergeCell ref="D132:G132"/>
    <mergeCell ref="D133:G133"/>
    <mergeCell ref="D120:G120"/>
    <mergeCell ref="B122:H122"/>
    <mergeCell ref="B124:H124"/>
    <mergeCell ref="C125:G125"/>
    <mergeCell ref="D126:G126"/>
    <mergeCell ref="D127:G127"/>
    <mergeCell ref="D114:F114"/>
    <mergeCell ref="D115:F115"/>
    <mergeCell ref="D116:F116"/>
    <mergeCell ref="D117:F117"/>
    <mergeCell ref="D118:F118"/>
    <mergeCell ref="D119:F119"/>
    <mergeCell ref="D99:G99"/>
    <mergeCell ref="C100:G100"/>
    <mergeCell ref="B103:H103"/>
    <mergeCell ref="C104:G104"/>
    <mergeCell ref="B112:H112"/>
    <mergeCell ref="C113:F113"/>
    <mergeCell ref="C92:F92"/>
    <mergeCell ref="D93:F93"/>
    <mergeCell ref="C94:G94"/>
    <mergeCell ref="B96:H96"/>
    <mergeCell ref="C97:G97"/>
    <mergeCell ref="D98:G98"/>
    <mergeCell ref="C85:F85"/>
    <mergeCell ref="D86:F86"/>
    <mergeCell ref="D87:F87"/>
    <mergeCell ref="D88:G88"/>
    <mergeCell ref="C89:G89"/>
    <mergeCell ref="B91:H91"/>
    <mergeCell ref="D77:F77"/>
    <mergeCell ref="D78:E78"/>
    <mergeCell ref="D79:E79"/>
    <mergeCell ref="C80:G80"/>
    <mergeCell ref="B83:H83"/>
    <mergeCell ref="B84:H84"/>
    <mergeCell ref="B70:H70"/>
    <mergeCell ref="B72:H72"/>
    <mergeCell ref="C73:F73"/>
    <mergeCell ref="D74:F74"/>
    <mergeCell ref="D75:F75"/>
    <mergeCell ref="D76:E76"/>
    <mergeCell ref="B64:H64"/>
    <mergeCell ref="C65:G65"/>
    <mergeCell ref="D66:G66"/>
    <mergeCell ref="D67:G67"/>
    <mergeCell ref="D68:G68"/>
    <mergeCell ref="C69:G69"/>
    <mergeCell ref="J57:N57"/>
    <mergeCell ref="D58:G58"/>
    <mergeCell ref="D59:G59"/>
    <mergeCell ref="D61:G61"/>
    <mergeCell ref="C62:G62"/>
    <mergeCell ref="B63:H63"/>
    <mergeCell ref="D52:F52"/>
    <mergeCell ref="C53:F53"/>
    <mergeCell ref="B54:H54"/>
    <mergeCell ref="B55:H55"/>
    <mergeCell ref="C56:G56"/>
    <mergeCell ref="D57:G57"/>
    <mergeCell ref="H46:H47"/>
    <mergeCell ref="J46:J47"/>
    <mergeCell ref="D48:F48"/>
    <mergeCell ref="D49:F49"/>
    <mergeCell ref="D50:F50"/>
    <mergeCell ref="D51:F51"/>
    <mergeCell ref="D44:F44"/>
    <mergeCell ref="D45:F45"/>
    <mergeCell ref="B46:B47"/>
    <mergeCell ref="C46:C47"/>
    <mergeCell ref="D46:D47"/>
    <mergeCell ref="G46:G47"/>
    <mergeCell ref="D38:F38"/>
    <mergeCell ref="D39:F39"/>
    <mergeCell ref="C40:F40"/>
    <mergeCell ref="B41:H41"/>
    <mergeCell ref="B42:H42"/>
    <mergeCell ref="C43:F43"/>
    <mergeCell ref="C31:F31"/>
    <mergeCell ref="B34:H34"/>
    <mergeCell ref="B35:H35"/>
    <mergeCell ref="B36:H36"/>
    <mergeCell ref="C37:F37"/>
    <mergeCell ref="D26:F26"/>
    <mergeCell ref="D27:F27"/>
    <mergeCell ref="D28:F28"/>
    <mergeCell ref="D29:F29"/>
    <mergeCell ref="D30:F30"/>
    <mergeCell ref="B19:B20"/>
    <mergeCell ref="C19:H19"/>
    <mergeCell ref="C20:H20"/>
    <mergeCell ref="B22:H22"/>
    <mergeCell ref="B24:H24"/>
    <mergeCell ref="C25:F25"/>
    <mergeCell ref="B17:B18"/>
    <mergeCell ref="C17:H17"/>
    <mergeCell ref="C18:H18"/>
    <mergeCell ref="B11:B12"/>
    <mergeCell ref="C11:H11"/>
    <mergeCell ref="C12:H12"/>
    <mergeCell ref="B13:B14"/>
    <mergeCell ref="C13:H13"/>
    <mergeCell ref="C14:H14"/>
    <mergeCell ref="B2:H2"/>
    <mergeCell ref="B3:H3"/>
    <mergeCell ref="B6:F6"/>
    <mergeCell ref="G6:H6"/>
    <mergeCell ref="B8:H8"/>
    <mergeCell ref="B9:B10"/>
    <mergeCell ref="C9:H9"/>
    <mergeCell ref="C10:H10"/>
    <mergeCell ref="B15:B16"/>
    <mergeCell ref="C15:H15"/>
    <mergeCell ref="C16:H16"/>
  </mergeCells>
  <dataValidations count="10">
    <dataValidation type="list" allowBlank="1" showInputMessage="1" showErrorMessage="1" sqref="G79">
      <formula1>"3,6,9,12,15"</formula1>
    </dataValidation>
    <dataValidation type="custom" allowBlank="1" showInputMessage="1" showErrorMessage="1" sqref="G116">
      <formula1>1-(G117+G118+G119)</formula1>
    </dataValidation>
    <dataValidation type="list" operator="equal" allowBlank="1" showInputMessage="1" showErrorMessage="1" errorTitle="Valor errado" error="Percentual fixo. Preencher com 40%." sqref="F76 F78">
      <formula1>"40%"</formula1>
    </dataValidation>
    <dataValidation type="whole" allowBlank="1" showInputMessage="1" showErrorMessage="1" errorTitle="Valor errado" error="Quantidade fixa de dias. Prencher com 30" sqref="G86">
      <formula1>30</formula1>
      <formula2>30</formula2>
    </dataValidation>
    <dataValidation type="list" allowBlank="1" showInputMessage="1" showErrorMessage="1" sqref="G117">
      <mc:AlternateContent xmlns:x12ac="http://schemas.microsoft.com/office/spreadsheetml/2011/1/ac" xmlns:mc="http://schemas.openxmlformats.org/markup-compatibility/2006">
        <mc:Choice Requires="x12ac">
          <x12ac:list>"0,65%","1,65%"</x12ac:list>
        </mc:Choice>
        <mc:Fallback>
          <formula1>"0,65%,1,65%"</formula1>
        </mc:Fallback>
      </mc:AlternateContent>
    </dataValidation>
    <dataValidation type="list" allowBlank="1" showInputMessage="1" showErrorMessage="1" sqref="G118">
      <mc:AlternateContent xmlns:x12ac="http://schemas.microsoft.com/office/spreadsheetml/2011/1/ac" xmlns:mc="http://schemas.openxmlformats.org/markup-compatibility/2006">
        <mc:Choice Requires="x12ac">
          <x12ac:list>3%," 7,6%"</x12ac:list>
        </mc:Choice>
        <mc:Fallback>
          <formula1>"3%, 7,6%"</formula1>
        </mc:Fallback>
      </mc:AlternateContent>
    </dataValidation>
    <dataValidation type="list" allowBlank="1" showInputMessage="1" showErrorMessage="1" sqref="G29">
      <formula1>"0, 20%"</formula1>
    </dataValidation>
    <dataValidation type="list" allowBlank="1" showInputMessage="1" showErrorMessage="1" sqref="E47">
      <formula1>"1%, 2%, 3%"</formula1>
    </dataValidation>
    <dataValidation type="list" allowBlank="1" showInputMessage="1" showErrorMessage="1" sqref="G28">
      <formula1>"0%, 10%, 20%, 40%"</formula1>
    </dataValidation>
    <dataValidation type="list" allowBlank="1" showInputMessage="1" showErrorMessage="1" sqref="G27">
      <formula1>"0%, 30%"</formula1>
    </dataValidation>
  </dataValidations>
  <pageMargins left="0.511811024" right="0.511811024" top="0.78740157499999996" bottom="0.78740157499999996" header="0.31496062000000002" footer="0.31496062000000002"/>
  <pageSetup paperSize="9" scale="80" fitToHeight="0" orientation="portrait" verticalDpi="3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94"/>
  <sheetViews>
    <sheetView showGridLines="0" zoomScaleNormal="100" workbookViewId="0">
      <selection activeCell="J9" sqref="J9"/>
    </sheetView>
  </sheetViews>
  <sheetFormatPr defaultRowHeight="11.25" x14ac:dyDescent="0.2"/>
  <cols>
    <col min="1" max="1" width="3.7109375" style="93" customWidth="1"/>
    <col min="2" max="2" width="25.7109375" style="93" customWidth="1"/>
    <col min="3" max="3" width="14.140625" style="93" customWidth="1"/>
    <col min="4" max="4" width="15.42578125" style="93" customWidth="1"/>
    <col min="5" max="5" width="14" style="93" customWidth="1"/>
    <col min="6" max="6" width="11.42578125" style="93" customWidth="1"/>
    <col min="7" max="7" width="12.42578125" style="93" customWidth="1"/>
    <col min="8" max="10" width="15.7109375" style="93" customWidth="1"/>
    <col min="11" max="16384" width="9.140625" style="93"/>
  </cols>
  <sheetData>
    <row r="1" spans="1:12" ht="12" thickBot="1" x14ac:dyDescent="0.25"/>
    <row r="2" spans="1:12" ht="18.75" customHeight="1" thickBot="1" x14ac:dyDescent="0.25">
      <c r="A2" s="381" t="s">
        <v>102</v>
      </c>
      <c r="B2" s="382"/>
      <c r="C2" s="382"/>
      <c r="D2" s="382"/>
      <c r="E2" s="382"/>
      <c r="F2" s="382"/>
      <c r="G2" s="383"/>
      <c r="H2" s="257"/>
      <c r="I2" s="257"/>
    </row>
    <row r="3" spans="1:12" ht="14.25" x14ac:dyDescent="0.2">
      <c r="A3" s="262"/>
      <c r="B3" s="262"/>
      <c r="C3" s="262"/>
      <c r="D3" s="262"/>
      <c r="E3" s="262"/>
      <c r="F3" s="262"/>
      <c r="G3" s="262"/>
      <c r="H3" s="262"/>
      <c r="I3" s="262"/>
    </row>
    <row r="4" spans="1:12" ht="22.5" customHeight="1" x14ac:dyDescent="0.2">
      <c r="A4" s="384" t="s">
        <v>230</v>
      </c>
      <c r="B4" s="384"/>
      <c r="C4" s="384"/>
      <c r="D4" s="384"/>
      <c r="E4" s="384"/>
      <c r="F4" s="384"/>
      <c r="G4" s="384"/>
      <c r="H4" s="259"/>
      <c r="I4" s="259"/>
    </row>
    <row r="5" spans="1:12" s="94" customFormat="1" ht="30" customHeight="1" x14ac:dyDescent="0.2">
      <c r="A5" s="377" t="s">
        <v>103</v>
      </c>
      <c r="B5" s="377"/>
      <c r="C5" s="237" t="s">
        <v>104</v>
      </c>
      <c r="D5" s="237" t="s">
        <v>139</v>
      </c>
      <c r="E5" s="237" t="s">
        <v>135</v>
      </c>
      <c r="F5" s="237" t="s">
        <v>140</v>
      </c>
      <c r="G5" s="237" t="s">
        <v>141</v>
      </c>
      <c r="H5" s="254"/>
      <c r="I5" s="254"/>
      <c r="K5" s="93"/>
      <c r="L5" s="93"/>
    </row>
    <row r="6" spans="1:12" ht="22.5" customHeight="1" x14ac:dyDescent="0.2">
      <c r="A6" s="6">
        <v>1</v>
      </c>
      <c r="B6" s="260" t="s">
        <v>231</v>
      </c>
      <c r="C6" s="101">
        <v>71.45</v>
      </c>
      <c r="D6" s="264">
        <v>2</v>
      </c>
      <c r="E6" s="264">
        <v>6</v>
      </c>
      <c r="F6" s="263">
        <f>IF(B6="","",TRUNC(C6*D6*(12/E6),2))</f>
        <v>285.8</v>
      </c>
      <c r="G6" s="263">
        <f>IF(B6="","",TRUNC(F6/12,2))</f>
        <v>23.81</v>
      </c>
      <c r="H6" s="255"/>
      <c r="I6" s="255"/>
    </row>
    <row r="7" spans="1:12" ht="22.5" customHeight="1" x14ac:dyDescent="0.2">
      <c r="A7" s="6">
        <f>A6+1</f>
        <v>2</v>
      </c>
      <c r="B7" s="260" t="s">
        <v>232</v>
      </c>
      <c r="C7" s="101">
        <v>47.32</v>
      </c>
      <c r="D7" s="264">
        <v>4</v>
      </c>
      <c r="E7" s="264">
        <v>6</v>
      </c>
      <c r="F7" s="263">
        <f t="shared" ref="F7:F10" si="0">IF(B7="","",TRUNC(C7*D7*(12/E7),2))</f>
        <v>378.56</v>
      </c>
      <c r="G7" s="263">
        <f t="shared" ref="G7:G10" si="1">IF(B7="","",TRUNC(F7/12,2))</f>
        <v>31.54</v>
      </c>
      <c r="H7" s="255"/>
      <c r="I7" s="255"/>
    </row>
    <row r="8" spans="1:12" ht="22.5" customHeight="1" x14ac:dyDescent="0.2">
      <c r="A8" s="6">
        <f t="shared" ref="A8:A10" si="2">A7+1</f>
        <v>3</v>
      </c>
      <c r="B8" s="260" t="s">
        <v>233</v>
      </c>
      <c r="C8" s="101">
        <v>79.45</v>
      </c>
      <c r="D8" s="264">
        <v>2</v>
      </c>
      <c r="E8" s="264">
        <v>6</v>
      </c>
      <c r="F8" s="263">
        <f t="shared" si="0"/>
        <v>317.8</v>
      </c>
      <c r="G8" s="263">
        <f t="shared" si="1"/>
        <v>26.48</v>
      </c>
      <c r="H8" s="255"/>
      <c r="I8" s="255"/>
    </row>
    <row r="9" spans="1:12" ht="22.5" customHeight="1" x14ac:dyDescent="0.2">
      <c r="A9" s="6">
        <f t="shared" si="2"/>
        <v>4</v>
      </c>
      <c r="B9" s="260" t="s">
        <v>234</v>
      </c>
      <c r="C9" s="101">
        <v>17.920000000000002</v>
      </c>
      <c r="D9" s="264">
        <v>4</v>
      </c>
      <c r="E9" s="264">
        <v>6</v>
      </c>
      <c r="F9" s="263">
        <f t="shared" si="0"/>
        <v>143.36000000000001</v>
      </c>
      <c r="G9" s="263">
        <f t="shared" si="1"/>
        <v>11.94</v>
      </c>
      <c r="H9" s="255"/>
      <c r="I9" s="255"/>
    </row>
    <row r="10" spans="1:12" ht="22.5" customHeight="1" x14ac:dyDescent="0.2">
      <c r="A10" s="6">
        <f t="shared" si="2"/>
        <v>5</v>
      </c>
      <c r="B10" s="260" t="s">
        <v>235</v>
      </c>
      <c r="C10" s="101">
        <v>71.45</v>
      </c>
      <c r="D10" s="264">
        <v>1</v>
      </c>
      <c r="E10" s="264">
        <v>6</v>
      </c>
      <c r="F10" s="263">
        <f t="shared" si="0"/>
        <v>142.9</v>
      </c>
      <c r="G10" s="263">
        <f t="shared" si="1"/>
        <v>11.9</v>
      </c>
      <c r="H10" s="255"/>
      <c r="I10" s="255"/>
    </row>
    <row r="11" spans="1:12" ht="22.5" customHeight="1" x14ac:dyDescent="0.2">
      <c r="A11" s="97"/>
      <c r="B11" s="98"/>
      <c r="C11" s="99"/>
      <c r="D11" s="99"/>
      <c r="E11" s="377" t="s">
        <v>136</v>
      </c>
      <c r="F11" s="377"/>
      <c r="G11" s="92">
        <f t="shared" ref="G11" si="3">SUM(G6:G10)</f>
        <v>105.67</v>
      </c>
      <c r="H11" s="256"/>
      <c r="I11" s="256"/>
    </row>
    <row r="14" spans="1:12" ht="12" thickBot="1" x14ac:dyDescent="0.25"/>
    <row r="15" spans="1:12" ht="18.75" customHeight="1" thickBot="1" x14ac:dyDescent="0.25">
      <c r="A15" s="381" t="s">
        <v>236</v>
      </c>
      <c r="B15" s="382"/>
      <c r="C15" s="382"/>
      <c r="D15" s="382"/>
      <c r="E15" s="382"/>
      <c r="F15" s="382"/>
      <c r="G15" s="383"/>
      <c r="H15" s="257"/>
      <c r="I15" s="257"/>
    </row>
    <row r="17" spans="1:10" ht="22.5" customHeight="1" x14ac:dyDescent="0.2">
      <c r="A17" s="384" t="s">
        <v>230</v>
      </c>
      <c r="B17" s="384"/>
      <c r="C17" s="384"/>
      <c r="D17" s="384"/>
      <c r="E17" s="384"/>
      <c r="F17" s="384"/>
      <c r="G17" s="384"/>
    </row>
    <row r="18" spans="1:10" s="94" customFormat="1" ht="30" customHeight="1" x14ac:dyDescent="0.2">
      <c r="A18" s="377" t="s">
        <v>103</v>
      </c>
      <c r="B18" s="377"/>
      <c r="C18" s="90" t="s">
        <v>104</v>
      </c>
      <c r="D18" s="90" t="s">
        <v>242</v>
      </c>
      <c r="E18" s="90" t="s">
        <v>146</v>
      </c>
      <c r="F18" s="91" t="s">
        <v>140</v>
      </c>
      <c r="G18" s="237" t="s">
        <v>141</v>
      </c>
    </row>
    <row r="19" spans="1:10" ht="22.5" customHeight="1" x14ac:dyDescent="0.2">
      <c r="A19" s="6">
        <v>1</v>
      </c>
      <c r="B19" s="100" t="s">
        <v>237</v>
      </c>
      <c r="C19" s="101">
        <v>20.85</v>
      </c>
      <c r="D19" s="264">
        <v>4</v>
      </c>
      <c r="E19" s="264">
        <v>1</v>
      </c>
      <c r="F19" s="263">
        <f>IF(B19="","",TRUNC((C19*D19)/E19,2))</f>
        <v>83.4</v>
      </c>
      <c r="G19" s="263">
        <f>IF(B19="","",TRUNC(F19/12,2))</f>
        <v>6.95</v>
      </c>
      <c r="H19" s="255"/>
      <c r="I19" s="255"/>
    </row>
    <row r="20" spans="1:10" ht="22.5" customHeight="1" x14ac:dyDescent="0.2">
      <c r="A20" s="6">
        <f>A19+1</f>
        <v>2</v>
      </c>
      <c r="B20" s="100" t="s">
        <v>238</v>
      </c>
      <c r="C20" s="101">
        <v>3.59</v>
      </c>
      <c r="D20" s="264">
        <v>4</v>
      </c>
      <c r="E20" s="264">
        <v>1</v>
      </c>
      <c r="F20" s="263">
        <f t="shared" ref="F20:F23" si="4">IF(B20="","",TRUNC((C20*D20)/E20,2))</f>
        <v>14.36</v>
      </c>
      <c r="G20" s="263">
        <f t="shared" ref="G20:G23" si="5">IF(B20="","",TRUNC(F20/12,2))</f>
        <v>1.19</v>
      </c>
      <c r="H20" s="255"/>
      <c r="I20" s="255"/>
    </row>
    <row r="21" spans="1:10" ht="22.5" customHeight="1" x14ac:dyDescent="0.2">
      <c r="A21" s="6">
        <f t="shared" ref="A21:A23" si="6">A20+1</f>
        <v>3</v>
      </c>
      <c r="B21" s="100" t="s">
        <v>239</v>
      </c>
      <c r="C21" s="101">
        <v>18.64</v>
      </c>
      <c r="D21" s="264">
        <v>4</v>
      </c>
      <c r="E21" s="264">
        <v>1</v>
      </c>
      <c r="F21" s="263">
        <f t="shared" si="4"/>
        <v>74.56</v>
      </c>
      <c r="G21" s="263">
        <f t="shared" si="5"/>
        <v>6.21</v>
      </c>
      <c r="H21" s="255"/>
      <c r="I21" s="255"/>
    </row>
    <row r="22" spans="1:10" ht="22.5" customHeight="1" x14ac:dyDescent="0.2">
      <c r="A22" s="6">
        <f t="shared" si="6"/>
        <v>4</v>
      </c>
      <c r="B22" s="100" t="s">
        <v>240</v>
      </c>
      <c r="C22" s="101">
        <v>26.5</v>
      </c>
      <c r="D22" s="264">
        <v>4</v>
      </c>
      <c r="E22" s="264">
        <v>1</v>
      </c>
      <c r="F22" s="263">
        <f t="shared" si="4"/>
        <v>106</v>
      </c>
      <c r="G22" s="263">
        <f t="shared" si="5"/>
        <v>8.83</v>
      </c>
      <c r="H22" s="255"/>
      <c r="I22" s="255"/>
    </row>
    <row r="23" spans="1:10" ht="22.5" customHeight="1" x14ac:dyDescent="0.2">
      <c r="A23" s="6">
        <f t="shared" si="6"/>
        <v>5</v>
      </c>
      <c r="B23" s="100" t="s">
        <v>241</v>
      </c>
      <c r="C23" s="101">
        <v>53.11</v>
      </c>
      <c r="D23" s="264">
        <v>1</v>
      </c>
      <c r="E23" s="264">
        <v>1</v>
      </c>
      <c r="F23" s="263">
        <f t="shared" si="4"/>
        <v>53.11</v>
      </c>
      <c r="G23" s="263">
        <f t="shared" si="5"/>
        <v>4.42</v>
      </c>
      <c r="H23" s="255"/>
      <c r="I23" s="255"/>
    </row>
    <row r="24" spans="1:10" ht="22.5" customHeight="1" x14ac:dyDescent="0.2">
      <c r="A24" s="97"/>
      <c r="B24" s="98"/>
      <c r="C24" s="99"/>
      <c r="E24" s="375" t="s">
        <v>136</v>
      </c>
      <c r="F24" s="376"/>
      <c r="G24" s="92">
        <f>SUM(G19:G23)</f>
        <v>27.6</v>
      </c>
      <c r="H24" s="256"/>
      <c r="I24" s="256"/>
    </row>
    <row r="27" spans="1:10" ht="12" thickBot="1" x14ac:dyDescent="0.25"/>
    <row r="28" spans="1:10" ht="18.75" customHeight="1" thickBot="1" x14ac:dyDescent="0.25">
      <c r="A28" s="381" t="s">
        <v>137</v>
      </c>
      <c r="B28" s="382"/>
      <c r="C28" s="382"/>
      <c r="D28" s="382"/>
      <c r="E28" s="382"/>
      <c r="F28" s="382"/>
      <c r="G28" s="382"/>
      <c r="H28" s="383"/>
      <c r="I28" s="257"/>
      <c r="J28" s="257"/>
    </row>
    <row r="29" spans="1:10" x14ac:dyDescent="0.2">
      <c r="I29" s="258"/>
      <c r="J29" s="258"/>
    </row>
    <row r="30" spans="1:10" ht="22.5" customHeight="1" x14ac:dyDescent="0.2">
      <c r="A30" s="378" t="s">
        <v>226</v>
      </c>
      <c r="B30" s="379"/>
      <c r="C30" s="379"/>
      <c r="D30" s="379"/>
      <c r="E30" s="379"/>
      <c r="F30" s="379"/>
      <c r="G30" s="379"/>
      <c r="H30" s="380"/>
      <c r="I30" s="259"/>
      <c r="J30" s="259"/>
    </row>
    <row r="31" spans="1:10" s="94" customFormat="1" ht="48" customHeight="1" x14ac:dyDescent="0.2">
      <c r="A31" s="375" t="s">
        <v>103</v>
      </c>
      <c r="B31" s="376"/>
      <c r="C31" s="90" t="s">
        <v>138</v>
      </c>
      <c r="D31" s="90" t="s">
        <v>314</v>
      </c>
      <c r="E31" s="90" t="s">
        <v>148</v>
      </c>
      <c r="F31" s="90" t="s">
        <v>146</v>
      </c>
      <c r="G31" s="90" t="s">
        <v>142</v>
      </c>
      <c r="H31" s="237" t="s">
        <v>141</v>
      </c>
      <c r="I31" s="254"/>
      <c r="J31" s="254"/>
    </row>
    <row r="32" spans="1:10" ht="22.5" customHeight="1" x14ac:dyDescent="0.2">
      <c r="A32" s="6">
        <v>1</v>
      </c>
      <c r="B32" s="260" t="s">
        <v>115</v>
      </c>
      <c r="C32" s="101">
        <v>1425.53</v>
      </c>
      <c r="D32" s="102">
        <v>30</v>
      </c>
      <c r="E32" s="96">
        <v>1</v>
      </c>
      <c r="F32" s="96">
        <v>1</v>
      </c>
      <c r="G32" s="95">
        <f>IF(B32="","",TRUNC(E32/F32,2))</f>
        <v>1</v>
      </c>
      <c r="H32" s="95">
        <f>IF(B32="","",TRUNC(C32/D32*G32,2))</f>
        <v>47.51</v>
      </c>
      <c r="I32" s="255"/>
      <c r="J32" s="255"/>
    </row>
    <row r="33" spans="1:10" ht="22.5" customHeight="1" x14ac:dyDescent="0.2">
      <c r="A33" s="97"/>
      <c r="B33" s="98"/>
      <c r="C33" s="99"/>
      <c r="D33" s="99"/>
      <c r="E33" s="99"/>
      <c r="F33" s="377" t="s">
        <v>136</v>
      </c>
      <c r="G33" s="377"/>
      <c r="H33" s="92">
        <f t="shared" ref="H33" si="7">SUM(H32:H32)</f>
        <v>47.51</v>
      </c>
      <c r="I33" s="256"/>
      <c r="J33" s="256"/>
    </row>
    <row r="36" spans="1:10" ht="22.5" customHeight="1" x14ac:dyDescent="0.2">
      <c r="A36" s="378" t="s">
        <v>230</v>
      </c>
      <c r="B36" s="379"/>
      <c r="C36" s="379"/>
      <c r="D36" s="379"/>
      <c r="E36" s="379"/>
      <c r="F36" s="379"/>
      <c r="G36" s="379"/>
      <c r="H36" s="380"/>
    </row>
    <row r="37" spans="1:10" ht="45" x14ac:dyDescent="0.2">
      <c r="A37" s="375" t="s">
        <v>103</v>
      </c>
      <c r="B37" s="376"/>
      <c r="C37" s="237" t="s">
        <v>138</v>
      </c>
      <c r="D37" s="237" t="s">
        <v>147</v>
      </c>
      <c r="E37" s="237" t="s">
        <v>148</v>
      </c>
      <c r="F37" s="237" t="s">
        <v>146</v>
      </c>
      <c r="G37" s="237" t="s">
        <v>142</v>
      </c>
      <c r="H37" s="237" t="s">
        <v>141</v>
      </c>
    </row>
    <row r="38" spans="1:10" ht="22.5" customHeight="1" x14ac:dyDescent="0.2">
      <c r="A38" s="6">
        <v>1</v>
      </c>
      <c r="B38" s="260" t="s">
        <v>115</v>
      </c>
      <c r="C38" s="101">
        <v>1425.53</v>
      </c>
      <c r="D38" s="102">
        <v>30</v>
      </c>
      <c r="E38" s="96">
        <v>1</v>
      </c>
      <c r="F38" s="96">
        <v>12</v>
      </c>
      <c r="G38" s="95">
        <f>IF(B38="","",TRUNC(E38/F38,2))</f>
        <v>0.08</v>
      </c>
      <c r="H38" s="95">
        <f>IF(B38="","",TRUNC(C38/D38*G38,2))</f>
        <v>3.8</v>
      </c>
    </row>
    <row r="39" spans="1:10" x14ac:dyDescent="0.2">
      <c r="A39" s="97"/>
      <c r="B39" s="98"/>
      <c r="C39" s="99"/>
      <c r="D39" s="99"/>
      <c r="E39" s="99"/>
      <c r="F39" s="377" t="s">
        <v>136</v>
      </c>
      <c r="G39" s="377"/>
      <c r="H39" s="92">
        <f t="shared" ref="H39" si="8">SUM(H38:H38)</f>
        <v>3.8</v>
      </c>
    </row>
    <row r="42" spans="1:10" ht="22.5" customHeight="1" x14ac:dyDescent="0.2">
      <c r="A42" s="378" t="s">
        <v>230</v>
      </c>
      <c r="B42" s="379"/>
      <c r="C42" s="379"/>
      <c r="D42" s="379"/>
      <c r="E42" s="379"/>
      <c r="F42" s="379"/>
      <c r="G42" s="379"/>
      <c r="H42" s="380"/>
    </row>
    <row r="43" spans="1:10" ht="45" x14ac:dyDescent="0.2">
      <c r="A43" s="375" t="s">
        <v>103</v>
      </c>
      <c r="B43" s="376"/>
      <c r="C43" s="237" t="s">
        <v>138</v>
      </c>
      <c r="D43" s="237" t="s">
        <v>147</v>
      </c>
      <c r="E43" s="237" t="s">
        <v>148</v>
      </c>
      <c r="F43" s="237" t="s">
        <v>146</v>
      </c>
      <c r="G43" s="237" t="s">
        <v>142</v>
      </c>
      <c r="H43" s="237" t="s">
        <v>141</v>
      </c>
    </row>
    <row r="44" spans="1:10" ht="22.5" customHeight="1" x14ac:dyDescent="0.2">
      <c r="A44" s="6">
        <v>1</v>
      </c>
      <c r="B44" s="260" t="s">
        <v>243</v>
      </c>
      <c r="C44" s="101">
        <v>143.43666666666667</v>
      </c>
      <c r="D44" s="102">
        <v>12</v>
      </c>
      <c r="E44" s="265" t="s">
        <v>292</v>
      </c>
      <c r="F44" s="96">
        <v>12</v>
      </c>
      <c r="G44" s="95">
        <f>IF(B44="","",TRUNC(1/F44,2))</f>
        <v>0.08</v>
      </c>
      <c r="H44" s="95">
        <f>IF(B44="","",TRUNC(C44/D44*G44,2))</f>
        <v>0.95</v>
      </c>
    </row>
    <row r="45" spans="1:10" ht="22.5" customHeight="1" x14ac:dyDescent="0.2">
      <c r="A45" s="6">
        <v>2</v>
      </c>
      <c r="B45" s="260" t="s">
        <v>244</v>
      </c>
      <c r="C45" s="101">
        <v>46.233333333333327</v>
      </c>
      <c r="D45" s="102">
        <v>12</v>
      </c>
      <c r="E45" s="265" t="s">
        <v>292</v>
      </c>
      <c r="F45" s="96">
        <v>12</v>
      </c>
      <c r="G45" s="95">
        <f t="shared" ref="G45:G93" si="9">IF(B45="","",TRUNC(1/F45,2))</f>
        <v>0.08</v>
      </c>
      <c r="H45" s="95">
        <f t="shared" ref="H45:H93" si="10">IF(B45="","",TRUNC(C45/D45*G45,2))</f>
        <v>0.3</v>
      </c>
    </row>
    <row r="46" spans="1:10" ht="22.5" customHeight="1" x14ac:dyDescent="0.2">
      <c r="A46" s="6">
        <v>3</v>
      </c>
      <c r="B46" s="260" t="s">
        <v>245</v>
      </c>
      <c r="C46" s="101">
        <v>362.26333333333332</v>
      </c>
      <c r="D46" s="102">
        <v>12</v>
      </c>
      <c r="E46" s="265" t="s">
        <v>292</v>
      </c>
      <c r="F46" s="96">
        <v>12</v>
      </c>
      <c r="G46" s="95">
        <f t="shared" si="9"/>
        <v>0.08</v>
      </c>
      <c r="H46" s="95">
        <f t="shared" si="10"/>
        <v>2.41</v>
      </c>
    </row>
    <row r="47" spans="1:10" ht="22.5" customHeight="1" x14ac:dyDescent="0.2">
      <c r="A47" s="6">
        <v>4</v>
      </c>
      <c r="B47" s="260" t="s">
        <v>246</v>
      </c>
      <c r="C47" s="101">
        <v>230.05333333333331</v>
      </c>
      <c r="D47" s="102">
        <v>12</v>
      </c>
      <c r="E47" s="265" t="s">
        <v>292</v>
      </c>
      <c r="F47" s="96">
        <v>12</v>
      </c>
      <c r="G47" s="95">
        <f t="shared" si="9"/>
        <v>0.08</v>
      </c>
      <c r="H47" s="95">
        <f t="shared" si="10"/>
        <v>1.53</v>
      </c>
    </row>
    <row r="48" spans="1:10" ht="22.5" customHeight="1" x14ac:dyDescent="0.2">
      <c r="A48" s="6">
        <v>5</v>
      </c>
      <c r="B48" s="260" t="s">
        <v>248</v>
      </c>
      <c r="C48" s="101">
        <v>23.28</v>
      </c>
      <c r="D48" s="102">
        <v>12</v>
      </c>
      <c r="E48" s="265" t="s">
        <v>293</v>
      </c>
      <c r="F48" s="96">
        <v>12</v>
      </c>
      <c r="G48" s="95">
        <f t="shared" si="9"/>
        <v>0.08</v>
      </c>
      <c r="H48" s="95">
        <f t="shared" si="10"/>
        <v>0.15</v>
      </c>
    </row>
    <row r="49" spans="1:8" ht="22.5" customHeight="1" x14ac:dyDescent="0.2">
      <c r="A49" s="6">
        <v>6</v>
      </c>
      <c r="B49" s="260" t="s">
        <v>247</v>
      </c>
      <c r="C49" s="101">
        <v>296.12333333333333</v>
      </c>
      <c r="D49" s="102">
        <v>12</v>
      </c>
      <c r="E49" s="265" t="s">
        <v>292</v>
      </c>
      <c r="F49" s="96">
        <v>12</v>
      </c>
      <c r="G49" s="95">
        <f t="shared" si="9"/>
        <v>0.08</v>
      </c>
      <c r="H49" s="95">
        <f t="shared" si="10"/>
        <v>1.97</v>
      </c>
    </row>
    <row r="50" spans="1:8" ht="22.5" customHeight="1" x14ac:dyDescent="0.2">
      <c r="A50" s="6">
        <v>7</v>
      </c>
      <c r="B50" s="260" t="s">
        <v>249</v>
      </c>
      <c r="C50" s="101">
        <v>240.18333333333331</v>
      </c>
      <c r="D50" s="102">
        <v>12</v>
      </c>
      <c r="E50" s="265" t="s">
        <v>292</v>
      </c>
      <c r="F50" s="96">
        <v>12</v>
      </c>
      <c r="G50" s="95">
        <f t="shared" si="9"/>
        <v>0.08</v>
      </c>
      <c r="H50" s="95">
        <f t="shared" si="10"/>
        <v>1.6</v>
      </c>
    </row>
    <row r="51" spans="1:8" ht="22.5" customHeight="1" x14ac:dyDescent="0.2">
      <c r="A51" s="6">
        <v>8</v>
      </c>
      <c r="B51" s="260" t="s">
        <v>250</v>
      </c>
      <c r="C51" s="101">
        <v>57.866666666666667</v>
      </c>
      <c r="D51" s="102">
        <v>12</v>
      </c>
      <c r="E51" s="265" t="s">
        <v>292</v>
      </c>
      <c r="F51" s="96">
        <v>12</v>
      </c>
      <c r="G51" s="95">
        <f t="shared" si="9"/>
        <v>0.08</v>
      </c>
      <c r="H51" s="95">
        <f t="shared" si="10"/>
        <v>0.38</v>
      </c>
    </row>
    <row r="52" spans="1:8" ht="22.5" customHeight="1" x14ac:dyDescent="0.2">
      <c r="A52" s="6">
        <v>9</v>
      </c>
      <c r="B52" s="260" t="s">
        <v>251</v>
      </c>
      <c r="C52" s="101">
        <v>132.18</v>
      </c>
      <c r="D52" s="102">
        <v>12</v>
      </c>
      <c r="E52" s="265" t="s">
        <v>294</v>
      </c>
      <c r="F52" s="96">
        <v>12</v>
      </c>
      <c r="G52" s="95">
        <f t="shared" si="9"/>
        <v>0.08</v>
      </c>
      <c r="H52" s="95">
        <f t="shared" si="10"/>
        <v>0.88</v>
      </c>
    </row>
    <row r="53" spans="1:8" ht="22.5" customHeight="1" x14ac:dyDescent="0.2">
      <c r="A53" s="6">
        <v>10</v>
      </c>
      <c r="B53" s="260" t="s">
        <v>252</v>
      </c>
      <c r="C53" s="101">
        <v>354.67</v>
      </c>
      <c r="D53" s="102">
        <v>12</v>
      </c>
      <c r="E53" s="265" t="s">
        <v>295</v>
      </c>
      <c r="F53" s="96">
        <v>12</v>
      </c>
      <c r="G53" s="95">
        <f t="shared" si="9"/>
        <v>0.08</v>
      </c>
      <c r="H53" s="95">
        <f t="shared" si="10"/>
        <v>2.36</v>
      </c>
    </row>
    <row r="54" spans="1:8" ht="22.5" customHeight="1" x14ac:dyDescent="0.2">
      <c r="A54" s="6">
        <v>11</v>
      </c>
      <c r="B54" s="260" t="s">
        <v>253</v>
      </c>
      <c r="C54" s="101">
        <v>22.040000000000003</v>
      </c>
      <c r="D54" s="102">
        <v>12</v>
      </c>
      <c r="E54" s="265" t="s">
        <v>292</v>
      </c>
      <c r="F54" s="96">
        <v>12</v>
      </c>
      <c r="G54" s="95">
        <f t="shared" si="9"/>
        <v>0.08</v>
      </c>
      <c r="H54" s="95">
        <f t="shared" si="10"/>
        <v>0.14000000000000001</v>
      </c>
    </row>
    <row r="55" spans="1:8" ht="22.5" customHeight="1" x14ac:dyDescent="0.2">
      <c r="A55" s="6">
        <v>12</v>
      </c>
      <c r="B55" s="260" t="s">
        <v>254</v>
      </c>
      <c r="C55" s="101">
        <v>483.26666666666665</v>
      </c>
      <c r="D55" s="102">
        <v>12</v>
      </c>
      <c r="E55" s="265" t="s">
        <v>292</v>
      </c>
      <c r="F55" s="96">
        <v>12</v>
      </c>
      <c r="G55" s="95">
        <f t="shared" si="9"/>
        <v>0.08</v>
      </c>
      <c r="H55" s="95">
        <f t="shared" si="10"/>
        <v>3.22</v>
      </c>
    </row>
    <row r="56" spans="1:8" ht="22.5" customHeight="1" x14ac:dyDescent="0.2">
      <c r="A56" s="6">
        <v>13</v>
      </c>
      <c r="B56" s="260" t="s">
        <v>255</v>
      </c>
      <c r="C56" s="101">
        <v>228.20000000000002</v>
      </c>
      <c r="D56" s="102">
        <v>12</v>
      </c>
      <c r="E56" s="265" t="s">
        <v>294</v>
      </c>
      <c r="F56" s="96">
        <v>12</v>
      </c>
      <c r="G56" s="95">
        <f t="shared" si="9"/>
        <v>0.08</v>
      </c>
      <c r="H56" s="95">
        <f t="shared" si="10"/>
        <v>1.52</v>
      </c>
    </row>
    <row r="57" spans="1:8" ht="22.5" customHeight="1" x14ac:dyDescent="0.2">
      <c r="A57" s="6">
        <v>14</v>
      </c>
      <c r="B57" s="260" t="s">
        <v>256</v>
      </c>
      <c r="C57" s="101">
        <v>147.21</v>
      </c>
      <c r="D57" s="102">
        <v>12</v>
      </c>
      <c r="E57" s="265" t="s">
        <v>303</v>
      </c>
      <c r="F57" s="96">
        <v>12</v>
      </c>
      <c r="G57" s="95">
        <f t="shared" si="9"/>
        <v>0.08</v>
      </c>
      <c r="H57" s="95">
        <f t="shared" si="10"/>
        <v>0.98</v>
      </c>
    </row>
    <row r="58" spans="1:8" ht="22.5" customHeight="1" x14ac:dyDescent="0.2">
      <c r="A58" s="6">
        <v>15</v>
      </c>
      <c r="B58" s="260" t="s">
        <v>257</v>
      </c>
      <c r="C58" s="101">
        <v>48.763333333333343</v>
      </c>
      <c r="D58" s="102">
        <v>12</v>
      </c>
      <c r="E58" s="265" t="s">
        <v>292</v>
      </c>
      <c r="F58" s="96">
        <v>12</v>
      </c>
      <c r="G58" s="95">
        <f t="shared" si="9"/>
        <v>0.08</v>
      </c>
      <c r="H58" s="95">
        <f t="shared" si="10"/>
        <v>0.32</v>
      </c>
    </row>
    <row r="59" spans="1:8" ht="22.5" customHeight="1" x14ac:dyDescent="0.2">
      <c r="A59" s="6">
        <v>16</v>
      </c>
      <c r="B59" s="260" t="s">
        <v>258</v>
      </c>
      <c r="C59" s="101">
        <v>242.73000000000002</v>
      </c>
      <c r="D59" s="102">
        <v>12</v>
      </c>
      <c r="E59" s="265" t="s">
        <v>292</v>
      </c>
      <c r="F59" s="96">
        <v>12</v>
      </c>
      <c r="G59" s="95">
        <f t="shared" si="9"/>
        <v>0.08</v>
      </c>
      <c r="H59" s="95">
        <f t="shared" si="10"/>
        <v>1.61</v>
      </c>
    </row>
    <row r="60" spans="1:8" ht="22.5" customHeight="1" x14ac:dyDescent="0.2">
      <c r="A60" s="6">
        <v>17</v>
      </c>
      <c r="B60" s="260" t="s">
        <v>259</v>
      </c>
      <c r="C60" s="101">
        <v>30.263333333333332</v>
      </c>
      <c r="D60" s="102">
        <v>12</v>
      </c>
      <c r="E60" s="265" t="s">
        <v>294</v>
      </c>
      <c r="F60" s="96">
        <v>12</v>
      </c>
      <c r="G60" s="95">
        <f t="shared" si="9"/>
        <v>0.08</v>
      </c>
      <c r="H60" s="95">
        <f t="shared" si="10"/>
        <v>0.2</v>
      </c>
    </row>
    <row r="61" spans="1:8" ht="22.5" customHeight="1" x14ac:dyDescent="0.2">
      <c r="A61" s="6">
        <v>18</v>
      </c>
      <c r="B61" s="260" t="s">
        <v>260</v>
      </c>
      <c r="C61" s="101">
        <v>104.31333333333333</v>
      </c>
      <c r="D61" s="102">
        <v>12</v>
      </c>
      <c r="E61" s="265" t="s">
        <v>292</v>
      </c>
      <c r="F61" s="96">
        <v>12</v>
      </c>
      <c r="G61" s="95">
        <f t="shared" si="9"/>
        <v>0.08</v>
      </c>
      <c r="H61" s="95">
        <f t="shared" si="10"/>
        <v>0.69</v>
      </c>
    </row>
    <row r="62" spans="1:8" ht="22.5" customHeight="1" x14ac:dyDescent="0.2">
      <c r="A62" s="6">
        <v>19</v>
      </c>
      <c r="B62" s="260" t="s">
        <v>261</v>
      </c>
      <c r="C62" s="101">
        <v>1092.8</v>
      </c>
      <c r="D62" s="102">
        <v>12</v>
      </c>
      <c r="E62" s="265" t="s">
        <v>294</v>
      </c>
      <c r="F62" s="96">
        <v>12</v>
      </c>
      <c r="G62" s="95">
        <f t="shared" si="9"/>
        <v>0.08</v>
      </c>
      <c r="H62" s="95">
        <f t="shared" si="10"/>
        <v>7.28</v>
      </c>
    </row>
    <row r="63" spans="1:8" ht="22.5" customHeight="1" x14ac:dyDescent="0.2">
      <c r="A63" s="6">
        <v>20</v>
      </c>
      <c r="B63" s="260" t="s">
        <v>262</v>
      </c>
      <c r="C63" s="101">
        <v>208.70666666666668</v>
      </c>
      <c r="D63" s="102">
        <v>12</v>
      </c>
      <c r="E63" s="265" t="s">
        <v>296</v>
      </c>
      <c r="F63" s="96">
        <v>12</v>
      </c>
      <c r="G63" s="95">
        <f t="shared" si="9"/>
        <v>0.08</v>
      </c>
      <c r="H63" s="95">
        <f t="shared" si="10"/>
        <v>1.39</v>
      </c>
    </row>
    <row r="64" spans="1:8" ht="22.5" customHeight="1" x14ac:dyDescent="0.2">
      <c r="A64" s="6">
        <v>21</v>
      </c>
      <c r="B64" s="260" t="s">
        <v>263</v>
      </c>
      <c r="C64" s="101">
        <v>97.816666666666663</v>
      </c>
      <c r="D64" s="102">
        <v>12</v>
      </c>
      <c r="E64" s="265" t="s">
        <v>297</v>
      </c>
      <c r="F64" s="96">
        <v>12</v>
      </c>
      <c r="G64" s="95">
        <f t="shared" si="9"/>
        <v>0.08</v>
      </c>
      <c r="H64" s="95">
        <f t="shared" si="10"/>
        <v>0.65</v>
      </c>
    </row>
    <row r="65" spans="1:8" ht="22.5" customHeight="1" x14ac:dyDescent="0.2">
      <c r="A65" s="6">
        <v>22</v>
      </c>
      <c r="B65" s="260" t="s">
        <v>264</v>
      </c>
      <c r="C65" s="101">
        <v>7.413333333333334</v>
      </c>
      <c r="D65" s="102">
        <v>12</v>
      </c>
      <c r="E65" s="265" t="s">
        <v>298</v>
      </c>
      <c r="F65" s="96">
        <v>12</v>
      </c>
      <c r="G65" s="95">
        <f t="shared" si="9"/>
        <v>0.08</v>
      </c>
      <c r="H65" s="95">
        <f t="shared" si="10"/>
        <v>0.04</v>
      </c>
    </row>
    <row r="66" spans="1:8" ht="22.5" customHeight="1" x14ac:dyDescent="0.2">
      <c r="A66" s="6">
        <v>23</v>
      </c>
      <c r="B66" s="260" t="s">
        <v>264</v>
      </c>
      <c r="C66" s="101">
        <v>57</v>
      </c>
      <c r="D66" s="102">
        <v>12</v>
      </c>
      <c r="E66" s="265" t="s">
        <v>295</v>
      </c>
      <c r="F66" s="96">
        <v>12</v>
      </c>
      <c r="G66" s="95">
        <f t="shared" si="9"/>
        <v>0.08</v>
      </c>
      <c r="H66" s="95">
        <f t="shared" si="10"/>
        <v>0.38</v>
      </c>
    </row>
    <row r="67" spans="1:8" ht="22.5" customHeight="1" x14ac:dyDescent="0.2">
      <c r="A67" s="6">
        <v>24</v>
      </c>
      <c r="B67" s="260" t="s">
        <v>265</v>
      </c>
      <c r="C67" s="101">
        <v>34.169999999999995</v>
      </c>
      <c r="D67" s="102">
        <v>12</v>
      </c>
      <c r="E67" s="265" t="s">
        <v>292</v>
      </c>
      <c r="F67" s="96">
        <v>12</v>
      </c>
      <c r="G67" s="95">
        <f t="shared" si="9"/>
        <v>0.08</v>
      </c>
      <c r="H67" s="95">
        <f t="shared" si="10"/>
        <v>0.22</v>
      </c>
    </row>
    <row r="68" spans="1:8" ht="22.5" customHeight="1" x14ac:dyDescent="0.2">
      <c r="A68" s="6">
        <v>25</v>
      </c>
      <c r="B68" s="260" t="s">
        <v>266</v>
      </c>
      <c r="C68" s="101">
        <v>62.606666666666662</v>
      </c>
      <c r="D68" s="102">
        <v>12</v>
      </c>
      <c r="E68" s="265" t="s">
        <v>297</v>
      </c>
      <c r="F68" s="96">
        <v>12</v>
      </c>
      <c r="G68" s="95">
        <f t="shared" si="9"/>
        <v>0.08</v>
      </c>
      <c r="H68" s="95">
        <f t="shared" si="10"/>
        <v>0.41</v>
      </c>
    </row>
    <row r="69" spans="1:8" ht="22.5" customHeight="1" x14ac:dyDescent="0.2">
      <c r="A69" s="6">
        <v>26</v>
      </c>
      <c r="B69" s="260" t="s">
        <v>267</v>
      </c>
      <c r="C69" s="101">
        <v>214.21333333333337</v>
      </c>
      <c r="D69" s="102">
        <v>12</v>
      </c>
      <c r="E69" s="265" t="s">
        <v>299</v>
      </c>
      <c r="F69" s="96">
        <v>12</v>
      </c>
      <c r="G69" s="95">
        <f t="shared" si="9"/>
        <v>0.08</v>
      </c>
      <c r="H69" s="95">
        <f t="shared" si="10"/>
        <v>1.42</v>
      </c>
    </row>
    <row r="70" spans="1:8" ht="22.5" customHeight="1" x14ac:dyDescent="0.2">
      <c r="A70" s="6">
        <v>27</v>
      </c>
      <c r="B70" s="260" t="s">
        <v>268</v>
      </c>
      <c r="C70" s="101">
        <v>176.94666666666669</v>
      </c>
      <c r="D70" s="102">
        <v>12</v>
      </c>
      <c r="E70" s="265" t="s">
        <v>292</v>
      </c>
      <c r="F70" s="96">
        <v>12</v>
      </c>
      <c r="G70" s="95">
        <f t="shared" si="9"/>
        <v>0.08</v>
      </c>
      <c r="H70" s="95">
        <f t="shared" si="10"/>
        <v>1.17</v>
      </c>
    </row>
    <row r="71" spans="1:8" ht="22.5" customHeight="1" x14ac:dyDescent="0.2">
      <c r="A71" s="6">
        <v>28</v>
      </c>
      <c r="B71" s="260" t="s">
        <v>269</v>
      </c>
      <c r="C71" s="101">
        <v>62.776666666666664</v>
      </c>
      <c r="D71" s="102">
        <v>12</v>
      </c>
      <c r="E71" s="265" t="s">
        <v>292</v>
      </c>
      <c r="F71" s="96">
        <v>12</v>
      </c>
      <c r="G71" s="95">
        <f t="shared" si="9"/>
        <v>0.08</v>
      </c>
      <c r="H71" s="95">
        <f t="shared" si="10"/>
        <v>0.41</v>
      </c>
    </row>
    <row r="72" spans="1:8" ht="22.5" customHeight="1" x14ac:dyDescent="0.2">
      <c r="A72" s="6">
        <v>29</v>
      </c>
      <c r="B72" s="260" t="s">
        <v>270</v>
      </c>
      <c r="C72" s="101">
        <v>248.56666666666669</v>
      </c>
      <c r="D72" s="102">
        <v>12</v>
      </c>
      <c r="E72" s="265" t="s">
        <v>297</v>
      </c>
      <c r="F72" s="96">
        <v>12</v>
      </c>
      <c r="G72" s="95">
        <f t="shared" si="9"/>
        <v>0.08</v>
      </c>
      <c r="H72" s="95">
        <f t="shared" si="10"/>
        <v>1.65</v>
      </c>
    </row>
    <row r="73" spans="1:8" ht="22.5" customHeight="1" x14ac:dyDescent="0.2">
      <c r="A73" s="6">
        <v>30</v>
      </c>
      <c r="B73" s="260" t="s">
        <v>271</v>
      </c>
      <c r="C73" s="101">
        <v>25.983333333333331</v>
      </c>
      <c r="D73" s="102">
        <v>12</v>
      </c>
      <c r="E73" s="265" t="s">
        <v>292</v>
      </c>
      <c r="F73" s="96">
        <v>12</v>
      </c>
      <c r="G73" s="95">
        <f t="shared" si="9"/>
        <v>0.08</v>
      </c>
      <c r="H73" s="95">
        <f t="shared" si="10"/>
        <v>0.17</v>
      </c>
    </row>
    <row r="74" spans="1:8" ht="22.5" customHeight="1" x14ac:dyDescent="0.2">
      <c r="A74" s="6">
        <v>31</v>
      </c>
      <c r="B74" s="260" t="s">
        <v>272</v>
      </c>
      <c r="C74" s="101">
        <v>67.7</v>
      </c>
      <c r="D74" s="102">
        <v>12</v>
      </c>
      <c r="E74" s="265" t="s">
        <v>292</v>
      </c>
      <c r="F74" s="96">
        <v>12</v>
      </c>
      <c r="G74" s="95">
        <f t="shared" si="9"/>
        <v>0.08</v>
      </c>
      <c r="H74" s="95">
        <f t="shared" si="10"/>
        <v>0.45</v>
      </c>
    </row>
    <row r="75" spans="1:8" ht="22.5" customHeight="1" x14ac:dyDescent="0.2">
      <c r="A75" s="6">
        <v>32</v>
      </c>
      <c r="B75" s="260" t="s">
        <v>273</v>
      </c>
      <c r="C75" s="101">
        <v>292.70333333333332</v>
      </c>
      <c r="D75" s="102">
        <v>12</v>
      </c>
      <c r="E75" s="265" t="s">
        <v>292</v>
      </c>
      <c r="F75" s="96">
        <v>12</v>
      </c>
      <c r="G75" s="95">
        <f t="shared" si="9"/>
        <v>0.08</v>
      </c>
      <c r="H75" s="95">
        <f t="shared" si="10"/>
        <v>1.95</v>
      </c>
    </row>
    <row r="76" spans="1:8" ht="22.5" customHeight="1" x14ac:dyDescent="0.2">
      <c r="A76" s="6">
        <v>33</v>
      </c>
      <c r="B76" s="260" t="s">
        <v>274</v>
      </c>
      <c r="C76" s="101">
        <v>52.863333333333337</v>
      </c>
      <c r="D76" s="102">
        <v>12</v>
      </c>
      <c r="E76" s="265" t="s">
        <v>292</v>
      </c>
      <c r="F76" s="96">
        <v>12</v>
      </c>
      <c r="G76" s="95">
        <f t="shared" si="9"/>
        <v>0.08</v>
      </c>
      <c r="H76" s="95">
        <f t="shared" si="10"/>
        <v>0.35</v>
      </c>
    </row>
    <row r="77" spans="1:8" ht="22.5" customHeight="1" x14ac:dyDescent="0.2">
      <c r="A77" s="6">
        <v>34</v>
      </c>
      <c r="B77" s="260" t="s">
        <v>275</v>
      </c>
      <c r="C77" s="101">
        <v>215.45000000000002</v>
      </c>
      <c r="D77" s="102">
        <v>12</v>
      </c>
      <c r="E77" s="265" t="s">
        <v>297</v>
      </c>
      <c r="F77" s="96">
        <v>12</v>
      </c>
      <c r="G77" s="95">
        <f t="shared" si="9"/>
        <v>0.08</v>
      </c>
      <c r="H77" s="95">
        <f t="shared" si="10"/>
        <v>1.43</v>
      </c>
    </row>
    <row r="78" spans="1:8" ht="22.5" customHeight="1" x14ac:dyDescent="0.2">
      <c r="A78" s="6">
        <v>35</v>
      </c>
      <c r="B78" s="260" t="s">
        <v>276</v>
      </c>
      <c r="C78" s="101">
        <v>520.12333333333333</v>
      </c>
      <c r="D78" s="102">
        <v>12</v>
      </c>
      <c r="E78" s="265" t="s">
        <v>297</v>
      </c>
      <c r="F78" s="96">
        <v>12</v>
      </c>
      <c r="G78" s="95">
        <f t="shared" si="9"/>
        <v>0.08</v>
      </c>
      <c r="H78" s="95">
        <f t="shared" si="10"/>
        <v>3.46</v>
      </c>
    </row>
    <row r="79" spans="1:8" ht="22.5" customHeight="1" x14ac:dyDescent="0.2">
      <c r="A79" s="6">
        <v>36</v>
      </c>
      <c r="B79" s="260" t="s">
        <v>277</v>
      </c>
      <c r="C79" s="101">
        <v>360.05666666666667</v>
      </c>
      <c r="D79" s="102">
        <v>12</v>
      </c>
      <c r="E79" s="265" t="s">
        <v>292</v>
      </c>
      <c r="F79" s="96">
        <v>12</v>
      </c>
      <c r="G79" s="95">
        <f t="shared" si="9"/>
        <v>0.08</v>
      </c>
      <c r="H79" s="95">
        <f t="shared" si="10"/>
        <v>2.4</v>
      </c>
    </row>
    <row r="80" spans="1:8" ht="22.5" customHeight="1" x14ac:dyDescent="0.2">
      <c r="A80" s="6">
        <v>37</v>
      </c>
      <c r="B80" s="260" t="s">
        <v>278</v>
      </c>
      <c r="C80" s="101">
        <v>24.310000000000002</v>
      </c>
      <c r="D80" s="102">
        <v>12</v>
      </c>
      <c r="E80" s="265" t="s">
        <v>292</v>
      </c>
      <c r="F80" s="96">
        <v>12</v>
      </c>
      <c r="G80" s="95">
        <f t="shared" si="9"/>
        <v>0.08</v>
      </c>
      <c r="H80" s="95">
        <f t="shared" si="10"/>
        <v>0.16</v>
      </c>
    </row>
    <row r="81" spans="1:8" ht="22.5" customHeight="1" x14ac:dyDescent="0.2">
      <c r="A81" s="6">
        <v>38</v>
      </c>
      <c r="B81" s="260" t="s">
        <v>279</v>
      </c>
      <c r="C81" s="101">
        <v>121.04333333333334</v>
      </c>
      <c r="D81" s="102">
        <v>12</v>
      </c>
      <c r="E81" s="265" t="s">
        <v>300</v>
      </c>
      <c r="F81" s="96">
        <v>12</v>
      </c>
      <c r="G81" s="95">
        <f t="shared" si="9"/>
        <v>0.08</v>
      </c>
      <c r="H81" s="95">
        <f t="shared" si="10"/>
        <v>0.8</v>
      </c>
    </row>
    <row r="82" spans="1:8" ht="22.5" customHeight="1" x14ac:dyDescent="0.2">
      <c r="A82" s="6">
        <v>39</v>
      </c>
      <c r="B82" s="260" t="s">
        <v>280</v>
      </c>
      <c r="C82" s="101">
        <v>34.626666666666665</v>
      </c>
      <c r="D82" s="102">
        <v>12</v>
      </c>
      <c r="E82" s="265" t="s">
        <v>292</v>
      </c>
      <c r="F82" s="96">
        <v>12</v>
      </c>
      <c r="G82" s="95">
        <f t="shared" si="9"/>
        <v>0.08</v>
      </c>
      <c r="H82" s="95">
        <f t="shared" si="10"/>
        <v>0.23</v>
      </c>
    </row>
    <row r="83" spans="1:8" ht="22.5" customHeight="1" x14ac:dyDescent="0.2">
      <c r="A83" s="6">
        <v>40</v>
      </c>
      <c r="B83" s="260" t="s">
        <v>281</v>
      </c>
      <c r="C83" s="101">
        <v>199.43666666666664</v>
      </c>
      <c r="D83" s="102">
        <v>12</v>
      </c>
      <c r="E83" s="265" t="s">
        <v>292</v>
      </c>
      <c r="F83" s="96">
        <v>12</v>
      </c>
      <c r="G83" s="95">
        <f t="shared" si="9"/>
        <v>0.08</v>
      </c>
      <c r="H83" s="95">
        <f t="shared" si="10"/>
        <v>1.32</v>
      </c>
    </row>
    <row r="84" spans="1:8" ht="22.5" customHeight="1" x14ac:dyDescent="0.2">
      <c r="A84" s="6">
        <v>41</v>
      </c>
      <c r="B84" s="260" t="s">
        <v>282</v>
      </c>
      <c r="C84" s="101">
        <v>50.356666666666662</v>
      </c>
      <c r="D84" s="102">
        <v>12</v>
      </c>
      <c r="E84" s="265" t="s">
        <v>292</v>
      </c>
      <c r="F84" s="96">
        <v>12</v>
      </c>
      <c r="G84" s="95">
        <f t="shared" si="9"/>
        <v>0.08</v>
      </c>
      <c r="H84" s="95">
        <f t="shared" si="10"/>
        <v>0.33</v>
      </c>
    </row>
    <row r="85" spans="1:8" ht="22.5" customHeight="1" x14ac:dyDescent="0.2">
      <c r="A85" s="6">
        <v>42</v>
      </c>
      <c r="B85" s="260" t="s">
        <v>283</v>
      </c>
      <c r="C85" s="101">
        <v>300.8533333333333</v>
      </c>
      <c r="D85" s="102">
        <v>12</v>
      </c>
      <c r="E85" s="265" t="s">
        <v>292</v>
      </c>
      <c r="F85" s="96">
        <v>12</v>
      </c>
      <c r="G85" s="95">
        <f t="shared" si="9"/>
        <v>0.08</v>
      </c>
      <c r="H85" s="95">
        <f t="shared" si="10"/>
        <v>2</v>
      </c>
    </row>
    <row r="86" spans="1:8" ht="22.5" customHeight="1" x14ac:dyDescent="0.2">
      <c r="A86" s="6">
        <v>43</v>
      </c>
      <c r="B86" s="260" t="s">
        <v>284</v>
      </c>
      <c r="C86" s="101">
        <v>607.10666666666668</v>
      </c>
      <c r="D86" s="102">
        <v>12</v>
      </c>
      <c r="E86" s="265" t="s">
        <v>292</v>
      </c>
      <c r="F86" s="96">
        <v>12</v>
      </c>
      <c r="G86" s="95">
        <f t="shared" si="9"/>
        <v>0.08</v>
      </c>
      <c r="H86" s="95">
        <f t="shared" si="10"/>
        <v>4.04</v>
      </c>
    </row>
    <row r="87" spans="1:8" ht="22.5" customHeight="1" x14ac:dyDescent="0.2">
      <c r="A87" s="6">
        <v>44</v>
      </c>
      <c r="B87" s="260" t="s">
        <v>285</v>
      </c>
      <c r="C87" s="101">
        <v>104.31666666666666</v>
      </c>
      <c r="D87" s="102">
        <v>12</v>
      </c>
      <c r="E87" s="265" t="s">
        <v>301</v>
      </c>
      <c r="F87" s="96">
        <v>12</v>
      </c>
      <c r="G87" s="95">
        <f t="shared" si="9"/>
        <v>0.08</v>
      </c>
      <c r="H87" s="95">
        <f t="shared" si="10"/>
        <v>0.69</v>
      </c>
    </row>
    <row r="88" spans="1:8" ht="22.5" customHeight="1" x14ac:dyDescent="0.2">
      <c r="A88" s="6">
        <v>45</v>
      </c>
      <c r="B88" s="260" t="s">
        <v>286</v>
      </c>
      <c r="C88" s="101">
        <v>424.78666666666669</v>
      </c>
      <c r="D88" s="102">
        <v>12</v>
      </c>
      <c r="E88" s="265" t="s">
        <v>292</v>
      </c>
      <c r="F88" s="96">
        <v>12</v>
      </c>
      <c r="G88" s="95">
        <f t="shared" si="9"/>
        <v>0.08</v>
      </c>
      <c r="H88" s="95">
        <f t="shared" si="10"/>
        <v>2.83</v>
      </c>
    </row>
    <row r="89" spans="1:8" ht="22.5" customHeight="1" x14ac:dyDescent="0.2">
      <c r="A89" s="6">
        <v>46</v>
      </c>
      <c r="B89" s="260" t="s">
        <v>287</v>
      </c>
      <c r="C89" s="101">
        <v>35.96</v>
      </c>
      <c r="D89" s="102">
        <v>12</v>
      </c>
      <c r="E89" s="265" t="s">
        <v>292</v>
      </c>
      <c r="F89" s="96">
        <v>12</v>
      </c>
      <c r="G89" s="95">
        <f t="shared" si="9"/>
        <v>0.08</v>
      </c>
      <c r="H89" s="95">
        <f t="shared" si="10"/>
        <v>0.23</v>
      </c>
    </row>
    <row r="90" spans="1:8" ht="22.5" customHeight="1" x14ac:dyDescent="0.2">
      <c r="A90" s="6">
        <v>47</v>
      </c>
      <c r="B90" s="260" t="s">
        <v>288</v>
      </c>
      <c r="C90" s="101">
        <v>51.85</v>
      </c>
      <c r="D90" s="102">
        <v>12</v>
      </c>
      <c r="E90" s="265" t="s">
        <v>292</v>
      </c>
      <c r="F90" s="96">
        <v>12</v>
      </c>
      <c r="G90" s="95">
        <f t="shared" si="9"/>
        <v>0.08</v>
      </c>
      <c r="H90" s="95">
        <f t="shared" si="10"/>
        <v>0.34</v>
      </c>
    </row>
    <row r="91" spans="1:8" ht="22.5" customHeight="1" x14ac:dyDescent="0.2">
      <c r="A91" s="6">
        <v>48</v>
      </c>
      <c r="B91" s="260" t="s">
        <v>289</v>
      </c>
      <c r="C91" s="101">
        <v>25.84</v>
      </c>
      <c r="D91" s="102">
        <v>12</v>
      </c>
      <c r="E91" s="265" t="s">
        <v>292</v>
      </c>
      <c r="F91" s="96">
        <v>12</v>
      </c>
      <c r="G91" s="95">
        <f t="shared" si="9"/>
        <v>0.08</v>
      </c>
      <c r="H91" s="95">
        <f t="shared" si="10"/>
        <v>0.17</v>
      </c>
    </row>
    <row r="92" spans="1:8" ht="22.5" customHeight="1" x14ac:dyDescent="0.2">
      <c r="A92" s="6">
        <v>49</v>
      </c>
      <c r="B92" s="260" t="s">
        <v>290</v>
      </c>
      <c r="C92" s="101">
        <v>229.89999999999998</v>
      </c>
      <c r="D92" s="102">
        <v>12</v>
      </c>
      <c r="E92" s="265" t="s">
        <v>292</v>
      </c>
      <c r="F92" s="96">
        <v>12</v>
      </c>
      <c r="G92" s="95">
        <f t="shared" si="9"/>
        <v>0.08</v>
      </c>
      <c r="H92" s="95">
        <f t="shared" si="10"/>
        <v>1.53</v>
      </c>
    </row>
    <row r="93" spans="1:8" ht="22.5" customHeight="1" x14ac:dyDescent="0.2">
      <c r="A93" s="6">
        <v>50</v>
      </c>
      <c r="B93" s="260" t="s">
        <v>291</v>
      </c>
      <c r="C93" s="101">
        <v>71.99666666666667</v>
      </c>
      <c r="D93" s="102">
        <v>12</v>
      </c>
      <c r="E93" s="265" t="s">
        <v>302</v>
      </c>
      <c r="F93" s="96">
        <v>12</v>
      </c>
      <c r="G93" s="95">
        <f t="shared" si="9"/>
        <v>0.08</v>
      </c>
      <c r="H93" s="95">
        <f t="shared" si="10"/>
        <v>0.47</v>
      </c>
    </row>
    <row r="94" spans="1:8" x14ac:dyDescent="0.2">
      <c r="A94" s="97"/>
      <c r="B94" s="98"/>
      <c r="C94" s="99"/>
      <c r="D94" s="99"/>
      <c r="E94" s="99"/>
      <c r="F94" s="377" t="s">
        <v>136</v>
      </c>
      <c r="G94" s="377"/>
      <c r="H94" s="92">
        <f>SUM(H44:H93)</f>
        <v>61.579999999999991</v>
      </c>
    </row>
  </sheetData>
  <mergeCells count="18">
    <mergeCell ref="A2:G2"/>
    <mergeCell ref="E11:F11"/>
    <mergeCell ref="A4:G4"/>
    <mergeCell ref="A17:G17"/>
    <mergeCell ref="A15:G15"/>
    <mergeCell ref="E24:F24"/>
    <mergeCell ref="A5:B5"/>
    <mergeCell ref="A18:B18"/>
    <mergeCell ref="A43:B43"/>
    <mergeCell ref="F94:G94"/>
    <mergeCell ref="F33:G33"/>
    <mergeCell ref="A30:H30"/>
    <mergeCell ref="A28:H28"/>
    <mergeCell ref="A36:H36"/>
    <mergeCell ref="A37:B37"/>
    <mergeCell ref="F39:G39"/>
    <mergeCell ref="A42:H42"/>
    <mergeCell ref="A31:B31"/>
  </mergeCells>
  <pageMargins left="0.511811024" right="0.511811024" top="0.78740157499999996" bottom="0.78740157499999996" header="0.31496062000000002" footer="0.31496062000000002"/>
  <pageSetup paperSize="9" scale="83" fitToHeight="0" orientation="portrait" r:id="rId1"/>
  <rowBreaks count="1" manualBreakCount="1">
    <brk id="2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Quadro resumo</vt:lpstr>
      <vt:lpstr>Arquiteto</vt:lpstr>
      <vt:lpstr>Encarregado de Manutenção</vt:lpstr>
      <vt:lpstr>Manut. Elétrica_h extra</vt:lpstr>
      <vt:lpstr>Manutenção Elétrica</vt:lpstr>
      <vt:lpstr>Manut. Predial_h extra</vt:lpstr>
      <vt:lpstr>Manut. Predial</vt:lpstr>
      <vt:lpstr>Insumos</vt:lpstr>
      <vt:lpstr>Arquiteto!Area_de_impressao</vt:lpstr>
      <vt:lpstr>'Encarregado de Manutenção'!Area_de_impressao</vt:lpstr>
      <vt:lpstr>Insumos!Area_de_impressao</vt:lpstr>
      <vt:lpstr>'Manut. Elétrica_h extra'!Area_de_impressao</vt:lpstr>
      <vt:lpstr>'Manut. Predial'!Area_de_impressao</vt:lpstr>
      <vt:lpstr>'Manut. Predial_h extra'!Area_de_impressao</vt:lpstr>
      <vt:lpstr>'Manutenção Elétrica'!Area_de_impressao</vt:lpstr>
      <vt:lpstr>'Quadro resumo'!Area_de_impressao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Michelly de Souza Ferraz</cp:lastModifiedBy>
  <cp:lastPrinted>2022-04-20T19:21:53Z</cp:lastPrinted>
  <dcterms:created xsi:type="dcterms:W3CDTF">2010-12-08T17:56:29Z</dcterms:created>
  <dcterms:modified xsi:type="dcterms:W3CDTF">2022-06-15T15:45:12Z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