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y\Desktop\Finep\2022\PREGÕES\11 Manutenção Predial - RC 5037\Diversos\"/>
    </mc:Choice>
  </mc:AlternateContent>
  <xr:revisionPtr revIDLastSave="0" documentId="13_ncr:1_{90148EC7-232E-4833-8307-48226A4FCE33}" xr6:coauthVersionLast="47" xr6:coauthVersionMax="47" xr10:uidLastSave="{00000000-0000-0000-0000-000000000000}"/>
  <bookViews>
    <workbookView xWindow="-120" yWindow="-120" windowWidth="20730" windowHeight="11160" tabRatio="762" firstSheet="2" activeTab="8" xr2:uid="{00000000-000D-0000-FFFF-FFFF00000000}"/>
  </bookViews>
  <sheets>
    <sheet name="Proposta" sheetId="8" r:id="rId1"/>
    <sheet name="Capa" sheetId="9" r:id="rId2"/>
    <sheet name="Arquiteto" sheetId="16" r:id="rId3"/>
    <sheet name="Encarregado de Manut" sheetId="20" r:id="rId4"/>
    <sheet name="Manutenção Elétrica" sheetId="18" r:id="rId5"/>
    <sheet name="Manutenção Predial" sheetId="19" r:id="rId6"/>
    <sheet name="Uniformes" sheetId="10" r:id="rId7"/>
    <sheet name="Equipamentos" sheetId="23" r:id="rId8"/>
    <sheet name="Consolidado" sheetId="24" r:id="rId9"/>
  </sheets>
  <definedNames>
    <definedName name="_xlnm.Print_Area" localSheetId="2">Arquiteto!$A$1:$D$144</definedName>
    <definedName name="_xlnm.Print_Area" localSheetId="1">Capa!$A$1:$AB$48</definedName>
    <definedName name="_xlnm.Print_Area" localSheetId="3">'Encarregado de Manut'!$A$1:$D$145</definedName>
    <definedName name="_xlnm.Print_Area" localSheetId="7">Equipamentos!$A$1:$K$58</definedName>
    <definedName name="_xlnm.Print_Area" localSheetId="4">'Manutenção Elétrica'!$A$1:$D$145</definedName>
    <definedName name="_xlnm.Print_Area" localSheetId="5">'Manutenção Predial'!$A$1:$D$144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0" l="1"/>
  <c r="E11" i="10" s="1"/>
  <c r="E12" i="10" s="1"/>
  <c r="E13" i="10" s="1"/>
  <c r="E7" i="10"/>
  <c r="E8" i="10"/>
  <c r="E9" i="10"/>
  <c r="E10" i="10"/>
  <c r="C132" i="19" l="1"/>
  <c r="C131" i="19"/>
  <c r="C130" i="19"/>
  <c r="C132" i="18"/>
  <c r="C131" i="18"/>
  <c r="C130" i="18"/>
  <c r="C132" i="20"/>
  <c r="C131" i="20"/>
  <c r="C130" i="20"/>
  <c r="C132" i="16"/>
  <c r="C106" i="16" l="1"/>
  <c r="C131" i="16"/>
  <c r="C130" i="16"/>
  <c r="J18" i="23" l="1"/>
  <c r="K18" i="23" s="1"/>
  <c r="K21" i="23" s="1"/>
  <c r="D96" i="16" s="1"/>
  <c r="D57" i="23"/>
  <c r="D58" i="23" s="1"/>
  <c r="J10" i="23"/>
  <c r="J11" i="23" s="1"/>
  <c r="E23" i="10"/>
  <c r="E24" i="10"/>
  <c r="E25" i="10"/>
  <c r="E22" i="10"/>
  <c r="E21" i="10"/>
  <c r="D46" i="19"/>
  <c r="D45" i="19"/>
  <c r="D46" i="18"/>
  <c r="D46" i="20"/>
  <c r="D45" i="18"/>
  <c r="D45" i="20"/>
  <c r="D97" i="20" l="1"/>
  <c r="D97" i="18"/>
  <c r="D97" i="19"/>
  <c r="J19" i="23"/>
  <c r="K10" i="23"/>
  <c r="K13" i="23" s="1"/>
  <c r="E26" i="10"/>
  <c r="E27" i="10" s="1"/>
  <c r="E28" i="10" s="1"/>
  <c r="D98" i="19" l="1"/>
  <c r="D98" i="18"/>
  <c r="D98" i="20"/>
  <c r="D95" i="19"/>
  <c r="D95" i="18"/>
  <c r="D95" i="20"/>
  <c r="D96" i="18"/>
  <c r="D96" i="20"/>
  <c r="D96" i="19"/>
  <c r="D12" i="16" l="1"/>
  <c r="D45" i="16" l="1"/>
  <c r="C106" i="20" l="1"/>
  <c r="C89" i="20"/>
  <c r="C84" i="20"/>
  <c r="C77" i="20"/>
  <c r="C76" i="20"/>
  <c r="C75" i="20"/>
  <c r="C74" i="20"/>
  <c r="C73" i="20"/>
  <c r="C64" i="20"/>
  <c r="C61" i="20"/>
  <c r="D44" i="20"/>
  <c r="D49" i="20" s="1"/>
  <c r="D55" i="20" s="1"/>
  <c r="C34" i="20"/>
  <c r="C40" i="20" s="1"/>
  <c r="C27" i="20" s="1"/>
  <c r="C26" i="20"/>
  <c r="C25" i="20"/>
  <c r="D18" i="20"/>
  <c r="C106" i="19"/>
  <c r="C89" i="19"/>
  <c r="C84" i="19"/>
  <c r="C77" i="19"/>
  <c r="C76" i="19"/>
  <c r="C75" i="19"/>
  <c r="C74" i="19"/>
  <c r="C73" i="19"/>
  <c r="C64" i="19"/>
  <c r="C61" i="19"/>
  <c r="D44" i="19"/>
  <c r="D49" i="19" s="1"/>
  <c r="D55" i="19" s="1"/>
  <c r="C34" i="19"/>
  <c r="C40" i="19" s="1"/>
  <c r="C27" i="19" s="1"/>
  <c r="C26" i="19"/>
  <c r="C25" i="19"/>
  <c r="D14" i="19"/>
  <c r="D18" i="19" s="1"/>
  <c r="C106" i="18"/>
  <c r="C89" i="18"/>
  <c r="C84" i="18"/>
  <c r="C77" i="18"/>
  <c r="C76" i="18"/>
  <c r="C75" i="18"/>
  <c r="C74" i="18"/>
  <c r="C73" i="18"/>
  <c r="C64" i="18"/>
  <c r="C61" i="18"/>
  <c r="D44" i="18"/>
  <c r="D49" i="18" s="1"/>
  <c r="D55" i="18" s="1"/>
  <c r="C34" i="18"/>
  <c r="C40" i="18" s="1"/>
  <c r="C27" i="18" s="1"/>
  <c r="C26" i="18"/>
  <c r="C25" i="18"/>
  <c r="D14" i="18"/>
  <c r="D18" i="18" s="1"/>
  <c r="D37" i="19" l="1"/>
  <c r="D35" i="19"/>
  <c r="D34" i="19"/>
  <c r="D36" i="19"/>
  <c r="D33" i="19"/>
  <c r="D32" i="19"/>
  <c r="D38" i="19"/>
  <c r="D39" i="19"/>
  <c r="D116" i="18"/>
  <c r="D39" i="18"/>
  <c r="D36" i="18"/>
  <c r="D35" i="18"/>
  <c r="D38" i="18"/>
  <c r="D32" i="18"/>
  <c r="D37" i="18"/>
  <c r="D33" i="18"/>
  <c r="D34" i="18"/>
  <c r="C79" i="18"/>
  <c r="C88" i="18" s="1"/>
  <c r="C90" i="18" s="1"/>
  <c r="D37" i="20"/>
  <c r="D36" i="20"/>
  <c r="D32" i="20"/>
  <c r="D35" i="20"/>
  <c r="D34" i="20"/>
  <c r="D33" i="20"/>
  <c r="D39" i="20"/>
  <c r="D38" i="20"/>
  <c r="C65" i="18"/>
  <c r="C66" i="18" s="1"/>
  <c r="C65" i="19"/>
  <c r="C66" i="19" s="1"/>
  <c r="C65" i="20"/>
  <c r="C66" i="20" s="1"/>
  <c r="C63" i="19"/>
  <c r="D63" i="19" s="1"/>
  <c r="C79" i="19"/>
  <c r="C88" i="19" s="1"/>
  <c r="C90" i="19" s="1"/>
  <c r="C63" i="18"/>
  <c r="D63" i="18" s="1"/>
  <c r="C79" i="20"/>
  <c r="C88" i="20" s="1"/>
  <c r="C90" i="20" s="1"/>
  <c r="D83" i="20"/>
  <c r="D84" i="20" s="1"/>
  <c r="D89" i="20" s="1"/>
  <c r="D77" i="20"/>
  <c r="D76" i="20"/>
  <c r="D75" i="20"/>
  <c r="D74" i="20"/>
  <c r="D73" i="20"/>
  <c r="D64" i="20"/>
  <c r="D61" i="20"/>
  <c r="D116" i="20"/>
  <c r="D78" i="20"/>
  <c r="D26" i="20"/>
  <c r="D25" i="20"/>
  <c r="C63" i="20"/>
  <c r="D63" i="20" s="1"/>
  <c r="C62" i="20"/>
  <c r="D62" i="20" s="1"/>
  <c r="D116" i="19"/>
  <c r="D78" i="19"/>
  <c r="D83" i="19"/>
  <c r="D84" i="19" s="1"/>
  <c r="D89" i="19" s="1"/>
  <c r="D77" i="19"/>
  <c r="D76" i="19"/>
  <c r="D75" i="19"/>
  <c r="D74" i="19"/>
  <c r="D73" i="19"/>
  <c r="D64" i="19"/>
  <c r="D61" i="19"/>
  <c r="D26" i="19"/>
  <c r="D25" i="19"/>
  <c r="C62" i="19"/>
  <c r="D62" i="19" s="1"/>
  <c r="D25" i="18"/>
  <c r="D26" i="18"/>
  <c r="D61" i="18"/>
  <c r="D64" i="18"/>
  <c r="D73" i="18"/>
  <c r="D74" i="18"/>
  <c r="D75" i="18"/>
  <c r="D76" i="18"/>
  <c r="D77" i="18"/>
  <c r="D83" i="18"/>
  <c r="D84" i="18" s="1"/>
  <c r="D89" i="18" s="1"/>
  <c r="C62" i="18"/>
  <c r="D62" i="18" s="1"/>
  <c r="D78" i="18"/>
  <c r="D27" i="19" l="1"/>
  <c r="D28" i="19" s="1"/>
  <c r="D65" i="18"/>
  <c r="D65" i="19"/>
  <c r="D27" i="18"/>
  <c r="D28" i="18" s="1"/>
  <c r="D27" i="20"/>
  <c r="D28" i="20" s="1"/>
  <c r="D65" i="20"/>
  <c r="C67" i="20"/>
  <c r="D79" i="20"/>
  <c r="D88" i="20" s="1"/>
  <c r="D90" i="20" s="1"/>
  <c r="D119" i="20" s="1"/>
  <c r="C67" i="19"/>
  <c r="D79" i="19"/>
  <c r="D88" i="19" s="1"/>
  <c r="D90" i="19" s="1"/>
  <c r="D119" i="19" s="1"/>
  <c r="D79" i="18"/>
  <c r="D88" i="18" s="1"/>
  <c r="D90" i="18" s="1"/>
  <c r="D119" i="18" s="1"/>
  <c r="C67" i="18"/>
  <c r="D49" i="16"/>
  <c r="D66" i="18" l="1"/>
  <c r="D67" i="18" s="1"/>
  <c r="D118" i="18" s="1"/>
  <c r="D53" i="20"/>
  <c r="D66" i="20"/>
  <c r="D67" i="20" s="1"/>
  <c r="D53" i="19"/>
  <c r="D66" i="19"/>
  <c r="D67" i="19" s="1"/>
  <c r="D118" i="19" s="1"/>
  <c r="D53" i="18"/>
  <c r="D129" i="19" l="1"/>
  <c r="D129" i="18"/>
  <c r="D130" i="18" s="1"/>
  <c r="D131" i="18" s="1"/>
  <c r="D118" i="20"/>
  <c r="D129" i="20"/>
  <c r="D40" i="19"/>
  <c r="D40" i="20"/>
  <c r="D140" i="20" s="1"/>
  <c r="D40" i="18"/>
  <c r="D140" i="18" s="1"/>
  <c r="D54" i="19" l="1"/>
  <c r="D56" i="19" s="1"/>
  <c r="D117" i="19" s="1"/>
  <c r="D140" i="19"/>
  <c r="D141" i="19" s="1"/>
  <c r="D143" i="19" s="1"/>
  <c r="D130" i="19"/>
  <c r="D131" i="19" s="1"/>
  <c r="D132" i="19" s="1"/>
  <c r="D54" i="18"/>
  <c r="D56" i="18" s="1"/>
  <c r="D117" i="18" s="1"/>
  <c r="D141" i="18"/>
  <c r="D143" i="18" s="1"/>
  <c r="D132" i="18"/>
  <c r="D133" i="18" s="1"/>
  <c r="D54" i="20"/>
  <c r="D56" i="20" s="1"/>
  <c r="D117" i="20" s="1"/>
  <c r="D141" i="20"/>
  <c r="D143" i="20" s="1"/>
  <c r="D130" i="20"/>
  <c r="D131" i="20" s="1"/>
  <c r="D132" i="20" s="1"/>
  <c r="D133" i="20" s="1"/>
  <c r="C77" i="16"/>
  <c r="C76" i="16"/>
  <c r="C74" i="16"/>
  <c r="C73" i="16"/>
  <c r="D133" i="19" l="1"/>
  <c r="D99" i="18"/>
  <c r="D120" i="18" s="1"/>
  <c r="D121" i="18" s="1"/>
  <c r="D99" i="19"/>
  <c r="D120" i="19" s="1"/>
  <c r="D121" i="19" s="1"/>
  <c r="D99" i="20"/>
  <c r="D120" i="20" s="1"/>
  <c r="D121" i="20" s="1"/>
  <c r="D104" i="19" l="1"/>
  <c r="D104" i="20"/>
  <c r="D104" i="18"/>
  <c r="C89" i="16"/>
  <c r="C84" i="16"/>
  <c r="C75" i="16"/>
  <c r="C64" i="16"/>
  <c r="C61" i="16"/>
  <c r="C34" i="16"/>
  <c r="C40" i="16" s="1"/>
  <c r="C27" i="16" s="1"/>
  <c r="C26" i="16"/>
  <c r="C25" i="16"/>
  <c r="D105" i="18" l="1"/>
  <c r="D105" i="20"/>
  <c r="D106" i="20" s="1"/>
  <c r="D105" i="19"/>
  <c r="D106" i="19" s="1"/>
  <c r="D18" i="16"/>
  <c r="D55" i="16"/>
  <c r="C65" i="16"/>
  <c r="C66" i="16" s="1"/>
  <c r="C62" i="16"/>
  <c r="D39" i="16" l="1"/>
  <c r="D32" i="16"/>
  <c r="D38" i="16"/>
  <c r="D36" i="16"/>
  <c r="D37" i="16"/>
  <c r="D35" i="16"/>
  <c r="D34" i="16"/>
  <c r="D33" i="16"/>
  <c r="D26" i="16"/>
  <c r="D107" i="19"/>
  <c r="D109" i="19"/>
  <c r="D108" i="19"/>
  <c r="D109" i="20"/>
  <c r="D108" i="20"/>
  <c r="D107" i="20"/>
  <c r="D106" i="18"/>
  <c r="D62" i="16"/>
  <c r="D78" i="16"/>
  <c r="D76" i="16"/>
  <c r="D74" i="16"/>
  <c r="D64" i="16"/>
  <c r="D83" i="16"/>
  <c r="D77" i="16"/>
  <c r="D75" i="16"/>
  <c r="D73" i="16"/>
  <c r="D65" i="16"/>
  <c r="D61" i="16"/>
  <c r="D25" i="16"/>
  <c r="D116" i="16"/>
  <c r="C63" i="16"/>
  <c r="D63" i="16" s="1"/>
  <c r="C79" i="16"/>
  <c r="C88" i="16" s="1"/>
  <c r="C90" i="16" s="1"/>
  <c r="D27" i="16" l="1"/>
  <c r="D28" i="16" s="1"/>
  <c r="D110" i="20"/>
  <c r="D107" i="18"/>
  <c r="D109" i="18"/>
  <c r="D108" i="18"/>
  <c r="D110" i="19"/>
  <c r="D79" i="16"/>
  <c r="D88" i="16" s="1"/>
  <c r="C67" i="16"/>
  <c r="D84" i="16"/>
  <c r="D89" i="16" s="1"/>
  <c r="D66" i="16" l="1"/>
  <c r="D67" i="16" s="1"/>
  <c r="D129" i="16" s="1"/>
  <c r="D53" i="16"/>
  <c r="D122" i="19"/>
  <c r="D123" i="19" s="1"/>
  <c r="D110" i="18"/>
  <c r="D122" i="20"/>
  <c r="D123" i="20" s="1"/>
  <c r="D90" i="16"/>
  <c r="D119" i="16" s="1"/>
  <c r="D12" i="24" l="1"/>
  <c r="E12" i="24" s="1"/>
  <c r="F12" i="24" s="1"/>
  <c r="E16" i="8"/>
  <c r="F16" i="8" s="1"/>
  <c r="G16" i="8" s="1"/>
  <c r="D128" i="19"/>
  <c r="D134" i="19" s="1"/>
  <c r="E17" i="8"/>
  <c r="F17" i="8" s="1"/>
  <c r="G17" i="8" s="1"/>
  <c r="D13" i="24"/>
  <c r="E13" i="24" s="1"/>
  <c r="F13" i="24" s="1"/>
  <c r="D9" i="24"/>
  <c r="E9" i="24" s="1"/>
  <c r="F9" i="24" s="1"/>
  <c r="E13" i="8"/>
  <c r="F13" i="8" s="1"/>
  <c r="G13" i="8" s="1"/>
  <c r="D128" i="20"/>
  <c r="D134" i="20" s="1"/>
  <c r="D118" i="16"/>
  <c r="D122" i="18"/>
  <c r="D123" i="18" s="1"/>
  <c r="D40" i="16"/>
  <c r="D140" i="16" s="1"/>
  <c r="D10" i="24" l="1"/>
  <c r="E10" i="24" s="1"/>
  <c r="F10" i="24" s="1"/>
  <c r="E14" i="8"/>
  <c r="F14" i="8" s="1"/>
  <c r="G14" i="8" s="1"/>
  <c r="E15" i="8"/>
  <c r="F15" i="8" s="1"/>
  <c r="G15" i="8" s="1"/>
  <c r="D11" i="24"/>
  <c r="E11" i="24" s="1"/>
  <c r="F11" i="24" s="1"/>
  <c r="F15" i="24" s="1"/>
  <c r="D128" i="18"/>
  <c r="D134" i="18" s="1"/>
  <c r="D54" i="16"/>
  <c r="D56" i="16" s="1"/>
  <c r="D117" i="16" s="1"/>
  <c r="D141" i="16"/>
  <c r="D143" i="16" s="1"/>
  <c r="D99" i="16"/>
  <c r="D120" i="16" s="1"/>
  <c r="E14" i="24" l="1"/>
  <c r="D121" i="16"/>
  <c r="D104" i="16" l="1"/>
  <c r="D130" i="16" l="1"/>
  <c r="D105" i="16"/>
  <c r="D106" i="16" s="1"/>
  <c r="D131" i="16" l="1"/>
  <c r="D132" i="16" s="1"/>
  <c r="D133" i="16" l="1"/>
  <c r="D108" i="16"/>
  <c r="D109" i="16"/>
  <c r="D107" i="16"/>
  <c r="D110" i="16" l="1"/>
  <c r="D122" i="16" l="1"/>
  <c r="D123" i="16" s="1"/>
  <c r="D128" i="16" l="1"/>
  <c r="D134" i="16" s="1"/>
  <c r="D4" i="24"/>
  <c r="E12" i="8"/>
  <c r="F12" i="8"/>
  <c r="G12" i="8" s="1"/>
  <c r="E4" i="24" l="1"/>
  <c r="F4" i="24" s="1"/>
  <c r="F5" i="24" s="1"/>
  <c r="F17" i="24" s="1"/>
</calcChain>
</file>

<file path=xl/sharedStrings.xml><?xml version="1.0" encoding="utf-8"?>
<sst xmlns="http://schemas.openxmlformats.org/spreadsheetml/2006/main" count="1200" uniqueCount="327">
  <si>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</si>
  <si>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</si>
  <si>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</si>
  <si>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</si>
  <si>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</si>
  <si>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</si>
  <si>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</si>
  <si>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</si>
  <si>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</si>
  <si>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</si>
  <si>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</si>
  <si>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</si>
  <si>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Equipamentos</t>
  </si>
  <si>
    <t>4.1</t>
  </si>
  <si>
    <t>4.2</t>
  </si>
  <si>
    <t>Custos Indiretos</t>
  </si>
  <si>
    <t>Descrição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</si>
  <si>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</si>
  <si>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</si>
  <si>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</si>
  <si>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</si>
  <si>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</si>
  <si>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</si>
  <si>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</si>
  <si>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</si>
  <si>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</si>
  <si>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</si>
  <si>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</si>
  <si>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</si>
  <si>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</si>
  <si>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</si>
  <si>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</si>
  <si>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</si>
  <si>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</si>
  <si>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</si>
  <si>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</si>
  <si>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</si>
  <si>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</si>
  <si>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</si>
  <si>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</si>
  <si>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</si>
  <si>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</si>
  <si>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</si>
  <si>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</si>
  <si>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</si>
  <si>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</si>
  <si>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</si>
  <si>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</si>
  <si>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</si>
  <si>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</si>
  <si>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</si>
  <si>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</si>
  <si>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</si>
  <si>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</si>
  <si>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</si>
  <si>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</si>
  <si>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</si>
  <si>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</si>
  <si>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</si>
  <si>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</si>
  <si>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</si>
  <si>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</si>
  <si>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</si>
  <si>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</si>
  <si>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</si>
  <si>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</si>
  <si>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</si>
  <si>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</si>
  <si>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</si>
  <si>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</si>
  <si>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</si>
  <si>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</si>
  <si>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</si>
  <si>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</si>
  <si>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</si>
  <si>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</si>
  <si>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</si>
  <si>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</si>
  <si>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</si>
  <si>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</si>
  <si>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</si>
  <si>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</si>
  <si>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</si>
  <si>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</si>
  <si>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</si>
  <si>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</si>
  <si>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</si>
  <si>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</si>
  <si>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</si>
  <si>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</si>
  <si>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</si>
  <si>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</si>
  <si>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</si>
  <si>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</si>
  <si>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</si>
  <si>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</si>
  <si>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</si>
  <si>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</si>
  <si>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</si>
  <si>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</si>
  <si>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</si>
  <si>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</si>
  <si>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</si>
  <si>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</si>
  <si>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</si>
  <si>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</si>
  <si>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</si>
  <si>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</si>
  <si>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</si>
  <si>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</si>
  <si>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</si>
  <si>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</si>
  <si>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</si>
  <si>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</si>
  <si>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</si>
  <si>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</si>
  <si>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</si>
  <si>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</si>
  <si>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</si>
  <si>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</si>
  <si>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</si>
  <si>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</si>
  <si>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</si>
  <si>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</si>
  <si>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</si>
  <si>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</si>
  <si>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</si>
  <si>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</si>
  <si>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</si>
  <si>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</si>
  <si>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</si>
  <si>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</si>
  <si>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</si>
  <si>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</si>
  <si>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</si>
  <si>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</si>
  <si>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</si>
  <si>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</si>
  <si>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</si>
  <si>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</si>
  <si>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</si>
  <si>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</si>
  <si>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</si>
  <si>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</si>
  <si>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</si>
  <si>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</si>
  <si>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</si>
  <si>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</si>
  <si>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</si>
  <si>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</si>
  <si>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</si>
  <si>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</si>
  <si>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</si>
  <si>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</si>
  <si>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</si>
  <si>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Item</t>
  </si>
  <si>
    <t>CUSTO TOTAL ANUAL</t>
  </si>
  <si>
    <t>Quantidade de empregados</t>
  </si>
  <si>
    <t>Custo anual</t>
  </si>
  <si>
    <t>Custo unitário</t>
  </si>
  <si>
    <t>(valor mensal do transporte ) - desconto da parte do empregado</t>
  </si>
  <si>
    <t>Cargo</t>
  </si>
  <si>
    <t>Valor Total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</si>
  <si>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</si>
  <si>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</si>
  <si>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</si>
  <si>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</si>
  <si>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</si>
  <si>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</si>
  <si>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</si>
  <si>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</si>
  <si>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</si>
  <si>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</si>
  <si>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</si>
  <si>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</si>
  <si>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</si>
  <si>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</si>
  <si>
    <t>Categoria Profissional (vinculada à execução contratual)</t>
  </si>
  <si>
    <t>30% do salário base</t>
  </si>
  <si>
    <t>10%, 20% ou 40% sobre o salário mínimo ou piso da CCT</t>
  </si>
  <si>
    <t>20% sobre salário base + adicionais da remuneração</t>
  </si>
  <si>
    <t>1h (salário hora + adicional noturno)</t>
  </si>
  <si>
    <t>1 falta/ano. (1 dia/30 dias) x (1/12 meses)</t>
  </si>
  <si>
    <t>Substituto na cobertura de Outras Ausências (especificar)</t>
  </si>
  <si>
    <t>QUADRO-RESUMO DO CUSTO POR EMPREGADO</t>
  </si>
  <si>
    <t>2- CUSTO POR EMPREGADO</t>
  </si>
  <si>
    <t>Auxílio Saúde</t>
  </si>
  <si>
    <t>Custo mensal</t>
  </si>
  <si>
    <t>1 unidade</t>
  </si>
  <si>
    <t>1 unidades</t>
  </si>
  <si>
    <t>3 unidade</t>
  </si>
  <si>
    <t>1 Unidade</t>
  </si>
  <si>
    <t>CUSTO MENSAL POR EMPREGADO</t>
  </si>
  <si>
    <t>QUANTIDADE</t>
  </si>
  <si>
    <t>MESES</t>
  </si>
  <si>
    <t>Posto de trabalho</t>
  </si>
  <si>
    <t>Vide anexo (Quadro de materiais)</t>
  </si>
  <si>
    <t>Arquiteto</t>
  </si>
  <si>
    <t>Encarregado de Manutenção</t>
  </si>
  <si>
    <t>Manutenção Elétrica</t>
  </si>
  <si>
    <t>Manutenção Predial</t>
  </si>
  <si>
    <t>salário mínimo - Lei 4950-A/1966</t>
  </si>
  <si>
    <t>(valor do plano de saúde mensal - desconto parte do empregado)</t>
  </si>
  <si>
    <t>Seguro de Vida</t>
  </si>
  <si>
    <t>outros</t>
  </si>
  <si>
    <t>Café da Manhã</t>
  </si>
  <si>
    <t>lei municipal 1418/1989</t>
  </si>
  <si>
    <t>Café da manhã</t>
  </si>
  <si>
    <t>S5eguro de vida</t>
  </si>
  <si>
    <t>Preço Unitário médio</t>
  </si>
  <si>
    <t>Preço Total</t>
  </si>
  <si>
    <t>Calça jeans</t>
  </si>
  <si>
    <t>Camisa polo</t>
  </si>
  <si>
    <t>Cinto preto</t>
  </si>
  <si>
    <t>Par de meias</t>
  </si>
  <si>
    <t>Casaco preto</t>
  </si>
  <si>
    <t>Valor Total (6 meses)</t>
  </si>
  <si>
    <t>Valor Total (12 meses)</t>
  </si>
  <si>
    <t>Custo por profissional por mês</t>
  </si>
  <si>
    <t>EPI's</t>
  </si>
  <si>
    <t>EQUIPAMENTOS</t>
  </si>
  <si>
    <t>Óculos de proteção</t>
  </si>
  <si>
    <t>Botas de couro</t>
  </si>
  <si>
    <t>Luvas pigmentadas</t>
  </si>
  <si>
    <t>Luvas raspas</t>
  </si>
  <si>
    <t>capacete</t>
  </si>
  <si>
    <t>EPI'S</t>
  </si>
  <si>
    <t>PRODUTO</t>
  </si>
  <si>
    <t xml:space="preserve">Cinturão para ferramentas </t>
  </si>
  <si>
    <t>ALICATE</t>
  </si>
  <si>
    <t>FURADEIRA DE IMPACTO</t>
  </si>
  <si>
    <t>PAQUÍMETRO</t>
  </si>
  <si>
    <t>JOGO DE GRAMPOS TIPO C</t>
  </si>
  <si>
    <t>ALICATE AMPERÍMETRO DIGITAL</t>
  </si>
  <si>
    <t>TORNO ENCANADOR FIXO Nº 3</t>
  </si>
  <si>
    <t>ALICATE UNIVERSAL 8 POL. ISOLAMENTO 1000V</t>
  </si>
  <si>
    <t>ALICATE DESCASCADOR DE FIO COM CABO AUTOMÁTICO</t>
  </si>
  <si>
    <t>SERRA TICO-TICO</t>
  </si>
  <si>
    <t xml:space="preserve">1 unidade </t>
  </si>
  <si>
    <t>TRENA 10 METROS COM TRAVA</t>
  </si>
  <si>
    <t>LIXADEIRA EXCÊNTRICA ROTO ORBITAL COM COLETOR</t>
  </si>
  <si>
    <t>TERMÔMETRO INFRA VERMELHO -50 À 150</t>
  </si>
  <si>
    <t>JOGO DE LIMAS 5 PEÇAS</t>
  </si>
  <si>
    <t>JOGO DE 5 PEÇAS</t>
  </si>
  <si>
    <t>CHAVE INGLESA 10 POL</t>
  </si>
  <si>
    <t>MÚLTIMETRO DIGITAL</t>
  </si>
  <si>
    <t>ARCO DE SERRA AJUSTÁVEL</t>
  </si>
  <si>
    <t>RÉGUA DE AÇO INOX 60CM</t>
  </si>
  <si>
    <t>BOMBA A VÁCUO</t>
  </si>
  <si>
    <t>CAPACÍMETRO</t>
  </si>
  <si>
    <t>JOGO DE CHAVES FENDA E PHILIPS</t>
  </si>
  <si>
    <t>1 jogo</t>
  </si>
  <si>
    <t>ALICATE BOMBA D’ÁGUA 12 POL.</t>
  </si>
  <si>
    <t xml:space="preserve"> 1 unidade</t>
  </si>
  <si>
    <t>NÍVEL DE ALUMÍNIO COM BASE MAGNÉTICA 12 POL.</t>
  </si>
  <si>
    <t>JOGO DE FORMÕES 6 PEÇAS 16~120</t>
  </si>
  <si>
    <t>KIT MANIFOLD</t>
  </si>
  <si>
    <t>1 KIT</t>
  </si>
  <si>
    <t>MAÇARICO PORTÁTIL AUTOMÁTICO</t>
  </si>
  <si>
    <t>PONTEIRO PARA MARTELETE 400MM</t>
  </si>
  <si>
    <t>PARAFUSADEIRA COM ACESSÓRIOS</t>
  </si>
  <si>
    <t>MARTELO UNHA 25MM</t>
  </si>
  <si>
    <t>ESQUADRO PROFISSIONAL 12 POL</t>
  </si>
  <si>
    <t>DETECTOR DE VAZAMENTO ELETRÔNICO</t>
  </si>
  <si>
    <t>TALHADEIRA PARA MARTELETE 400MM X 25MM</t>
  </si>
  <si>
    <t>JOGO DE SOQUETES</t>
  </si>
  <si>
    <t>KIT SERRA COPO</t>
  </si>
  <si>
    <t>CORTA -TUBOS 1/2 A 2 POL</t>
  </si>
  <si>
    <t>PENTE DE ALETAS METAL</t>
  </si>
  <si>
    <t>JOGO DE CHAVE CANHÃO 9 PEÇAS</t>
  </si>
  <si>
    <t xml:space="preserve">1 jogo </t>
  </si>
  <si>
    <t>ALICATE BICO FINO</t>
  </si>
  <si>
    <t>ALICATE DE CRIPAGEM CAT6 RJ45</t>
  </si>
  <si>
    <t>ALICATE DE INSERÇÃO PUNCH DOWN</t>
  </si>
  <si>
    <t>MEDIDOR DE POTÊNCIA E PERDA RELATIVA ÓPTICA</t>
  </si>
  <si>
    <t>MAQUINA COPIADORA DE CHAVES</t>
  </si>
  <si>
    <t>CONJUNTO DE CHAVES INGLESAS</t>
  </si>
  <si>
    <t>jogo de 5 peças</t>
  </si>
  <si>
    <t>MÁQUINA SERRA MÁRMORE</t>
  </si>
  <si>
    <t xml:space="preserve">ALICATE DE PRESSÃO
</t>
  </si>
  <si>
    <t>TORQUES</t>
  </si>
  <si>
    <t>REBITADOR</t>
  </si>
  <si>
    <t>ESMERILHADEIRA</t>
  </si>
  <si>
    <t>CONJUNTO CHAVE ALLEN</t>
  </si>
  <si>
    <t>1 jogo 12 peças</t>
  </si>
  <si>
    <t>ITEM</t>
  </si>
  <si>
    <t>VALOR</t>
  </si>
  <si>
    <t>VALOR TOTAL 12 meses</t>
  </si>
  <si>
    <t xml:space="preserve">VALOR MENSAL </t>
  </si>
  <si>
    <t>Custo por Profissional</t>
  </si>
  <si>
    <t>Registro de Ponto</t>
  </si>
  <si>
    <t>Registro de Pontos</t>
  </si>
  <si>
    <t>Equipamento - Arquiteto</t>
  </si>
  <si>
    <t>Item 01 - Quadro Resumo - Arquiteto</t>
  </si>
  <si>
    <t>Nº de postos</t>
  </si>
  <si>
    <t>Valor unitário por posto</t>
  </si>
  <si>
    <t>Total do Grupo 01</t>
  </si>
  <si>
    <t>Valor total para 30 meses</t>
  </si>
  <si>
    <t>Item 02 - Encarregado de Manutenção</t>
  </si>
  <si>
    <t>Valor Total por Empregado</t>
  </si>
  <si>
    <t>Provisão para férias, 13º salário , ausências legais, Rescisão (2.1,3,4.1)</t>
  </si>
  <si>
    <t>Tributos</t>
  </si>
  <si>
    <t>Total Custo Variável (Pagamento pelo Fato Gerador)</t>
  </si>
  <si>
    <t xml:space="preserve">Pagamento Fixo Mensal </t>
  </si>
  <si>
    <t>* 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</si>
  <si>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VALOR DA HORA EXTRAORDINÁRIA</t>
  </si>
  <si>
    <t>VALOR DA HORA NORMAL**</t>
  </si>
  <si>
    <t>Percentual aplicável</t>
  </si>
  <si>
    <t>VALOR MENSAL ESTIMADO DE HORAS EXTRAS</t>
  </si>
  <si>
    <t xml:space="preserve">                        QUADRO-RESUMO DO PAGAMENTO MÍNIMO MENSAL SEM OCORRÊNCIA</t>
  </si>
  <si>
    <t>Incidência do Submódulo 2.2 sobre 13º, Férias e Adicional de Férias</t>
  </si>
  <si>
    <t>3 - PAGAMENTO MÍNIMO MENSAL SEM OCORRÊNCIA</t>
  </si>
  <si>
    <r>
      <t>VALOR DA HORA EXTRA - DIAS ÚTEIS</t>
    </r>
    <r>
      <rPr>
        <sz val="9"/>
        <color theme="1"/>
        <rFont val="Tahoma"/>
        <family val="2"/>
      </rPr>
      <t xml:space="preserve"> (Ajustar percentual aplicável, se for o caso)</t>
    </r>
  </si>
  <si>
    <t xml:space="preserve"> </t>
  </si>
  <si>
    <t>Grupo 01 (Itens 02, 03 e 04) - Quadro Resumo - Técnicos</t>
  </si>
  <si>
    <t>Item 04 - Manutenção Predial Geral (sem hora extra)</t>
  </si>
  <si>
    <t xml:space="preserve">Valor total global estimado </t>
  </si>
  <si>
    <t xml:space="preserve">Valor Mensal </t>
  </si>
  <si>
    <t>Manutenção Predial (c/hora extra)</t>
  </si>
  <si>
    <t>Manutenção Predial (s/hora extra)</t>
  </si>
  <si>
    <t>Equipamento - Técnicos (Encarregado, Manutenção Elétrica e Manutenção Predial)</t>
  </si>
  <si>
    <t>**Considerando 220h Mensais</t>
  </si>
  <si>
    <t>Item 03 - Manutenção em Elétrica (sem hora extra)</t>
  </si>
  <si>
    <t>Item 03 - Manutenção em Elétrica (com hora extra)</t>
  </si>
  <si>
    <t>Item 04 - Manutenção Predial Geral (com Hora Extra)</t>
  </si>
  <si>
    <t>Manutenção Elétrica (s/hora extra)</t>
  </si>
  <si>
    <t>Manutenção Elétrica (c/hora extra)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</si>
</sst>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00/0000"/>
    <numFmt numFmtId="167" formatCode="#,##0.00_ ;\-#,##0.0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8" fillId="0" borderId="0" xfId="0" applyFont="1" applyFill="1"/>
    <xf numFmtId="0" fontId="7" fillId="0" borderId="0" xfId="0" applyFont="1"/>
    <xf numFmtId="0" fontId="11" fillId="0" borderId="1" xfId="0" applyFont="1" applyBorder="1" applyAlignment="1">
      <alignment horizontal="left"/>
    </xf>
    <xf numFmtId="43" fontId="11" fillId="0" borderId="1" xfId="3" applyFont="1" applyBorder="1"/>
    <xf numFmtId="10" fontId="11" fillId="0" borderId="1" xfId="2" applyNumberFormat="1" applyFont="1" applyBorder="1" applyAlignment="1">
      <alignment horizontal="center"/>
    </xf>
    <xf numFmtId="10" fontId="11" fillId="0" borderId="1" xfId="2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1" fillId="0" borderId="1" xfId="0" applyNumberFormat="1" applyFont="1" applyFill="1" applyBorder="1" applyAlignment="1">
      <alignment horizontal="center"/>
    </xf>
    <xf numFmtId="43" fontId="11" fillId="0" borderId="1" xfId="3" applyFont="1" applyFill="1" applyBorder="1"/>
    <xf numFmtId="43" fontId="10" fillId="0" borderId="1" xfId="3" applyFont="1" applyFill="1" applyBorder="1"/>
    <xf numFmtId="0" fontId="11" fillId="0" borderId="1" xfId="0" applyFont="1" applyFill="1" applyBorder="1" applyAlignment="1">
      <alignment horizontal="center"/>
    </xf>
    <xf numFmtId="43" fontId="11" fillId="0" borderId="1" xfId="3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43" fontId="11" fillId="0" borderId="1" xfId="3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1" fillId="0" borderId="25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6" fillId="0" borderId="0" xfId="0" applyFont="1"/>
    <xf numFmtId="0" fontId="6" fillId="0" borderId="0" xfId="0" applyFont="1" applyFill="1"/>
    <xf numFmtId="43" fontId="6" fillId="0" borderId="0" xfId="3" applyFont="1"/>
    <xf numFmtId="9" fontId="6" fillId="0" borderId="0" xfId="2" applyFont="1"/>
    <xf numFmtId="43" fontId="6" fillId="0" borderId="0" xfId="0" applyNumberFormat="1" applyFont="1"/>
    <xf numFmtId="10" fontId="6" fillId="0" borderId="0" xfId="2" applyNumberFormat="1" applyFont="1"/>
    <xf numFmtId="2" fontId="6" fillId="0" borderId="0" xfId="0" applyNumberFormat="1" applyFont="1"/>
    <xf numFmtId="0" fontId="21" fillId="0" borderId="0" xfId="0" applyFont="1"/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5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/>
    </xf>
    <xf numFmtId="164" fontId="23" fillId="0" borderId="0" xfId="1" applyFont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0" fontId="10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8" fillId="0" borderId="0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4" fillId="0" borderId="0" xfId="0" applyFont="1"/>
    <xf numFmtId="10" fontId="11" fillId="0" borderId="1" xfId="0" applyNumberFormat="1" applyFont="1" applyFill="1" applyBorder="1" applyAlignment="1">
      <alignment horizontal="right"/>
    </xf>
    <xf numFmtId="10" fontId="11" fillId="0" borderId="1" xfId="2" applyNumberFormat="1" applyFont="1" applyFill="1" applyBorder="1" applyAlignment="1">
      <alignment horizontal="right"/>
    </xf>
    <xf numFmtId="0" fontId="19" fillId="7" borderId="1" xfId="4" applyFont="1" applyFill="1" applyBorder="1" applyAlignment="1">
      <alignment vertical="center" wrapText="1"/>
    </xf>
    <xf numFmtId="0" fontId="0" fillId="0" borderId="0" xfId="0" applyFont="1"/>
    <xf numFmtId="0" fontId="18" fillId="6" borderId="1" xfId="4" applyFont="1" applyFill="1" applyBorder="1" applyAlignment="1">
      <alignment horizontal="left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4" fontId="11" fillId="6" borderId="1" xfId="4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0" fillId="0" borderId="1" xfId="0" applyNumberFormat="1" applyBorder="1"/>
    <xf numFmtId="2" fontId="5" fillId="0" borderId="1" xfId="0" applyNumberFormat="1" applyFont="1" applyBorder="1"/>
    <xf numFmtId="0" fontId="10" fillId="2" borderId="1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8" fillId="0" borderId="0" xfId="0" applyFont="1" applyBorder="1"/>
    <xf numFmtId="0" fontId="23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3" fontId="10" fillId="2" borderId="1" xfId="3" applyFont="1" applyFill="1" applyBorder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43" fontId="10" fillId="2" borderId="1" xfId="3" applyFont="1" applyFill="1" applyBorder="1"/>
    <xf numFmtId="10" fontId="11" fillId="2" borderId="1" xfId="0" applyNumberFormat="1" applyFont="1" applyFill="1" applyBorder="1" applyAlignment="1">
      <alignment horizontal="center"/>
    </xf>
    <xf numFmtId="10" fontId="11" fillId="2" borderId="1" xfId="2" applyNumberFormat="1" applyFont="1" applyFill="1" applyBorder="1" applyAlignment="1"/>
    <xf numFmtId="164" fontId="10" fillId="2" borderId="1" xfId="1" applyFont="1" applyFill="1" applyBorder="1"/>
    <xf numFmtId="0" fontId="11" fillId="2" borderId="1" xfId="0" applyFont="1" applyFill="1" applyBorder="1"/>
    <xf numFmtId="0" fontId="22" fillId="0" borderId="0" xfId="0" applyFont="1" applyAlignment="1">
      <alignment horizontal="left"/>
    </xf>
    <xf numFmtId="0" fontId="22" fillId="0" borderId="33" xfId="0" applyFont="1" applyBorder="1" applyAlignment="1"/>
    <xf numFmtId="0" fontId="22" fillId="0" borderId="0" xfId="0" applyFont="1" applyBorder="1" applyAlignment="1"/>
    <xf numFmtId="43" fontId="22" fillId="0" borderId="0" xfId="0" applyNumberFormat="1" applyFont="1" applyBorder="1"/>
    <xf numFmtId="43" fontId="10" fillId="0" borderId="0" xfId="3" applyFont="1" applyBorder="1" applyAlignment="1"/>
    <xf numFmtId="43" fontId="10" fillId="0" borderId="0" xfId="3" applyFont="1" applyFill="1" applyBorder="1" applyAlignment="1"/>
    <xf numFmtId="10" fontId="10" fillId="2" borderId="32" xfId="0" applyNumberFormat="1" applyFont="1" applyFill="1" applyBorder="1" applyAlignment="1">
      <alignment horizontal="center"/>
    </xf>
    <xf numFmtId="43" fontId="10" fillId="2" borderId="32" xfId="3" applyFont="1" applyFill="1" applyBorder="1"/>
    <xf numFmtId="0" fontId="20" fillId="0" borderId="19" xfId="0" applyFont="1" applyFill="1" applyBorder="1" applyAlignment="1">
      <alignment horizontal="left" wrapText="1"/>
    </xf>
    <xf numFmtId="0" fontId="20" fillId="0" borderId="20" xfId="0" applyFont="1" applyFill="1" applyBorder="1" applyAlignment="1">
      <alignment horizontal="left" wrapText="1"/>
    </xf>
    <xf numFmtId="0" fontId="20" fillId="0" borderId="34" xfId="0" applyFont="1" applyFill="1" applyBorder="1" applyAlignment="1">
      <alignment horizontal="left" wrapText="1"/>
    </xf>
    <xf numFmtId="10" fontId="10" fillId="0" borderId="0" xfId="0" applyNumberFormat="1" applyFont="1" applyFill="1" applyBorder="1" applyAlignment="1">
      <alignment horizontal="center"/>
    </xf>
    <xf numFmtId="43" fontId="10" fillId="0" borderId="0" xfId="3" applyFont="1" applyFill="1" applyBorder="1"/>
    <xf numFmtId="2" fontId="10" fillId="0" borderId="0" xfId="0" applyNumberFormat="1" applyFont="1" applyFill="1" applyBorder="1"/>
    <xf numFmtId="0" fontId="2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3" fontId="22" fillId="0" borderId="0" xfId="3" applyFont="1"/>
    <xf numFmtId="43" fontId="21" fillId="0" borderId="0" xfId="0" applyNumberFormat="1" applyFont="1"/>
    <xf numFmtId="0" fontId="18" fillId="3" borderId="1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4" fontId="18" fillId="3" borderId="1" xfId="0" applyNumberFormat="1" applyFont="1" applyFill="1" applyBorder="1" applyAlignment="1">
      <alignment vertical="center"/>
    </xf>
    <xf numFmtId="8" fontId="15" fillId="3" borderId="25" xfId="0" applyNumberFormat="1" applyFont="1" applyFill="1" applyBorder="1" applyAlignment="1">
      <alignment horizontal="center" vertical="center" wrapText="1"/>
    </xf>
    <xf numFmtId="164" fontId="15" fillId="0" borderId="0" xfId="1" applyFont="1"/>
    <xf numFmtId="0" fontId="19" fillId="2" borderId="1" xfId="4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0" fillId="0" borderId="1" xfId="0" applyFont="1" applyBorder="1"/>
    <xf numFmtId="0" fontId="11" fillId="0" borderId="1" xfId="0" applyFont="1" applyBorder="1"/>
    <xf numFmtId="4" fontId="11" fillId="0" borderId="1" xfId="0" applyNumberFormat="1" applyFont="1" applyBorder="1"/>
    <xf numFmtId="4" fontId="10" fillId="0" borderId="1" xfId="1" applyNumberFormat="1" applyFont="1" applyBorder="1"/>
    <xf numFmtId="2" fontId="11" fillId="0" borderId="1" xfId="0" applyNumberFormat="1" applyFont="1" applyBorder="1"/>
    <xf numFmtId="2" fontId="10" fillId="0" borderId="1" xfId="1" applyNumberFormat="1" applyFont="1" applyBorder="1"/>
    <xf numFmtId="0" fontId="0" fillId="0" borderId="1" xfId="0" applyBorder="1"/>
    <xf numFmtId="164" fontId="4" fillId="0" borderId="0" xfId="1"/>
    <xf numFmtId="164" fontId="4" fillId="0" borderId="1" xfId="1" applyBorder="1"/>
    <xf numFmtId="0" fontId="5" fillId="10" borderId="1" xfId="0" applyFont="1" applyFill="1" applyBorder="1" applyAlignment="1">
      <alignment horizontal="center" vertical="center"/>
    </xf>
    <xf numFmtId="164" fontId="4" fillId="10" borderId="1" xfId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5" fillId="0" borderId="1" xfId="1" applyFont="1" applyBorder="1"/>
    <xf numFmtId="0" fontId="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43" fontId="0" fillId="0" borderId="0" xfId="3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26" fillId="0" borderId="0" xfId="0" applyFont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7" fillId="0" borderId="0" xfId="0" applyNumberFormat="1" applyFont="1"/>
    <xf numFmtId="10" fontId="7" fillId="0" borderId="0" xfId="0" applyNumberFormat="1" applyFont="1"/>
    <xf numFmtId="43" fontId="22" fillId="0" borderId="0" xfId="0" applyNumberFormat="1" applyFont="1"/>
    <xf numFmtId="0" fontId="11" fillId="0" borderId="1" xfId="2" applyNumberFormat="1" applyFont="1" applyFill="1" applyBorder="1" applyAlignment="1">
      <alignment horizontal="right"/>
    </xf>
    <xf numFmtId="0" fontId="19" fillId="9" borderId="1" xfId="0" applyFont="1" applyFill="1" applyBorder="1" applyAlignment="1">
      <alignment vertical="center"/>
    </xf>
    <xf numFmtId="0" fontId="19" fillId="9" borderId="15" xfId="0" applyFont="1" applyFill="1" applyBorder="1" applyAlignment="1">
      <alignment vertical="center"/>
    </xf>
    <xf numFmtId="0" fontId="19" fillId="9" borderId="6" xfId="0" applyFont="1" applyFill="1" applyBorder="1" applyAlignment="1">
      <alignment vertical="center"/>
    </xf>
    <xf numFmtId="0" fontId="19" fillId="9" borderId="16" xfId="0" applyFont="1" applyFill="1" applyBorder="1" applyAlignment="1">
      <alignment vertical="center"/>
    </xf>
    <xf numFmtId="167" fontId="18" fillId="6" borderId="1" xfId="0" applyNumberFormat="1" applyFont="1" applyFill="1" applyBorder="1" applyAlignment="1">
      <alignment vertical="center"/>
    </xf>
    <xf numFmtId="9" fontId="18" fillId="0" borderId="1" xfId="2" applyFont="1" applyBorder="1" applyAlignment="1">
      <alignment horizontal="center" vertical="center" wrapText="1"/>
    </xf>
    <xf numFmtId="10" fontId="18" fillId="0" borderId="1" xfId="2" applyNumberFormat="1" applyFont="1" applyBorder="1" applyAlignment="1">
      <alignment horizontal="center" vertical="center" wrapText="1"/>
    </xf>
    <xf numFmtId="167" fontId="15" fillId="0" borderId="1" xfId="1" applyNumberFormat="1" applyFont="1" applyBorder="1" applyAlignment="1">
      <alignment horizontal="right" vertical="center" wrapText="1"/>
    </xf>
    <xf numFmtId="167" fontId="19" fillId="2" borderId="1" xfId="0" applyNumberFormat="1" applyFont="1" applyFill="1" applyBorder="1"/>
    <xf numFmtId="0" fontId="19" fillId="9" borderId="1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0" borderId="0" xfId="0" applyFont="1"/>
    <xf numFmtId="43" fontId="18" fillId="0" borderId="1" xfId="3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1" xfId="0" applyFont="1" applyBorder="1" applyAlignment="1">
      <alignment horizontal="center"/>
    </xf>
    <xf numFmtId="43" fontId="11" fillId="0" borderId="1" xfId="3" applyFont="1" applyBorder="1" applyAlignment="1">
      <alignment horizontal="center"/>
    </xf>
    <xf numFmtId="0" fontId="18" fillId="0" borderId="3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164" fontId="11" fillId="0" borderId="15" xfId="1" applyFont="1" applyFill="1" applyBorder="1" applyAlignment="1">
      <alignment horizontal="center"/>
    </xf>
    <xf numFmtId="164" fontId="11" fillId="0" borderId="1" xfId="1" applyFont="1" applyFill="1" applyBorder="1" applyAlignment="1">
      <alignment horizontal="center"/>
    </xf>
    <xf numFmtId="164" fontId="11" fillId="0" borderId="15" xfId="1" applyFont="1" applyBorder="1" applyAlignment="1">
      <alignment horizontal="center"/>
    </xf>
    <xf numFmtId="164" fontId="11" fillId="0" borderId="1" xfId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164" fontId="10" fillId="0" borderId="47" xfId="0" applyNumberFormat="1" applyFont="1" applyBorder="1" applyAlignment="1"/>
    <xf numFmtId="0" fontId="11" fillId="0" borderId="0" xfId="0" applyFont="1" applyBorder="1"/>
    <xf numFmtId="0" fontId="19" fillId="2" borderId="15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43" fontId="11" fillId="0" borderId="2" xfId="0" applyNumberFormat="1" applyFont="1" applyBorder="1"/>
    <xf numFmtId="164" fontId="10" fillId="0" borderId="2" xfId="1" applyFont="1" applyBorder="1"/>
    <xf numFmtId="164" fontId="11" fillId="0" borderId="2" xfId="1" applyFont="1" applyBorder="1"/>
    <xf numFmtId="0" fontId="11" fillId="0" borderId="17" xfId="5" applyFont="1" applyBorder="1"/>
    <xf numFmtId="0" fontId="11" fillId="0" borderId="18" xfId="5" applyFont="1" applyBorder="1"/>
    <xf numFmtId="0" fontId="11" fillId="0" borderId="55" xfId="5" applyFont="1" applyBorder="1"/>
    <xf numFmtId="164" fontId="12" fillId="11" borderId="7" xfId="1" applyFont="1" applyFill="1" applyBorder="1"/>
    <xf numFmtId="164" fontId="15" fillId="3" borderId="25" xfId="1" applyFont="1" applyFill="1" applyBorder="1" applyAlignment="1">
      <alignment horizontal="center" vertical="center" wrapText="1"/>
    </xf>
    <xf numFmtId="8" fontId="18" fillId="0" borderId="0" xfId="0" applyNumberFormat="1" applyFont="1" applyAlignment="1">
      <alignment horizontal="left" vertical="center"/>
    </xf>
    <xf numFmtId="9" fontId="18" fillId="12" borderId="9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>
      <alignment vertical="center"/>
    </xf>
    <xf numFmtId="43" fontId="18" fillId="6" borderId="1" xfId="3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/>
    </xf>
    <xf numFmtId="164" fontId="12" fillId="11" borderId="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right" vertical="center"/>
    </xf>
    <xf numFmtId="0" fontId="18" fillId="0" borderId="35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9" fillId="9" borderId="15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left" wrapText="1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9" fillId="2" borderId="15" xfId="4" applyFont="1" applyFill="1" applyBorder="1" applyAlignment="1">
      <alignment horizontal="center" vertical="center" wrapText="1"/>
    </xf>
    <xf numFmtId="0" fontId="19" fillId="2" borderId="16" xfId="4" applyFont="1" applyFill="1" applyBorder="1" applyAlignment="1">
      <alignment horizontal="center" vertical="center" wrapText="1"/>
    </xf>
    <xf numFmtId="0" fontId="19" fillId="0" borderId="15" xfId="4" applyFont="1" applyFill="1" applyBorder="1" applyAlignment="1">
      <alignment horizontal="left" vertical="center" wrapText="1"/>
    </xf>
    <xf numFmtId="0" fontId="19" fillId="0" borderId="16" xfId="4" applyFont="1" applyFill="1" applyBorder="1" applyAlignment="1">
      <alignment horizontal="left" vertical="center" wrapText="1"/>
    </xf>
    <xf numFmtId="0" fontId="19" fillId="0" borderId="6" xfId="4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>
      <alignment horizontal="center"/>
    </xf>
    <xf numFmtId="0" fontId="12" fillId="11" borderId="52" xfId="0" applyFont="1" applyFill="1" applyBorder="1" applyAlignment="1">
      <alignment horizontal="center"/>
    </xf>
    <xf numFmtId="0" fontId="27" fillId="13" borderId="42" xfId="5" applyFont="1" applyFill="1" applyBorder="1" applyAlignment="1">
      <alignment horizontal="center"/>
    </xf>
    <xf numFmtId="0" fontId="27" fillId="13" borderId="43" xfId="5" applyFont="1" applyFill="1" applyBorder="1" applyAlignment="1">
      <alignment horizontal="center"/>
    </xf>
    <xf numFmtId="0" fontId="27" fillId="13" borderId="44" xfId="5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27" fillId="13" borderId="53" xfId="0" applyFont="1" applyFill="1" applyBorder="1" applyAlignment="1">
      <alignment horizontal="center"/>
    </xf>
    <xf numFmtId="0" fontId="27" fillId="13" borderId="21" xfId="0" applyFont="1" applyFill="1" applyBorder="1" applyAlignment="1">
      <alignment horizontal="center"/>
    </xf>
    <xf numFmtId="0" fontId="27" fillId="13" borderId="54" xfId="0" applyFont="1" applyFill="1" applyBorder="1" applyAlignment="1">
      <alignment horizontal="center"/>
    </xf>
  </cellXfs>
  <cellStyles count="18">
    <cellStyle name="Moeda" xfId="1" builtinId="4"/>
    <cellStyle name="Moeda 2" xfId="6" xr:uid="{00000000-0005-0000-0000-000001000000}"/>
    <cellStyle name="Moeda 2 2" xfId="17" xr:uid="{00000000-0005-0000-0000-000002000000}"/>
    <cellStyle name="Moeda 3" xfId="11" xr:uid="{00000000-0005-0000-0000-000003000000}"/>
    <cellStyle name="Normal" xfId="0" builtinId="0"/>
    <cellStyle name="Normal 2" xfId="5" xr:uid="{00000000-0005-0000-0000-000005000000}"/>
    <cellStyle name="Normal 2 2" xfId="15" xr:uid="{00000000-0005-0000-0000-000006000000}"/>
    <cellStyle name="Normal 3" xfId="4" xr:uid="{00000000-0005-0000-0000-000007000000}"/>
    <cellStyle name="Normal 4" xfId="12" xr:uid="{00000000-0005-0000-0000-000008000000}"/>
    <cellStyle name="Porcentagem" xfId="2" builtinId="5"/>
    <cellStyle name="Porcentagem 2" xfId="7" xr:uid="{00000000-0005-0000-0000-00000A000000}"/>
    <cellStyle name="Porcentagem 3" xfId="10" xr:uid="{00000000-0005-0000-0000-00000B000000}"/>
    <cellStyle name="Vírgula" xfId="3" builtinId="3"/>
    <cellStyle name="Vírgula 2" xfId="8" xr:uid="{00000000-0005-0000-0000-00000D000000}"/>
    <cellStyle name="Vírgula 2 2" xfId="16" xr:uid="{00000000-0005-0000-0000-00000E000000}"/>
    <cellStyle name="Vírgula 3" xfId="9" xr:uid="{00000000-0005-0000-0000-00000F000000}"/>
    <cellStyle name="Vírgula 4" xfId="13" xr:uid="{00000000-0005-0000-0000-000010000000}"/>
    <cellStyle name="Vírgula 5" xfId="14" xr:uid="{00000000-0005-0000-0000-000011000000}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CC00CC"/>
      <color rgb="FFFF33CC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48"/>
  <sheetViews>
    <sheetView showGridLines="0" view="pageBreakPreview" topLeftCell="A4" zoomScaleNormal="100" zoomScaleSheetLayoutView="100" workbookViewId="0">
      <selection activeCell="E12" sqref="E12"/>
    </sheetView>
  </sheetViews>
  <sheetFormatPr defaultRowHeight="12.75" x14ac:dyDescent="0.2"/>
  <cols>
    <col min="1" max="1" width="19.140625" customWidth="1"/>
    <col min="2" max="2" width="16.7109375" customWidth="1"/>
    <col min="3" max="4" width="12.5703125" customWidth="1"/>
    <col min="5" max="5" width="15.42578125" customWidth="1"/>
    <col min="6" max="6" width="14.85546875" customWidth="1"/>
    <col min="7" max="7" width="14.42578125" bestFit="1" customWidth="1"/>
  </cols>
  <sheetData>
    <row r="1" spans="1:7" ht="15" thickBot="1" x14ac:dyDescent="0.25">
      <c r="A1" s="231" t="s">
        <v>66</v>
      </c>
      <c r="B1" s="232"/>
      <c r="C1" s="232"/>
      <c r="D1" s="232"/>
      <c r="E1" s="232"/>
      <c r="F1" s="232"/>
      <c r="G1" s="233"/>
    </row>
    <row r="2" spans="1:7" x14ac:dyDescent="0.2">
      <c r="A2" s="234" t="s">
        <v>67</v>
      </c>
      <c r="B2" s="234"/>
      <c r="C2" s="234"/>
      <c r="D2" s="234"/>
      <c r="E2" s="234"/>
      <c r="F2" s="234"/>
      <c r="G2" s="234"/>
    </row>
    <row r="3" spans="1:7" x14ac:dyDescent="0.2">
      <c r="A3" s="19"/>
      <c r="B3" s="19"/>
      <c r="C3" s="19"/>
      <c r="D3" s="19"/>
      <c r="E3" s="19"/>
      <c r="F3" s="19"/>
      <c r="G3" s="19"/>
    </row>
    <row r="4" spans="1:7" x14ac:dyDescent="0.2">
      <c r="A4" s="235" t="s">
        <v>68</v>
      </c>
      <c r="B4" s="236"/>
      <c r="C4" s="236"/>
      <c r="D4" s="236"/>
      <c r="E4" s="236"/>
      <c r="F4" s="236"/>
      <c r="G4" s="237"/>
    </row>
    <row r="5" spans="1:7" x14ac:dyDescent="0.2">
      <c r="A5" s="20" t="s">
        <v>69</v>
      </c>
      <c r="B5" s="238"/>
      <c r="C5" s="239"/>
      <c r="D5" s="239"/>
      <c r="E5" s="239"/>
      <c r="F5" s="239"/>
      <c r="G5" s="240"/>
    </row>
    <row r="6" spans="1:7" x14ac:dyDescent="0.2">
      <c r="A6" s="20" t="s">
        <v>70</v>
      </c>
      <c r="B6" s="238"/>
      <c r="C6" s="239"/>
      <c r="D6" s="239"/>
      <c r="E6" s="240"/>
      <c r="F6" s="21" t="s">
        <v>71</v>
      </c>
      <c r="G6" s="21" t="s">
        <v>72</v>
      </c>
    </row>
    <row r="7" spans="1:7" x14ac:dyDescent="0.2">
      <c r="A7" s="20" t="s">
        <v>73</v>
      </c>
      <c r="B7" s="241" t="s">
        <v>74</v>
      </c>
      <c r="C7" s="242"/>
      <c r="D7" s="242"/>
      <c r="E7" s="242"/>
      <c r="F7" s="242"/>
      <c r="G7" s="243"/>
    </row>
    <row r="8" spans="1:7" x14ac:dyDescent="0.2">
      <c r="A8" s="20" t="s">
        <v>75</v>
      </c>
      <c r="B8" s="238"/>
      <c r="C8" s="239"/>
      <c r="D8" s="239"/>
      <c r="E8" s="239"/>
      <c r="F8" s="239"/>
      <c r="G8" s="240"/>
    </row>
    <row r="9" spans="1:7" x14ac:dyDescent="0.2">
      <c r="A9" s="19"/>
      <c r="B9" s="19"/>
      <c r="C9" s="19"/>
      <c r="D9" s="19"/>
      <c r="E9" s="19"/>
      <c r="F9" s="19"/>
      <c r="G9" s="19"/>
    </row>
    <row r="10" spans="1:7" x14ac:dyDescent="0.2">
      <c r="A10" s="19"/>
      <c r="B10" s="19"/>
      <c r="C10" s="19"/>
      <c r="D10" s="19"/>
      <c r="E10" s="19"/>
      <c r="F10" s="19"/>
      <c r="G10" s="19"/>
    </row>
    <row r="11" spans="1:7" ht="22.5" x14ac:dyDescent="0.2">
      <c r="A11" s="22" t="s">
        <v>76</v>
      </c>
      <c r="B11" s="22" t="s">
        <v>77</v>
      </c>
      <c r="C11" s="22" t="s">
        <v>193</v>
      </c>
      <c r="D11" s="22" t="s">
        <v>194</v>
      </c>
      <c r="E11" s="22" t="s">
        <v>78</v>
      </c>
      <c r="F11" s="22" t="s">
        <v>79</v>
      </c>
      <c r="G11" s="22" t="s">
        <v>80</v>
      </c>
    </row>
    <row r="12" spans="1:7" x14ac:dyDescent="0.2">
      <c r="A12" s="23" t="s">
        <v>197</v>
      </c>
      <c r="B12" s="23" t="s">
        <v>197</v>
      </c>
      <c r="C12" s="149">
        <v>1</v>
      </c>
      <c r="D12" s="149">
        <v>30</v>
      </c>
      <c r="E12" s="220">
        <f>Arquiteto!D123+Arquiteto!D143</f>
        <v>25574.154166666667</v>
      </c>
      <c r="F12" s="153">
        <f t="shared" ref="F12:F16" si="0">C12*E12</f>
        <v>25574.154166666667</v>
      </c>
      <c r="G12" s="153">
        <f t="shared" ref="G12:G16" si="1">F12*D12</f>
        <v>767224.625</v>
      </c>
    </row>
    <row r="13" spans="1:7" ht="22.5" x14ac:dyDescent="0.2">
      <c r="A13" s="23" t="s">
        <v>198</v>
      </c>
      <c r="B13" s="23" t="s">
        <v>198</v>
      </c>
      <c r="C13" s="149">
        <v>1</v>
      </c>
      <c r="D13" s="149">
        <v>30</v>
      </c>
      <c r="E13" s="220">
        <f>'Encarregado de Manut'!D123+'Encarregado de Manut'!D143</f>
        <v>11115.324107905984</v>
      </c>
      <c r="F13" s="153">
        <f t="shared" si="0"/>
        <v>11115.324107905984</v>
      </c>
      <c r="G13" s="153">
        <f t="shared" si="1"/>
        <v>333459.72323717951</v>
      </c>
    </row>
    <row r="14" spans="1:7" ht="22.5" x14ac:dyDescent="0.2">
      <c r="A14" s="23" t="s">
        <v>325</v>
      </c>
      <c r="B14" s="23" t="s">
        <v>199</v>
      </c>
      <c r="C14" s="149">
        <v>1</v>
      </c>
      <c r="D14" s="149">
        <v>30</v>
      </c>
      <c r="E14" s="220">
        <f>'Manutenção Elétrica'!D123</f>
        <v>7543.5541079059813</v>
      </c>
      <c r="F14" s="153">
        <f t="shared" si="0"/>
        <v>7543.5541079059813</v>
      </c>
      <c r="G14" s="153">
        <f t="shared" si="1"/>
        <v>226306.62323717945</v>
      </c>
    </row>
    <row r="15" spans="1:7" ht="22.5" x14ac:dyDescent="0.2">
      <c r="A15" s="23" t="s">
        <v>326</v>
      </c>
      <c r="B15" s="23" t="s">
        <v>199</v>
      </c>
      <c r="C15" s="149">
        <v>1</v>
      </c>
      <c r="D15" s="149">
        <v>30</v>
      </c>
      <c r="E15" s="220">
        <f>'Manutenção Elétrica'!D123+'Manutenção Elétrica'!D143</f>
        <v>9294.2741079059815</v>
      </c>
      <c r="F15" s="153">
        <f t="shared" si="0"/>
        <v>9294.2741079059815</v>
      </c>
      <c r="G15" s="153">
        <f t="shared" si="1"/>
        <v>278828.22323717945</v>
      </c>
    </row>
    <row r="16" spans="1:7" ht="22.5" x14ac:dyDescent="0.2">
      <c r="A16" s="23" t="s">
        <v>319</v>
      </c>
      <c r="B16" s="23" t="s">
        <v>200</v>
      </c>
      <c r="C16" s="149">
        <v>5</v>
      </c>
      <c r="D16" s="149">
        <v>30</v>
      </c>
      <c r="E16" s="220">
        <f>'Manutenção Predial'!D123</f>
        <v>7543.5541079059813</v>
      </c>
      <c r="F16" s="153">
        <f t="shared" si="0"/>
        <v>37717.770539529905</v>
      </c>
      <c r="G16" s="153">
        <f t="shared" si="1"/>
        <v>1131533.1161858973</v>
      </c>
    </row>
    <row r="17" spans="1:7" ht="22.5" x14ac:dyDescent="0.2">
      <c r="A17" s="23" t="s">
        <v>318</v>
      </c>
      <c r="B17" s="23" t="s">
        <v>200</v>
      </c>
      <c r="C17" s="149">
        <v>4</v>
      </c>
      <c r="D17" s="149">
        <v>30</v>
      </c>
      <c r="E17" s="220">
        <f>'Manutenção Predial'!D123+'Manutenção Predial'!D143</f>
        <v>9294.2741079059815</v>
      </c>
      <c r="F17" s="153">
        <f>C17*E17</f>
        <v>37177.096431623926</v>
      </c>
      <c r="G17" s="153">
        <f>F17*D17</f>
        <v>1115312.8929487178</v>
      </c>
    </row>
    <row r="18" spans="1:7" x14ac:dyDescent="0.2">
      <c r="A18" s="19"/>
      <c r="B18" s="19"/>
      <c r="C18" s="19"/>
      <c r="D18" s="19"/>
      <c r="E18" s="19"/>
      <c r="F18" s="19"/>
      <c r="G18" s="221"/>
    </row>
    <row r="19" spans="1:7" x14ac:dyDescent="0.2">
      <c r="A19" s="19"/>
      <c r="B19" s="19"/>
      <c r="C19" s="19"/>
      <c r="D19" s="19"/>
      <c r="E19" s="19"/>
      <c r="F19" s="19"/>
      <c r="G19" s="19"/>
    </row>
    <row r="20" spans="1:7" x14ac:dyDescent="0.2">
      <c r="A20" s="244" t="s">
        <v>81</v>
      </c>
      <c r="B20" s="245"/>
      <c r="C20" s="245"/>
      <c r="D20" s="245"/>
      <c r="E20" s="245"/>
      <c r="F20" s="245"/>
      <c r="G20" s="246"/>
    </row>
    <row r="21" spans="1:7" x14ac:dyDescent="0.2">
      <c r="A21" s="247"/>
      <c r="B21" s="248"/>
      <c r="C21" s="248"/>
      <c r="D21" s="248"/>
      <c r="E21" s="248"/>
      <c r="F21" s="248"/>
      <c r="G21" s="249"/>
    </row>
    <row r="22" spans="1:7" x14ac:dyDescent="0.2">
      <c r="A22" s="19"/>
      <c r="B22" s="19"/>
      <c r="C22" s="19"/>
      <c r="D22" s="19"/>
      <c r="E22" s="19"/>
      <c r="F22" s="19"/>
      <c r="G22" s="19"/>
    </row>
    <row r="23" spans="1:7" x14ac:dyDescent="0.2">
      <c r="A23" s="19"/>
      <c r="B23" s="19"/>
      <c r="C23" s="19"/>
      <c r="D23" s="19"/>
      <c r="E23" s="19"/>
      <c r="F23" s="19"/>
      <c r="G23" s="19"/>
    </row>
    <row r="24" spans="1:7" x14ac:dyDescent="0.2">
      <c r="A24" s="250" t="s">
        <v>82</v>
      </c>
      <c r="B24" s="251"/>
      <c r="C24" s="251"/>
      <c r="D24" s="251"/>
      <c r="E24" s="251"/>
      <c r="F24" s="251"/>
      <c r="G24" s="252"/>
    </row>
    <row r="25" spans="1:7" x14ac:dyDescent="0.2">
      <c r="A25" s="247"/>
      <c r="B25" s="248"/>
      <c r="C25" s="248"/>
      <c r="D25" s="248"/>
      <c r="E25" s="248"/>
      <c r="F25" s="248"/>
      <c r="G25" s="249"/>
    </row>
    <row r="26" spans="1:7" x14ac:dyDescent="0.2">
      <c r="A26" s="19"/>
      <c r="B26" s="19"/>
      <c r="C26" s="19"/>
      <c r="D26" s="19"/>
      <c r="E26" s="19"/>
      <c r="F26" s="19"/>
      <c r="G26" s="19"/>
    </row>
    <row r="27" spans="1:7" x14ac:dyDescent="0.2">
      <c r="A27" s="19"/>
      <c r="B27" s="19"/>
      <c r="C27" s="19"/>
      <c r="D27" s="19"/>
      <c r="E27" s="19"/>
      <c r="F27" s="19"/>
      <c r="G27" s="19"/>
    </row>
    <row r="28" spans="1:7" x14ac:dyDescent="0.2">
      <c r="A28" s="228" t="s">
        <v>83</v>
      </c>
      <c r="B28" s="229"/>
      <c r="C28" s="229"/>
      <c r="D28" s="229"/>
      <c r="E28" s="229"/>
      <c r="F28" s="229"/>
      <c r="G28" s="230"/>
    </row>
    <row r="29" spans="1:7" x14ac:dyDescent="0.2">
      <c r="A29" s="247" t="s">
        <v>195</v>
      </c>
      <c r="B29" s="248"/>
      <c r="C29" s="248"/>
      <c r="D29" s="248"/>
      <c r="E29" s="248"/>
      <c r="F29" s="248"/>
      <c r="G29" s="249"/>
    </row>
    <row r="30" spans="1:7" x14ac:dyDescent="0.2">
      <c r="A30" s="19"/>
      <c r="B30" s="19"/>
      <c r="C30" s="19"/>
      <c r="D30" s="19"/>
      <c r="E30" s="19"/>
      <c r="F30" s="19"/>
      <c r="G30" s="19"/>
    </row>
    <row r="31" spans="1:7" x14ac:dyDescent="0.2">
      <c r="A31" s="19"/>
      <c r="B31" s="19"/>
      <c r="C31" s="19"/>
      <c r="D31" s="19"/>
      <c r="E31" s="19"/>
      <c r="F31" s="19"/>
      <c r="G31" s="19"/>
    </row>
    <row r="32" spans="1:7" ht="12.75" customHeight="1" x14ac:dyDescent="0.2">
      <c r="A32" s="259" t="s">
        <v>84</v>
      </c>
      <c r="B32" s="259"/>
      <c r="C32" s="259"/>
      <c r="D32" s="19"/>
      <c r="E32" s="19"/>
      <c r="F32" s="19"/>
      <c r="G32" s="19"/>
    </row>
    <row r="33" spans="1:7" x14ac:dyDescent="0.2">
      <c r="A33" s="256" t="s">
        <v>85</v>
      </c>
      <c r="B33" s="257"/>
      <c r="C33" s="150" t="s">
        <v>86</v>
      </c>
      <c r="E33" s="19"/>
      <c r="F33" s="19"/>
      <c r="G33" s="19"/>
    </row>
    <row r="34" spans="1:7" x14ac:dyDescent="0.2">
      <c r="A34" s="258" t="s">
        <v>197</v>
      </c>
      <c r="B34" s="258"/>
      <c r="C34" s="24">
        <v>1</v>
      </c>
      <c r="E34" s="19"/>
      <c r="F34" s="19"/>
      <c r="G34" s="19"/>
    </row>
    <row r="35" spans="1:7" x14ac:dyDescent="0.2">
      <c r="A35" s="258" t="s">
        <v>198</v>
      </c>
      <c r="B35" s="258"/>
      <c r="C35" s="24">
        <v>1</v>
      </c>
      <c r="E35" s="19"/>
      <c r="F35" s="19"/>
      <c r="G35" s="19"/>
    </row>
    <row r="36" spans="1:7" x14ac:dyDescent="0.2">
      <c r="A36" s="258" t="s">
        <v>325</v>
      </c>
      <c r="B36" s="258"/>
      <c r="C36" s="24">
        <v>1</v>
      </c>
      <c r="E36" s="19"/>
      <c r="F36" s="19"/>
      <c r="G36" s="19"/>
    </row>
    <row r="37" spans="1:7" x14ac:dyDescent="0.2">
      <c r="A37" s="253" t="s">
        <v>326</v>
      </c>
      <c r="B37" s="255"/>
      <c r="C37" s="227">
        <v>1</v>
      </c>
      <c r="E37" s="19"/>
      <c r="F37" s="19"/>
      <c r="G37" s="19"/>
    </row>
    <row r="38" spans="1:7" x14ac:dyDescent="0.2">
      <c r="A38" s="258" t="s">
        <v>319</v>
      </c>
      <c r="B38" s="258"/>
      <c r="C38" s="24">
        <v>5</v>
      </c>
      <c r="E38" s="19"/>
      <c r="F38" s="19"/>
      <c r="G38" s="19"/>
    </row>
    <row r="39" spans="1:7" x14ac:dyDescent="0.2">
      <c r="A39" s="258" t="s">
        <v>318</v>
      </c>
      <c r="B39" s="258"/>
      <c r="C39" s="24">
        <v>4</v>
      </c>
      <c r="E39" s="19"/>
      <c r="F39" s="19"/>
      <c r="G39" s="19"/>
    </row>
    <row r="40" spans="1:7" x14ac:dyDescent="0.2">
      <c r="A40" s="19"/>
      <c r="B40" s="19"/>
      <c r="C40" s="19"/>
      <c r="D40" s="19"/>
      <c r="E40" s="19"/>
      <c r="F40" s="19"/>
      <c r="G40" s="19"/>
    </row>
    <row r="41" spans="1:7" x14ac:dyDescent="0.2">
      <c r="A41" s="19"/>
      <c r="B41" s="19"/>
      <c r="C41" s="19"/>
      <c r="D41" s="19"/>
      <c r="E41" s="19"/>
      <c r="F41" s="19"/>
      <c r="G41" s="19"/>
    </row>
    <row r="42" spans="1:7" x14ac:dyDescent="0.2">
      <c r="A42" s="259" t="s">
        <v>87</v>
      </c>
      <c r="B42" s="259"/>
      <c r="C42" s="259"/>
      <c r="D42" s="259"/>
      <c r="E42" s="259"/>
      <c r="F42" s="259"/>
      <c r="G42" s="259"/>
    </row>
    <row r="43" spans="1:7" x14ac:dyDescent="0.2">
      <c r="A43" s="260" t="s">
        <v>88</v>
      </c>
      <c r="B43" s="260"/>
      <c r="C43" s="261" t="s">
        <v>86</v>
      </c>
      <c r="D43" s="262"/>
      <c r="E43" s="260" t="s">
        <v>89</v>
      </c>
      <c r="F43" s="260"/>
      <c r="G43" s="260"/>
    </row>
    <row r="44" spans="1:7" ht="12.75" customHeight="1" x14ac:dyDescent="0.2">
      <c r="A44" s="253" t="s">
        <v>196</v>
      </c>
      <c r="B44" s="254"/>
      <c r="C44" s="254"/>
      <c r="D44" s="254"/>
      <c r="E44" s="254"/>
      <c r="F44" s="254"/>
      <c r="G44" s="255"/>
    </row>
    <row r="45" spans="1:7" x14ac:dyDescent="0.2">
      <c r="A45" s="19"/>
      <c r="B45" s="19"/>
      <c r="C45" s="19"/>
      <c r="D45" s="19"/>
      <c r="E45" s="19"/>
      <c r="F45" s="19"/>
      <c r="G45" s="19"/>
    </row>
    <row r="46" spans="1:7" x14ac:dyDescent="0.2">
      <c r="A46" s="19"/>
      <c r="B46" s="19"/>
      <c r="C46" s="19"/>
      <c r="D46" s="19"/>
      <c r="E46" s="19"/>
      <c r="F46" s="19"/>
      <c r="G46" s="19"/>
    </row>
    <row r="47" spans="1:7" x14ac:dyDescent="0.2">
      <c r="A47" s="235" t="s">
        <v>90</v>
      </c>
      <c r="B47" s="236"/>
      <c r="C47" s="236"/>
      <c r="D47" s="236"/>
      <c r="E47" s="236"/>
      <c r="F47" s="236"/>
      <c r="G47" s="237"/>
    </row>
    <row r="48" spans="1:7" x14ac:dyDescent="0.2">
      <c r="A48" s="247"/>
      <c r="B48" s="248"/>
      <c r="C48" s="248"/>
      <c r="D48" s="248"/>
      <c r="E48" s="248"/>
      <c r="F48" s="248"/>
      <c r="G48" s="249"/>
    </row>
  </sheetData>
  <mergeCells count="28">
    <mergeCell ref="A44:G44"/>
    <mergeCell ref="A47:G47"/>
    <mergeCell ref="A48:G48"/>
    <mergeCell ref="A29:G29"/>
    <mergeCell ref="A33:B33"/>
    <mergeCell ref="A34:B34"/>
    <mergeCell ref="A42:G42"/>
    <mergeCell ref="A43:B43"/>
    <mergeCell ref="E43:G43"/>
    <mergeCell ref="A32:C32"/>
    <mergeCell ref="A35:B35"/>
    <mergeCell ref="A36:B36"/>
    <mergeCell ref="A38:B38"/>
    <mergeCell ref="A39:B39"/>
    <mergeCell ref="C43:D43"/>
    <mergeCell ref="A37:B37"/>
    <mergeCell ref="A28:G28"/>
    <mergeCell ref="A1:G1"/>
    <mergeCell ref="A2:G2"/>
    <mergeCell ref="A4:G4"/>
    <mergeCell ref="B5:G5"/>
    <mergeCell ref="B6:E6"/>
    <mergeCell ref="B7:G7"/>
    <mergeCell ref="B8:G8"/>
    <mergeCell ref="A20:G20"/>
    <mergeCell ref="A21:G21"/>
    <mergeCell ref="A24:G24"/>
    <mergeCell ref="A25:G25"/>
  </mergeCells>
  <pageMargins left="0.511811024" right="0.511811024" top="0.78740157499999996" bottom="0.78740157499999996" header="0.31496062000000002" footer="0.31496062000000002"/>
  <pageSetup paperSize="9" scale="8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34"/>
  <sheetViews>
    <sheetView showGridLines="0" topLeftCell="A13" zoomScaleNormal="100" workbookViewId="0">
      <selection activeCell="U8" sqref="U8:AA37"/>
    </sheetView>
  </sheetViews>
  <sheetFormatPr defaultRowHeight="12.75" x14ac:dyDescent="0.2"/>
  <cols>
    <col min="3" max="3" width="10.7109375" bestFit="1" customWidth="1"/>
    <col min="8" max="8" width="13.140625" customWidth="1"/>
  </cols>
  <sheetData>
    <row r="1" spans="1:27" x14ac:dyDescent="0.2">
      <c r="A1" s="25"/>
      <c r="B1" s="25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  <c r="R1" s="25"/>
    </row>
    <row r="2" spans="1:27" ht="13.5" thickBot="1" x14ac:dyDescent="0.25">
      <c r="A2" s="25"/>
      <c r="B2" s="25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5"/>
      <c r="O2" s="25"/>
      <c r="P2" s="25"/>
      <c r="Q2" s="25"/>
      <c r="R2" s="25"/>
    </row>
    <row r="3" spans="1:27" ht="15" thickBot="1" x14ac:dyDescent="0.25">
      <c r="A3" s="25"/>
      <c r="B3" s="231" t="s">
        <v>91</v>
      </c>
      <c r="C3" s="232"/>
      <c r="D3" s="232"/>
      <c r="E3" s="232"/>
      <c r="F3" s="232"/>
      <c r="G3" s="232"/>
      <c r="H3" s="233"/>
      <c r="I3" s="27"/>
      <c r="J3" s="25"/>
      <c r="K3" s="28" t="s">
        <v>92</v>
      </c>
      <c r="L3" s="25"/>
      <c r="M3" s="25"/>
      <c r="N3" s="25"/>
      <c r="O3" s="25"/>
      <c r="P3" s="25"/>
      <c r="Q3" s="25"/>
      <c r="R3" s="25"/>
    </row>
    <row r="4" spans="1:27" x14ac:dyDescent="0.2">
      <c r="A4" s="25"/>
      <c r="B4" s="266" t="s">
        <v>67</v>
      </c>
      <c r="C4" s="266"/>
      <c r="D4" s="266"/>
      <c r="E4" s="266"/>
      <c r="F4" s="266"/>
      <c r="G4" s="266"/>
      <c r="H4" s="266"/>
      <c r="I4" s="29"/>
      <c r="J4" s="25"/>
      <c r="K4" s="30" t="s">
        <v>93</v>
      </c>
      <c r="L4" s="25"/>
      <c r="M4" s="25"/>
      <c r="N4" s="25"/>
      <c r="O4" s="25"/>
      <c r="P4" s="25"/>
      <c r="Q4" s="25"/>
      <c r="R4" s="25"/>
    </row>
    <row r="5" spans="1:27" x14ac:dyDescent="0.2">
      <c r="A5" s="25"/>
      <c r="B5" s="25"/>
      <c r="C5" s="25"/>
      <c r="D5" s="25"/>
      <c r="E5" s="25"/>
      <c r="F5" s="25"/>
      <c r="G5" s="25"/>
      <c r="H5" s="25"/>
      <c r="I5" s="26"/>
      <c r="J5" s="25"/>
      <c r="K5" s="28"/>
      <c r="L5" s="25"/>
      <c r="M5" s="25"/>
      <c r="N5" s="25"/>
      <c r="O5" s="25"/>
      <c r="P5" s="25"/>
      <c r="Q5" s="25"/>
      <c r="R5" s="25"/>
    </row>
    <row r="6" spans="1:27" x14ac:dyDescent="0.2">
      <c r="A6" s="25"/>
      <c r="B6" s="31" t="s">
        <v>94</v>
      </c>
      <c r="C6" s="151"/>
      <c r="D6" s="25"/>
      <c r="E6" s="25"/>
      <c r="F6" s="25"/>
      <c r="G6" s="25"/>
      <c r="H6" s="25"/>
      <c r="I6" s="26"/>
      <c r="J6" s="25"/>
      <c r="K6" s="28" t="s">
        <v>95</v>
      </c>
      <c r="L6" s="25"/>
      <c r="M6" s="25"/>
      <c r="N6" s="25"/>
      <c r="O6" s="25"/>
      <c r="P6" s="25"/>
      <c r="Q6" s="25"/>
      <c r="R6" s="25"/>
    </row>
    <row r="7" spans="1:27" x14ac:dyDescent="0.2">
      <c r="A7" s="25"/>
      <c r="B7" s="25"/>
      <c r="C7" s="25"/>
      <c r="D7" s="25"/>
      <c r="E7" s="25"/>
      <c r="F7" s="25"/>
      <c r="G7" s="25"/>
      <c r="H7" s="25"/>
      <c r="I7" s="26"/>
      <c r="J7" s="25"/>
      <c r="K7" s="25"/>
      <c r="L7" s="25"/>
      <c r="M7" s="25"/>
      <c r="N7" s="25"/>
      <c r="O7" s="25"/>
      <c r="P7" s="25"/>
      <c r="Q7" s="25"/>
      <c r="R7" s="25"/>
    </row>
    <row r="8" spans="1:27" x14ac:dyDescent="0.2">
      <c r="A8" s="25"/>
      <c r="B8" s="31" t="s">
        <v>65</v>
      </c>
      <c r="C8" s="152"/>
      <c r="D8" s="33" t="s">
        <v>96</v>
      </c>
      <c r="E8" s="34"/>
      <c r="F8" s="31" t="s">
        <v>97</v>
      </c>
      <c r="G8" s="25"/>
      <c r="H8" s="25"/>
      <c r="I8" s="26"/>
      <c r="J8" s="25"/>
      <c r="K8" s="267" t="s">
        <v>98</v>
      </c>
      <c r="L8" s="268"/>
      <c r="M8" s="268"/>
      <c r="N8" s="268"/>
      <c r="O8" s="268"/>
      <c r="P8" s="268"/>
      <c r="Q8" s="269"/>
      <c r="R8" s="25"/>
      <c r="U8" s="267" t="s">
        <v>98</v>
      </c>
      <c r="V8" s="268"/>
      <c r="W8" s="268"/>
      <c r="X8" s="268"/>
      <c r="Y8" s="268"/>
      <c r="Z8" s="268"/>
      <c r="AA8" s="269"/>
    </row>
    <row r="9" spans="1:27" x14ac:dyDescent="0.2">
      <c r="A9" s="25"/>
      <c r="B9" s="25"/>
      <c r="C9" s="25"/>
      <c r="D9" s="25"/>
      <c r="E9" s="25"/>
      <c r="F9" s="25"/>
      <c r="G9" s="25"/>
      <c r="H9" s="25"/>
      <c r="I9" s="26"/>
      <c r="J9" s="25"/>
      <c r="K9" s="270">
        <v>1</v>
      </c>
      <c r="L9" s="263" t="s">
        <v>99</v>
      </c>
      <c r="M9" s="264"/>
      <c r="N9" s="264"/>
      <c r="O9" s="264"/>
      <c r="P9" s="264"/>
      <c r="Q9" s="265"/>
      <c r="R9" s="25"/>
      <c r="U9" s="270">
        <v>1</v>
      </c>
      <c r="V9" s="263" t="s">
        <v>99</v>
      </c>
      <c r="W9" s="264"/>
      <c r="X9" s="264"/>
      <c r="Y9" s="264"/>
      <c r="Z9" s="264"/>
      <c r="AA9" s="265"/>
    </row>
    <row r="10" spans="1:27" x14ac:dyDescent="0.2">
      <c r="A10" s="25"/>
      <c r="B10" s="35" t="s">
        <v>100</v>
      </c>
      <c r="C10" s="36"/>
      <c r="D10" s="32"/>
      <c r="E10" s="25" t="s">
        <v>101</v>
      </c>
      <c r="F10" s="25"/>
      <c r="G10" s="25"/>
      <c r="H10" s="25"/>
      <c r="I10" s="26"/>
      <c r="J10" s="25"/>
      <c r="K10" s="271"/>
      <c r="L10" s="272" t="s">
        <v>197</v>
      </c>
      <c r="M10" s="273"/>
      <c r="N10" s="273"/>
      <c r="O10" s="273"/>
      <c r="P10" s="273"/>
      <c r="Q10" s="274"/>
      <c r="R10" s="25"/>
      <c r="U10" s="271"/>
      <c r="V10" s="272" t="s">
        <v>199</v>
      </c>
      <c r="W10" s="273"/>
      <c r="X10" s="273"/>
      <c r="Y10" s="273"/>
      <c r="Z10" s="273"/>
      <c r="AA10" s="274"/>
    </row>
    <row r="11" spans="1:27" x14ac:dyDescent="0.2">
      <c r="A11" s="25"/>
      <c r="B11" s="25"/>
      <c r="C11" s="25"/>
      <c r="D11" s="25"/>
      <c r="E11" s="25"/>
      <c r="F11" s="25"/>
      <c r="G11" s="25"/>
      <c r="H11" s="25"/>
      <c r="I11" s="26"/>
      <c r="J11" s="25"/>
      <c r="K11" s="270">
        <v>2</v>
      </c>
      <c r="L11" s="263" t="s">
        <v>102</v>
      </c>
      <c r="M11" s="264"/>
      <c r="N11" s="264"/>
      <c r="O11" s="264"/>
      <c r="P11" s="264"/>
      <c r="Q11" s="265"/>
      <c r="R11" s="25"/>
      <c r="U11" s="270">
        <v>2</v>
      </c>
      <c r="V11" s="263" t="s">
        <v>102</v>
      </c>
      <c r="W11" s="264"/>
      <c r="X11" s="264"/>
      <c r="Y11" s="264"/>
      <c r="Z11" s="264"/>
      <c r="AA11" s="265"/>
    </row>
    <row r="12" spans="1:27" x14ac:dyDescent="0.2">
      <c r="A12" s="25"/>
      <c r="B12" s="25"/>
      <c r="C12" s="25"/>
      <c r="D12" s="25"/>
      <c r="E12" s="25"/>
      <c r="F12" s="25"/>
      <c r="G12" s="25"/>
      <c r="H12" s="25"/>
      <c r="I12" s="26"/>
      <c r="J12" s="25"/>
      <c r="K12" s="271"/>
      <c r="L12" s="272"/>
      <c r="M12" s="273"/>
      <c r="N12" s="273"/>
      <c r="O12" s="273"/>
      <c r="P12" s="273"/>
      <c r="Q12" s="274"/>
      <c r="R12" s="25"/>
      <c r="U12" s="271"/>
      <c r="V12" s="272"/>
      <c r="W12" s="273"/>
      <c r="X12" s="273"/>
      <c r="Y12" s="273"/>
      <c r="Z12" s="273"/>
      <c r="AA12" s="274"/>
    </row>
    <row r="13" spans="1:27" ht="13.5" thickBot="1" x14ac:dyDescent="0.25">
      <c r="A13" s="25"/>
      <c r="B13" s="25"/>
      <c r="C13" s="25"/>
      <c r="D13" s="25"/>
      <c r="E13" s="25"/>
      <c r="F13" s="25"/>
      <c r="G13" s="25"/>
      <c r="H13" s="25"/>
      <c r="I13" s="27"/>
      <c r="J13" s="25"/>
      <c r="K13" s="270">
        <v>3</v>
      </c>
      <c r="L13" s="263" t="s">
        <v>103</v>
      </c>
      <c r="M13" s="264"/>
      <c r="N13" s="264"/>
      <c r="O13" s="264"/>
      <c r="P13" s="264"/>
      <c r="Q13" s="265"/>
      <c r="R13" s="25"/>
      <c r="U13" s="270">
        <v>3</v>
      </c>
      <c r="V13" s="263" t="s">
        <v>103</v>
      </c>
      <c r="W13" s="264"/>
      <c r="X13" s="264"/>
      <c r="Y13" s="264"/>
      <c r="Z13" s="264"/>
      <c r="AA13" s="265"/>
    </row>
    <row r="14" spans="1:27" ht="13.5" thickBot="1" x14ac:dyDescent="0.25">
      <c r="A14" s="25"/>
      <c r="B14" s="279" t="s">
        <v>104</v>
      </c>
      <c r="C14" s="280"/>
      <c r="D14" s="280"/>
      <c r="E14" s="280"/>
      <c r="F14" s="280"/>
      <c r="G14" s="280"/>
      <c r="H14" s="281"/>
      <c r="I14" s="26"/>
      <c r="J14" s="25"/>
      <c r="K14" s="271"/>
      <c r="L14" s="272"/>
      <c r="M14" s="273"/>
      <c r="N14" s="273"/>
      <c r="O14" s="273"/>
      <c r="P14" s="273"/>
      <c r="Q14" s="274"/>
      <c r="R14" s="25"/>
      <c r="U14" s="271"/>
      <c r="V14" s="272"/>
      <c r="W14" s="273"/>
      <c r="X14" s="273"/>
      <c r="Y14" s="273"/>
      <c r="Z14" s="273"/>
      <c r="AA14" s="274"/>
    </row>
    <row r="15" spans="1:27" x14ac:dyDescent="0.2">
      <c r="A15" s="25"/>
      <c r="B15" s="25"/>
      <c r="C15" s="25"/>
      <c r="D15" s="25"/>
      <c r="E15" s="25"/>
      <c r="F15" s="25"/>
      <c r="G15" s="25"/>
      <c r="H15" s="25"/>
      <c r="I15" s="37"/>
      <c r="J15" s="25"/>
      <c r="K15" s="282">
        <v>4</v>
      </c>
      <c r="L15" s="283" t="s">
        <v>105</v>
      </c>
      <c r="M15" s="283"/>
      <c r="N15" s="283"/>
      <c r="O15" s="283"/>
      <c r="P15" s="283"/>
      <c r="Q15" s="283"/>
      <c r="R15" s="25"/>
      <c r="U15" s="282">
        <v>4</v>
      </c>
      <c r="V15" s="283" t="s">
        <v>105</v>
      </c>
      <c r="W15" s="283"/>
      <c r="X15" s="283"/>
      <c r="Y15" s="283"/>
      <c r="Z15" s="283"/>
      <c r="AA15" s="283"/>
    </row>
    <row r="16" spans="1:27" x14ac:dyDescent="0.2">
      <c r="A16" s="25"/>
      <c r="B16" s="38" t="s">
        <v>106</v>
      </c>
      <c r="C16" s="275" t="s">
        <v>107</v>
      </c>
      <c r="D16" s="275"/>
      <c r="E16" s="275"/>
      <c r="F16" s="275"/>
      <c r="G16" s="275"/>
      <c r="H16" s="148"/>
      <c r="I16" s="37"/>
      <c r="J16" s="25"/>
      <c r="K16" s="282"/>
      <c r="L16" s="284"/>
      <c r="M16" s="284"/>
      <c r="N16" s="284"/>
      <c r="O16" s="284"/>
      <c r="P16" s="284"/>
      <c r="Q16" s="284"/>
      <c r="R16" s="25"/>
      <c r="U16" s="282"/>
      <c r="V16" s="284"/>
      <c r="W16" s="284"/>
      <c r="X16" s="284"/>
      <c r="Y16" s="284"/>
      <c r="Z16" s="284"/>
      <c r="AA16" s="284"/>
    </row>
    <row r="17" spans="1:27" x14ac:dyDescent="0.2">
      <c r="A17" s="25"/>
      <c r="B17" s="38" t="s">
        <v>108</v>
      </c>
      <c r="C17" s="275" t="s">
        <v>109</v>
      </c>
      <c r="D17" s="275"/>
      <c r="E17" s="275"/>
      <c r="F17" s="275"/>
      <c r="G17" s="275"/>
      <c r="H17" s="148"/>
      <c r="I17" s="37"/>
      <c r="J17" s="25"/>
      <c r="K17" s="282">
        <v>5</v>
      </c>
      <c r="L17" s="283" t="s">
        <v>110</v>
      </c>
      <c r="M17" s="283"/>
      <c r="N17" s="283"/>
      <c r="O17" s="283"/>
      <c r="P17" s="283"/>
      <c r="Q17" s="283"/>
      <c r="R17" s="25"/>
      <c r="U17" s="282">
        <v>5</v>
      </c>
      <c r="V17" s="283" t="s">
        <v>110</v>
      </c>
      <c r="W17" s="283"/>
      <c r="X17" s="283"/>
      <c r="Y17" s="283"/>
      <c r="Z17" s="283"/>
      <c r="AA17" s="283"/>
    </row>
    <row r="18" spans="1:27" x14ac:dyDescent="0.2">
      <c r="A18" s="25"/>
      <c r="B18" s="38" t="s">
        <v>111</v>
      </c>
      <c r="C18" s="275" t="s">
        <v>112</v>
      </c>
      <c r="D18" s="275"/>
      <c r="E18" s="275"/>
      <c r="F18" s="275"/>
      <c r="G18" s="275"/>
      <c r="H18" s="148"/>
      <c r="I18" s="37"/>
      <c r="J18" s="25"/>
      <c r="K18" s="282"/>
      <c r="L18" s="284"/>
      <c r="M18" s="284"/>
      <c r="N18" s="284"/>
      <c r="O18" s="284"/>
      <c r="P18" s="284"/>
      <c r="Q18" s="284"/>
      <c r="R18" s="25"/>
      <c r="U18" s="282"/>
      <c r="V18" s="284"/>
      <c r="W18" s="284"/>
      <c r="X18" s="284"/>
      <c r="Y18" s="284"/>
      <c r="Z18" s="284"/>
      <c r="AA18" s="284"/>
    </row>
    <row r="19" spans="1:27" x14ac:dyDescent="0.2">
      <c r="A19" s="25"/>
      <c r="B19" s="38" t="s">
        <v>113</v>
      </c>
      <c r="C19" s="275" t="s">
        <v>114</v>
      </c>
      <c r="D19" s="275"/>
      <c r="E19" s="275"/>
      <c r="F19" s="275"/>
      <c r="G19" s="275"/>
      <c r="H19" s="148"/>
      <c r="I19" s="26"/>
      <c r="J19" s="25"/>
      <c r="K19" s="276">
        <v>6</v>
      </c>
      <c r="L19" s="277" t="s">
        <v>115</v>
      </c>
      <c r="M19" s="277"/>
      <c r="N19" s="277"/>
      <c r="O19" s="277"/>
      <c r="P19" s="277"/>
      <c r="Q19" s="277"/>
      <c r="R19" s="25"/>
      <c r="U19" s="276">
        <v>6</v>
      </c>
      <c r="V19" s="277" t="s">
        <v>115</v>
      </c>
      <c r="W19" s="277"/>
      <c r="X19" s="277"/>
      <c r="Y19" s="277"/>
      <c r="Z19" s="277"/>
      <c r="AA19" s="277"/>
    </row>
    <row r="20" spans="1:27" x14ac:dyDescent="0.2">
      <c r="A20" s="25"/>
      <c r="B20" s="25"/>
      <c r="C20" s="25"/>
      <c r="D20" s="25"/>
      <c r="E20" s="25"/>
      <c r="F20" s="25"/>
      <c r="G20" s="25"/>
      <c r="H20" s="25"/>
      <c r="I20" s="26"/>
      <c r="J20" s="25"/>
      <c r="K20" s="276"/>
      <c r="L20" s="278"/>
      <c r="M20" s="278"/>
      <c r="N20" s="278"/>
      <c r="O20" s="278"/>
      <c r="P20" s="278"/>
      <c r="Q20" s="278"/>
      <c r="R20" s="25"/>
      <c r="U20" s="276"/>
      <c r="V20" s="278"/>
      <c r="W20" s="278"/>
      <c r="X20" s="278"/>
      <c r="Y20" s="278"/>
      <c r="Z20" s="278"/>
      <c r="AA20" s="278"/>
    </row>
    <row r="21" spans="1:27" x14ac:dyDescent="0.2">
      <c r="A21" s="25"/>
      <c r="B21" s="25"/>
      <c r="C21" s="25"/>
      <c r="D21" s="25"/>
      <c r="E21" s="25"/>
      <c r="F21" s="25"/>
      <c r="G21" s="25"/>
      <c r="H21" s="25"/>
      <c r="I21" s="26"/>
      <c r="J21" s="25"/>
      <c r="K21" s="25"/>
      <c r="L21" s="25"/>
      <c r="M21" s="25"/>
      <c r="N21" s="25"/>
      <c r="O21" s="25"/>
      <c r="P21" s="25"/>
      <c r="Q21" s="25"/>
      <c r="R21" s="25"/>
    </row>
    <row r="22" spans="1:27" ht="13.5" thickBot="1" x14ac:dyDescent="0.25">
      <c r="A22" s="25"/>
      <c r="B22" s="25"/>
      <c r="C22" s="25"/>
      <c r="D22" s="25"/>
      <c r="E22" s="25"/>
      <c r="F22" s="25"/>
      <c r="G22" s="25"/>
      <c r="H22" s="25"/>
      <c r="I22" s="27"/>
      <c r="J22" s="25"/>
      <c r="K22" s="267" t="s">
        <v>98</v>
      </c>
      <c r="L22" s="268"/>
      <c r="M22" s="268"/>
      <c r="N22" s="268"/>
      <c r="O22" s="268"/>
      <c r="P22" s="268"/>
      <c r="Q22" s="269"/>
      <c r="R22" s="25"/>
      <c r="U22" s="267" t="s">
        <v>98</v>
      </c>
      <c r="V22" s="268"/>
      <c r="W22" s="268"/>
      <c r="X22" s="268"/>
      <c r="Y22" s="268"/>
      <c r="Z22" s="268"/>
      <c r="AA22" s="269"/>
    </row>
    <row r="23" spans="1:27" ht="13.5" thickBot="1" x14ac:dyDescent="0.25">
      <c r="A23" s="25"/>
      <c r="B23" s="279" t="s">
        <v>116</v>
      </c>
      <c r="C23" s="280"/>
      <c r="D23" s="280"/>
      <c r="E23" s="280"/>
      <c r="F23" s="280"/>
      <c r="G23" s="280"/>
      <c r="H23" s="281"/>
      <c r="I23" s="26"/>
      <c r="J23" s="25"/>
      <c r="K23" s="270">
        <v>1</v>
      </c>
      <c r="L23" s="263" t="s">
        <v>99</v>
      </c>
      <c r="M23" s="264"/>
      <c r="N23" s="264"/>
      <c r="O23" s="264"/>
      <c r="P23" s="264"/>
      <c r="Q23" s="265"/>
      <c r="R23" s="25"/>
      <c r="U23" s="270">
        <v>1</v>
      </c>
      <c r="V23" s="263" t="s">
        <v>99</v>
      </c>
      <c r="W23" s="264"/>
      <c r="X23" s="264"/>
      <c r="Y23" s="264"/>
      <c r="Z23" s="264"/>
      <c r="AA23" s="265"/>
    </row>
    <row r="24" spans="1:27" x14ac:dyDescent="0.2">
      <c r="A24" s="25"/>
      <c r="B24" s="25"/>
      <c r="C24" s="25"/>
      <c r="D24" s="25"/>
      <c r="E24" s="25"/>
      <c r="F24" s="25"/>
      <c r="G24" s="25"/>
      <c r="H24" s="25"/>
      <c r="I24" s="39"/>
      <c r="J24" s="25"/>
      <c r="K24" s="271"/>
      <c r="L24" s="272" t="s">
        <v>198</v>
      </c>
      <c r="M24" s="273"/>
      <c r="N24" s="273"/>
      <c r="O24" s="273"/>
      <c r="P24" s="273"/>
      <c r="Q24" s="274"/>
      <c r="R24" s="25"/>
      <c r="U24" s="271"/>
      <c r="V24" s="272" t="s">
        <v>200</v>
      </c>
      <c r="W24" s="273"/>
      <c r="X24" s="273"/>
      <c r="Y24" s="273"/>
      <c r="Z24" s="273"/>
      <c r="AA24" s="274"/>
    </row>
    <row r="25" spans="1:27" ht="24" customHeight="1" x14ac:dyDescent="0.2">
      <c r="A25" s="25"/>
      <c r="B25" s="282" t="s">
        <v>18</v>
      </c>
      <c r="C25" s="282"/>
      <c r="D25" s="282" t="s">
        <v>19</v>
      </c>
      <c r="E25" s="282"/>
      <c r="F25" s="290" t="s">
        <v>117</v>
      </c>
      <c r="G25" s="290"/>
      <c r="H25" s="290"/>
      <c r="I25" s="40"/>
      <c r="J25" s="25"/>
      <c r="K25" s="270">
        <v>2</v>
      </c>
      <c r="L25" s="263" t="s">
        <v>102</v>
      </c>
      <c r="M25" s="264"/>
      <c r="N25" s="264"/>
      <c r="O25" s="264"/>
      <c r="P25" s="264"/>
      <c r="Q25" s="265"/>
      <c r="R25" s="25"/>
      <c r="U25" s="270">
        <v>2</v>
      </c>
      <c r="V25" s="263" t="s">
        <v>102</v>
      </c>
      <c r="W25" s="264"/>
      <c r="X25" s="264"/>
      <c r="Y25" s="264"/>
      <c r="Z25" s="264"/>
      <c r="AA25" s="265"/>
    </row>
    <row r="26" spans="1:27" ht="22.5" customHeight="1" x14ac:dyDescent="0.2">
      <c r="A26" s="25"/>
      <c r="B26" s="285" t="s">
        <v>197</v>
      </c>
      <c r="C26" s="286"/>
      <c r="D26" s="287" t="s">
        <v>195</v>
      </c>
      <c r="E26" s="287"/>
      <c r="F26" s="287">
        <v>1</v>
      </c>
      <c r="G26" s="287"/>
      <c r="H26" s="287"/>
      <c r="I26" s="40"/>
      <c r="J26" s="25"/>
      <c r="K26" s="271"/>
      <c r="L26" s="272"/>
      <c r="M26" s="273"/>
      <c r="N26" s="273"/>
      <c r="O26" s="273"/>
      <c r="P26" s="273"/>
      <c r="Q26" s="274"/>
      <c r="R26" s="25"/>
      <c r="U26" s="271"/>
      <c r="V26" s="272"/>
      <c r="W26" s="273"/>
      <c r="X26" s="273"/>
      <c r="Y26" s="273"/>
      <c r="Z26" s="273"/>
      <c r="AA26" s="274"/>
    </row>
    <row r="27" spans="1:27" ht="23.45" customHeight="1" x14ac:dyDescent="0.2">
      <c r="A27" s="25"/>
      <c r="B27" s="288" t="s">
        <v>198</v>
      </c>
      <c r="C27" s="289"/>
      <c r="D27" s="287" t="s">
        <v>195</v>
      </c>
      <c r="E27" s="287"/>
      <c r="F27" s="287">
        <v>1</v>
      </c>
      <c r="G27" s="287"/>
      <c r="H27" s="287"/>
      <c r="I27" s="26"/>
      <c r="J27" s="25"/>
      <c r="K27" s="270">
        <v>3</v>
      </c>
      <c r="L27" s="263" t="s">
        <v>103</v>
      </c>
      <c r="M27" s="264"/>
      <c r="N27" s="264"/>
      <c r="O27" s="264"/>
      <c r="P27" s="264"/>
      <c r="Q27" s="265"/>
      <c r="R27" s="25"/>
      <c r="U27" s="270">
        <v>3</v>
      </c>
      <c r="V27" s="263" t="s">
        <v>103</v>
      </c>
      <c r="W27" s="264"/>
      <c r="X27" s="264"/>
      <c r="Y27" s="264"/>
      <c r="Z27" s="264"/>
      <c r="AA27" s="265"/>
    </row>
    <row r="28" spans="1:27" ht="13.15" customHeight="1" x14ac:dyDescent="0.2">
      <c r="A28" s="25"/>
      <c r="B28" s="285" t="s">
        <v>199</v>
      </c>
      <c r="C28" s="286"/>
      <c r="D28" s="287" t="s">
        <v>195</v>
      </c>
      <c r="E28" s="287"/>
      <c r="F28" s="287">
        <v>2</v>
      </c>
      <c r="G28" s="287"/>
      <c r="H28" s="287"/>
      <c r="I28" s="26"/>
      <c r="J28" s="25"/>
      <c r="K28" s="271"/>
      <c r="L28" s="272"/>
      <c r="M28" s="273"/>
      <c r="N28" s="273"/>
      <c r="O28" s="273"/>
      <c r="P28" s="273"/>
      <c r="Q28" s="274"/>
      <c r="R28" s="25"/>
      <c r="U28" s="271"/>
      <c r="V28" s="272"/>
      <c r="W28" s="273"/>
      <c r="X28" s="273"/>
      <c r="Y28" s="273"/>
      <c r="Z28" s="273"/>
      <c r="AA28" s="274"/>
    </row>
    <row r="29" spans="1:27" ht="24.75" customHeight="1" x14ac:dyDescent="0.2">
      <c r="A29" s="25"/>
      <c r="B29" s="288" t="s">
        <v>200</v>
      </c>
      <c r="C29" s="289"/>
      <c r="D29" s="287" t="s">
        <v>195</v>
      </c>
      <c r="E29" s="287"/>
      <c r="F29" s="287">
        <v>9</v>
      </c>
      <c r="G29" s="287"/>
      <c r="H29" s="287"/>
      <c r="I29" s="26"/>
      <c r="J29" s="25"/>
      <c r="K29" s="270">
        <v>4</v>
      </c>
      <c r="L29" s="283" t="s">
        <v>105</v>
      </c>
      <c r="M29" s="283"/>
      <c r="N29" s="283"/>
      <c r="O29" s="283"/>
      <c r="P29" s="283"/>
      <c r="Q29" s="283"/>
      <c r="R29" s="25"/>
      <c r="U29" s="270">
        <v>4</v>
      </c>
      <c r="V29" s="283" t="s">
        <v>105</v>
      </c>
      <c r="W29" s="283"/>
      <c r="X29" s="283"/>
      <c r="Y29" s="283"/>
      <c r="Z29" s="283"/>
      <c r="AA29" s="283"/>
    </row>
    <row r="30" spans="1:27" ht="12.75" customHeight="1" x14ac:dyDescent="0.2">
      <c r="A30" s="25"/>
      <c r="I30" s="26"/>
      <c r="J30" s="25"/>
      <c r="K30" s="271"/>
      <c r="L30" s="272"/>
      <c r="M30" s="273"/>
      <c r="N30" s="273"/>
      <c r="O30" s="273"/>
      <c r="P30" s="273"/>
      <c r="Q30" s="274"/>
      <c r="R30" s="25"/>
      <c r="U30" s="271"/>
      <c r="V30" s="272"/>
      <c r="W30" s="273"/>
      <c r="X30" s="273"/>
      <c r="Y30" s="273"/>
      <c r="Z30" s="273"/>
      <c r="AA30" s="274"/>
    </row>
    <row r="31" spans="1:27" ht="13.15" customHeight="1" x14ac:dyDescent="0.2">
      <c r="K31" s="270">
        <v>5</v>
      </c>
      <c r="L31" s="263" t="s">
        <v>110</v>
      </c>
      <c r="M31" s="264"/>
      <c r="N31" s="264"/>
      <c r="O31" s="264"/>
      <c r="P31" s="264"/>
      <c r="Q31" s="265"/>
      <c r="U31" s="270">
        <v>5</v>
      </c>
      <c r="V31" s="263" t="s">
        <v>110</v>
      </c>
      <c r="W31" s="264"/>
      <c r="X31" s="264"/>
      <c r="Y31" s="264"/>
      <c r="Z31" s="264"/>
      <c r="AA31" s="265"/>
    </row>
    <row r="32" spans="1:27" x14ac:dyDescent="0.2">
      <c r="K32" s="271"/>
      <c r="L32" s="284"/>
      <c r="M32" s="284"/>
      <c r="N32" s="284"/>
      <c r="O32" s="284"/>
      <c r="P32" s="284"/>
      <c r="Q32" s="284"/>
      <c r="U32" s="271"/>
      <c r="V32" s="284"/>
      <c r="W32" s="284"/>
      <c r="X32" s="284"/>
      <c r="Y32" s="284"/>
      <c r="Z32" s="284"/>
      <c r="AA32" s="284"/>
    </row>
    <row r="33" spans="11:27" x14ac:dyDescent="0.2">
      <c r="K33" s="276">
        <v>6</v>
      </c>
      <c r="L33" s="277" t="s">
        <v>115</v>
      </c>
      <c r="M33" s="277"/>
      <c r="N33" s="277"/>
      <c r="O33" s="277"/>
      <c r="P33" s="277"/>
      <c r="Q33" s="277"/>
      <c r="U33" s="276">
        <v>6</v>
      </c>
      <c r="V33" s="277" t="s">
        <v>115</v>
      </c>
      <c r="W33" s="277"/>
      <c r="X33" s="277"/>
      <c r="Y33" s="277"/>
      <c r="Z33" s="277"/>
      <c r="AA33" s="277"/>
    </row>
    <row r="34" spans="11:27" x14ac:dyDescent="0.2">
      <c r="K34" s="276"/>
      <c r="L34" s="278"/>
      <c r="M34" s="278"/>
      <c r="N34" s="278"/>
      <c r="O34" s="278"/>
      <c r="P34" s="278"/>
      <c r="Q34" s="278"/>
      <c r="U34" s="276"/>
      <c r="V34" s="278"/>
      <c r="W34" s="278"/>
      <c r="X34" s="278"/>
      <c r="Y34" s="278"/>
      <c r="Z34" s="278"/>
      <c r="AA34" s="278"/>
    </row>
  </sheetData>
  <mergeCells count="99">
    <mergeCell ref="V31:AA31"/>
    <mergeCell ref="V30:AA30"/>
    <mergeCell ref="U31:U32"/>
    <mergeCell ref="V32:AA32"/>
    <mergeCell ref="U33:U34"/>
    <mergeCell ref="V33:AA33"/>
    <mergeCell ref="V34:AA34"/>
    <mergeCell ref="U27:U28"/>
    <mergeCell ref="V27:AA27"/>
    <mergeCell ref="V28:AA28"/>
    <mergeCell ref="U29:U30"/>
    <mergeCell ref="V29:AA29"/>
    <mergeCell ref="U22:AA22"/>
    <mergeCell ref="U23:U24"/>
    <mergeCell ref="V23:AA23"/>
    <mergeCell ref="V24:AA24"/>
    <mergeCell ref="U25:U26"/>
    <mergeCell ref="V25:AA25"/>
    <mergeCell ref="V26:AA26"/>
    <mergeCell ref="U17:U18"/>
    <mergeCell ref="V17:AA17"/>
    <mergeCell ref="V18:AA18"/>
    <mergeCell ref="U19:U20"/>
    <mergeCell ref="V19:AA19"/>
    <mergeCell ref="V20:AA20"/>
    <mergeCell ref="U13:U14"/>
    <mergeCell ref="V13:AA13"/>
    <mergeCell ref="V14:AA14"/>
    <mergeCell ref="U15:U16"/>
    <mergeCell ref="V15:AA15"/>
    <mergeCell ref="V16:AA16"/>
    <mergeCell ref="U8:AA8"/>
    <mergeCell ref="U9:U10"/>
    <mergeCell ref="V9:AA9"/>
    <mergeCell ref="V10:AA10"/>
    <mergeCell ref="U11:U12"/>
    <mergeCell ref="V11:AA11"/>
    <mergeCell ref="V12:AA12"/>
    <mergeCell ref="L30:Q30"/>
    <mergeCell ref="K31:K32"/>
    <mergeCell ref="L31:Q31"/>
    <mergeCell ref="L32:Q32"/>
    <mergeCell ref="K33:K34"/>
    <mergeCell ref="L33:Q33"/>
    <mergeCell ref="L34:Q34"/>
    <mergeCell ref="K29:K30"/>
    <mergeCell ref="L29:Q29"/>
    <mergeCell ref="K22:Q22"/>
    <mergeCell ref="K23:K24"/>
    <mergeCell ref="L23:Q23"/>
    <mergeCell ref="L24:Q24"/>
    <mergeCell ref="K25:K26"/>
    <mergeCell ref="L25:Q25"/>
    <mergeCell ref="L26:Q26"/>
    <mergeCell ref="K27:K28"/>
    <mergeCell ref="L27:Q27"/>
    <mergeCell ref="L28:Q28"/>
    <mergeCell ref="B28:C28"/>
    <mergeCell ref="B29:C29"/>
    <mergeCell ref="D28:E28"/>
    <mergeCell ref="D29:E29"/>
    <mergeCell ref="F28:H28"/>
    <mergeCell ref="F29:H29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K13:K14"/>
    <mergeCell ref="L13:Q13"/>
    <mergeCell ref="B3:H3"/>
    <mergeCell ref="B4:H4"/>
    <mergeCell ref="K8:Q8"/>
    <mergeCell ref="K9:K10"/>
    <mergeCell ref="L9:Q9"/>
    <mergeCell ref="L10:Q10"/>
    <mergeCell ref="K11:K12"/>
    <mergeCell ref="L11:Q11"/>
    <mergeCell ref="L12:Q1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M146"/>
  <sheetViews>
    <sheetView showGridLines="0" view="pageBreakPreview" zoomScaleNormal="90" zoomScaleSheetLayoutView="100" workbookViewId="0">
      <selection activeCell="A18" sqref="A18:C18"/>
    </sheetView>
  </sheetViews>
  <sheetFormatPr defaultColWidth="9.140625" defaultRowHeight="12.75" x14ac:dyDescent="0.2"/>
  <cols>
    <col min="1" max="1" width="11.140625" style="1" customWidth="1"/>
    <col min="2" max="2" width="67.85546875" style="1" customWidth="1"/>
    <col min="3" max="3" width="12.28515625" style="1" customWidth="1"/>
    <col min="4" max="4" width="15.28515625" style="1" customWidth="1"/>
    <col min="5" max="5" width="14.140625" style="5" bestFit="1" customWidth="1"/>
    <col min="6" max="6" width="10.42578125" style="5" customWidth="1"/>
    <col min="7" max="7" width="9.140625" style="5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08"/>
    </row>
    <row r="2" spans="1:13" x14ac:dyDescent="0.2">
      <c r="A2" s="318" t="s">
        <v>63</v>
      </c>
      <c r="B2" s="318"/>
      <c r="C2" s="318"/>
      <c r="D2" s="318"/>
      <c r="E2" s="53"/>
      <c r="F2" s="53"/>
      <c r="G2" s="53"/>
      <c r="H2" s="42"/>
      <c r="I2" s="45"/>
      <c r="J2" s="45"/>
      <c r="K2" s="45"/>
      <c r="L2" s="45"/>
      <c r="M2" s="45"/>
    </row>
    <row r="3" spans="1:13" x14ac:dyDescent="0.2">
      <c r="A3" s="113"/>
      <c r="B3" s="113"/>
      <c r="C3" s="113"/>
      <c r="D3" s="113"/>
      <c r="E3" s="53"/>
      <c r="F3" s="53"/>
      <c r="G3" s="53"/>
      <c r="H3" s="42"/>
      <c r="I3" s="45"/>
      <c r="J3" s="45"/>
      <c r="K3" s="45"/>
      <c r="L3" s="45"/>
      <c r="M3" s="45"/>
    </row>
    <row r="4" spans="1:13" x14ac:dyDescent="0.2">
      <c r="A4" s="109"/>
      <c r="B4" s="109"/>
      <c r="C4" s="109"/>
      <c r="D4" s="109"/>
      <c r="E4" s="53"/>
      <c r="F4" s="53"/>
      <c r="G4" s="53"/>
      <c r="H4" s="42"/>
      <c r="I4" s="45"/>
      <c r="J4" s="45"/>
      <c r="K4" s="45"/>
      <c r="L4" s="45"/>
      <c r="M4" s="45"/>
    </row>
    <row r="5" spans="1:13" x14ac:dyDescent="0.2">
      <c r="A5" s="319" t="s">
        <v>177</v>
      </c>
      <c r="B5" s="319"/>
      <c r="C5" s="320" t="s">
        <v>197</v>
      </c>
      <c r="D5" s="320"/>
      <c r="E5" s="53"/>
      <c r="F5" s="53"/>
      <c r="G5" s="53"/>
      <c r="H5" s="42"/>
      <c r="I5" s="45"/>
      <c r="J5" s="45"/>
      <c r="K5" s="45"/>
      <c r="L5" s="45"/>
      <c r="M5" s="45"/>
    </row>
    <row r="6" spans="1:13" x14ac:dyDescent="0.2">
      <c r="A6" s="319"/>
      <c r="B6" s="319"/>
      <c r="C6" s="320"/>
      <c r="D6" s="320"/>
      <c r="E6" s="53"/>
      <c r="F6" s="53"/>
      <c r="G6" s="53"/>
      <c r="H6" s="42"/>
      <c r="I6" s="45"/>
      <c r="J6" s="45"/>
      <c r="K6" s="45"/>
      <c r="L6" s="45"/>
      <c r="M6" s="45"/>
    </row>
    <row r="7" spans="1:13" s="4" customFormat="1" x14ac:dyDescent="0.2">
      <c r="A7" s="107"/>
      <c r="B7" s="107"/>
      <c r="C7" s="18"/>
      <c r="D7" s="18"/>
      <c r="E7" s="60"/>
      <c r="F7" s="60"/>
      <c r="G7" s="60"/>
      <c r="H7" s="44"/>
      <c r="I7" s="46"/>
      <c r="J7" s="46"/>
      <c r="K7" s="46"/>
      <c r="L7" s="46"/>
      <c r="M7" s="46"/>
    </row>
    <row r="8" spans="1:13" x14ac:dyDescent="0.2">
      <c r="A8" s="301" t="s">
        <v>140</v>
      </c>
      <c r="B8" s="301"/>
      <c r="C8" s="301"/>
      <c r="D8" s="301"/>
      <c r="E8" s="53"/>
      <c r="F8" s="53"/>
      <c r="G8" s="53"/>
      <c r="H8" s="42"/>
      <c r="I8" s="45"/>
      <c r="J8" s="45"/>
      <c r="K8" s="45"/>
      <c r="L8" s="45"/>
      <c r="M8" s="45"/>
    </row>
    <row r="9" spans="1:13" x14ac:dyDescent="0.2">
      <c r="A9" s="112"/>
      <c r="B9" s="112"/>
      <c r="C9" s="112"/>
      <c r="D9" s="112"/>
      <c r="E9" s="53"/>
      <c r="F9" s="53"/>
      <c r="G9" s="53"/>
      <c r="H9" s="42"/>
      <c r="I9" s="45"/>
      <c r="J9" s="45"/>
      <c r="K9" s="45"/>
      <c r="L9" s="45"/>
      <c r="M9" s="45"/>
    </row>
    <row r="10" spans="1:13" x14ac:dyDescent="0.2">
      <c r="A10" s="292" t="s">
        <v>126</v>
      </c>
      <c r="B10" s="292"/>
      <c r="C10" s="292"/>
      <c r="D10" s="292"/>
      <c r="E10" s="53"/>
      <c r="F10" s="53"/>
      <c r="G10" s="53"/>
      <c r="H10" s="42"/>
      <c r="I10" s="45"/>
      <c r="J10" s="45"/>
      <c r="K10" s="45"/>
      <c r="L10" s="45"/>
      <c r="M10" s="45"/>
    </row>
    <row r="11" spans="1:13" x14ac:dyDescent="0.2">
      <c r="A11" s="110">
        <v>1</v>
      </c>
      <c r="B11" s="110" t="s">
        <v>118</v>
      </c>
      <c r="C11" s="110" t="s">
        <v>1</v>
      </c>
      <c r="D11" s="110" t="s">
        <v>62</v>
      </c>
      <c r="E11" s="53"/>
      <c r="F11" s="53"/>
      <c r="G11" s="53"/>
      <c r="H11" s="42"/>
      <c r="I11" s="45"/>
      <c r="J11" s="45"/>
      <c r="K11" s="45"/>
      <c r="L11" s="45"/>
      <c r="M11" s="45"/>
    </row>
    <row r="12" spans="1:13" x14ac:dyDescent="0.2">
      <c r="A12" s="88" t="s">
        <v>4</v>
      </c>
      <c r="B12" s="87" t="s">
        <v>17</v>
      </c>
      <c r="C12" s="119"/>
      <c r="D12" s="12">
        <f>8.5*E12</f>
        <v>9350</v>
      </c>
      <c r="E12" s="154">
        <v>1100</v>
      </c>
      <c r="F12" s="53" t="s">
        <v>201</v>
      </c>
      <c r="G12" s="53"/>
      <c r="H12" s="42"/>
      <c r="I12" s="45"/>
      <c r="J12" s="49"/>
      <c r="K12" s="45"/>
      <c r="L12" s="45"/>
      <c r="M12" s="45"/>
    </row>
    <row r="13" spans="1:13" x14ac:dyDescent="0.2">
      <c r="A13" s="88" t="s">
        <v>5</v>
      </c>
      <c r="B13" s="87" t="s">
        <v>27</v>
      </c>
      <c r="C13" s="8"/>
      <c r="D13" s="7">
        <v>0</v>
      </c>
      <c r="E13" s="53" t="s">
        <v>178</v>
      </c>
      <c r="F13" s="53"/>
      <c r="G13" s="53"/>
      <c r="H13" s="42"/>
      <c r="I13" s="45"/>
      <c r="J13" s="49"/>
      <c r="K13" s="45"/>
      <c r="L13" s="45"/>
      <c r="M13" s="45"/>
    </row>
    <row r="14" spans="1:13" x14ac:dyDescent="0.2">
      <c r="A14" s="88" t="s">
        <v>6</v>
      </c>
      <c r="B14" s="6" t="s">
        <v>28</v>
      </c>
      <c r="C14" s="8"/>
      <c r="D14" s="7">
        <v>0</v>
      </c>
      <c r="E14" s="53" t="s">
        <v>179</v>
      </c>
      <c r="F14" s="53"/>
      <c r="G14" s="53"/>
      <c r="H14" s="42"/>
      <c r="I14" s="45"/>
      <c r="J14" s="49"/>
      <c r="K14" s="49"/>
      <c r="L14" s="45"/>
      <c r="M14" s="45"/>
    </row>
    <row r="15" spans="1:13" x14ac:dyDescent="0.2">
      <c r="A15" s="88" t="s">
        <v>7</v>
      </c>
      <c r="B15" s="6" t="s">
        <v>0</v>
      </c>
      <c r="C15" s="8"/>
      <c r="D15" s="7">
        <v>0</v>
      </c>
      <c r="E15" s="53" t="s">
        <v>180</v>
      </c>
      <c r="F15" s="53"/>
      <c r="G15" s="53"/>
      <c r="H15" s="42"/>
      <c r="I15" s="45"/>
      <c r="J15" s="49"/>
      <c r="K15" s="45"/>
      <c r="L15" s="45"/>
      <c r="M15" s="45"/>
    </row>
    <row r="16" spans="1:13" x14ac:dyDescent="0.2">
      <c r="A16" s="86" t="s">
        <v>8</v>
      </c>
      <c r="B16" s="6" t="s">
        <v>29</v>
      </c>
      <c r="C16" s="9"/>
      <c r="D16" s="7">
        <v>0</v>
      </c>
      <c r="E16" s="120" t="s">
        <v>181</v>
      </c>
      <c r="F16" s="53"/>
      <c r="G16" s="54"/>
      <c r="H16" s="43"/>
      <c r="I16" s="45"/>
      <c r="J16" s="49"/>
      <c r="K16" s="45"/>
      <c r="L16" s="45"/>
      <c r="M16" s="45"/>
    </row>
    <row r="17" spans="1:13" x14ac:dyDescent="0.2">
      <c r="A17" s="86" t="s">
        <v>10</v>
      </c>
      <c r="B17" s="6" t="s">
        <v>2</v>
      </c>
      <c r="C17" s="8"/>
      <c r="D17" s="7"/>
      <c r="E17" s="53"/>
      <c r="F17" s="53"/>
      <c r="G17" s="55"/>
      <c r="H17" s="42"/>
      <c r="I17" s="45"/>
      <c r="J17" s="49"/>
      <c r="K17" s="45"/>
      <c r="L17" s="45"/>
      <c r="M17" s="45"/>
    </row>
    <row r="18" spans="1:13" x14ac:dyDescent="0.2">
      <c r="A18" s="291" t="s">
        <v>119</v>
      </c>
      <c r="B18" s="291"/>
      <c r="C18" s="291"/>
      <c r="D18" s="111">
        <f>SUM(D12:D17)</f>
        <v>9350</v>
      </c>
      <c r="E18" s="53"/>
      <c r="F18" s="53"/>
      <c r="G18" s="53"/>
      <c r="H18" s="42"/>
      <c r="I18" s="45"/>
      <c r="J18" s="49"/>
      <c r="K18" s="45"/>
      <c r="L18" s="45"/>
      <c r="M18" s="45"/>
    </row>
    <row r="19" spans="1:13" x14ac:dyDescent="0.2">
      <c r="A19" s="101"/>
      <c r="B19" s="102"/>
      <c r="C19" s="102"/>
      <c r="D19" s="125"/>
      <c r="E19" s="53"/>
      <c r="F19" s="53"/>
      <c r="G19" s="53"/>
      <c r="H19" s="42"/>
      <c r="I19" s="45"/>
      <c r="J19" s="45"/>
      <c r="K19" s="45"/>
      <c r="L19" s="45"/>
      <c r="M19" s="45"/>
    </row>
    <row r="20" spans="1:13" x14ac:dyDescent="0.2">
      <c r="A20" s="84"/>
      <c r="B20" s="10"/>
      <c r="C20" s="10"/>
      <c r="D20" s="124"/>
      <c r="E20" s="53"/>
      <c r="F20" s="53"/>
      <c r="G20" s="53"/>
      <c r="H20" s="42"/>
      <c r="I20" s="45"/>
      <c r="J20" s="49"/>
      <c r="K20" s="45"/>
      <c r="L20" s="45"/>
      <c r="M20" s="45"/>
    </row>
    <row r="21" spans="1:13" x14ac:dyDescent="0.2">
      <c r="A21" s="292" t="s">
        <v>127</v>
      </c>
      <c r="B21" s="292"/>
      <c r="C21" s="292"/>
      <c r="D21" s="292"/>
      <c r="E21" s="56"/>
      <c r="F21" s="53"/>
      <c r="G21" s="55"/>
      <c r="H21" s="43"/>
      <c r="I21" s="45"/>
      <c r="J21" s="49"/>
      <c r="K21" s="45"/>
      <c r="L21" s="45"/>
      <c r="M21" s="45"/>
    </row>
    <row r="22" spans="1:13" x14ac:dyDescent="0.2">
      <c r="A22" s="321"/>
      <c r="B22" s="322"/>
      <c r="C22" s="322"/>
      <c r="D22" s="323"/>
      <c r="E22" s="56"/>
      <c r="F22" s="53"/>
      <c r="G22" s="55"/>
      <c r="H22" s="43"/>
      <c r="I22" s="45"/>
      <c r="J22" s="49"/>
      <c r="K22" s="45"/>
      <c r="L22" s="45"/>
      <c r="M22" s="45"/>
    </row>
    <row r="23" spans="1:13" x14ac:dyDescent="0.2">
      <c r="A23" s="330" t="s">
        <v>39</v>
      </c>
      <c r="B23" s="330"/>
      <c r="C23" s="330"/>
      <c r="D23" s="330"/>
      <c r="E23" s="56"/>
      <c r="F23" s="53"/>
      <c r="G23" s="55"/>
      <c r="H23" s="43"/>
      <c r="I23" s="45"/>
      <c r="J23" s="45"/>
      <c r="K23" s="45"/>
      <c r="L23" s="45"/>
      <c r="M23" s="45"/>
    </row>
    <row r="24" spans="1:13" x14ac:dyDescent="0.2">
      <c r="A24" s="110" t="s">
        <v>41</v>
      </c>
      <c r="B24" s="110" t="s">
        <v>30</v>
      </c>
      <c r="C24" s="110" t="s">
        <v>1</v>
      </c>
      <c r="D24" s="110" t="s">
        <v>62</v>
      </c>
      <c r="E24" s="56"/>
      <c r="F24" s="53"/>
      <c r="G24" s="53"/>
      <c r="H24" s="42"/>
      <c r="I24" s="45"/>
      <c r="J24" s="45"/>
      <c r="K24" s="45"/>
      <c r="L24" s="45"/>
      <c r="M24" s="45"/>
    </row>
    <row r="25" spans="1:13" x14ac:dyDescent="0.2">
      <c r="A25" s="86" t="s">
        <v>4</v>
      </c>
      <c r="B25" s="87" t="s">
        <v>64</v>
      </c>
      <c r="C25" s="11">
        <f>1/12</f>
        <v>8.3333333333333329E-2</v>
      </c>
      <c r="D25" s="12">
        <f>TRUNC((C25*D18),2)</f>
        <v>779.16</v>
      </c>
      <c r="E25" s="56" t="s">
        <v>56</v>
      </c>
      <c r="F25" s="53"/>
      <c r="G25" s="53"/>
      <c r="H25" s="43"/>
      <c r="I25" s="45"/>
      <c r="J25" s="45"/>
      <c r="K25" s="45"/>
      <c r="L25" s="45"/>
      <c r="M25" s="45"/>
    </row>
    <row r="26" spans="1:13" x14ac:dyDescent="0.2">
      <c r="A26" s="86" t="s">
        <v>5</v>
      </c>
      <c r="B26" s="87" t="s">
        <v>125</v>
      </c>
      <c r="C26" s="11">
        <f>(1/12)+(1/3/12)</f>
        <v>0.1111111111111111</v>
      </c>
      <c r="D26" s="12">
        <f>TRUNC((C26*D18),2)</f>
        <v>1038.8800000000001</v>
      </c>
      <c r="E26" s="56" t="s">
        <v>56</v>
      </c>
      <c r="F26" s="53"/>
      <c r="G26" s="53"/>
      <c r="H26" s="43"/>
      <c r="I26" s="45"/>
      <c r="J26" s="45"/>
      <c r="K26" s="45"/>
      <c r="L26" s="45"/>
      <c r="M26" s="45"/>
    </row>
    <row r="27" spans="1:13" x14ac:dyDescent="0.2">
      <c r="A27" s="174" t="s">
        <v>6</v>
      </c>
      <c r="B27" s="173" t="s">
        <v>310</v>
      </c>
      <c r="C27" s="11">
        <f>C40</f>
        <v>0.36800000000000005</v>
      </c>
      <c r="D27" s="12">
        <f>TRUNC((C27*(D25+D26)),2)</f>
        <v>669.03</v>
      </c>
      <c r="E27" s="56"/>
      <c r="F27" s="53"/>
      <c r="G27" s="53"/>
      <c r="H27" s="43"/>
      <c r="I27" s="45"/>
      <c r="J27" s="45"/>
      <c r="K27" s="45"/>
      <c r="L27" s="45"/>
      <c r="M27" s="45"/>
    </row>
    <row r="28" spans="1:13" x14ac:dyDescent="0.2">
      <c r="A28" s="291" t="s">
        <v>119</v>
      </c>
      <c r="B28" s="291"/>
      <c r="C28" s="70"/>
      <c r="D28" s="115">
        <f>SUM(D25:D27)</f>
        <v>2487.0699999999997</v>
      </c>
      <c r="E28" s="56"/>
      <c r="F28" s="53"/>
      <c r="G28" s="53"/>
      <c r="H28" s="43"/>
      <c r="I28" s="45"/>
      <c r="J28" s="45"/>
      <c r="K28" s="45"/>
      <c r="L28" s="45"/>
      <c r="M28" s="45"/>
    </row>
    <row r="29" spans="1:13" x14ac:dyDescent="0.2">
      <c r="A29" s="324"/>
      <c r="B29" s="325"/>
      <c r="C29" s="325"/>
      <c r="D29" s="326"/>
      <c r="E29" s="56"/>
      <c r="F29" s="53"/>
      <c r="G29" s="180"/>
      <c r="H29" s="43"/>
      <c r="I29" s="45"/>
      <c r="J29" s="45"/>
      <c r="K29" s="45"/>
      <c r="L29" s="45"/>
      <c r="M29" s="45"/>
    </row>
    <row r="30" spans="1:13" ht="30" customHeight="1" x14ac:dyDescent="0.2">
      <c r="A30" s="331" t="s">
        <v>128</v>
      </c>
      <c r="B30" s="332"/>
      <c r="C30" s="332"/>
      <c r="D30" s="333"/>
      <c r="E30" s="57"/>
      <c r="F30" s="58"/>
      <c r="G30" s="180"/>
      <c r="H30" s="42"/>
      <c r="I30" s="45"/>
      <c r="J30" s="45"/>
      <c r="K30" s="45"/>
      <c r="L30" s="45"/>
      <c r="M30" s="45"/>
    </row>
    <row r="31" spans="1:13" x14ac:dyDescent="0.2">
      <c r="A31" s="67" t="s">
        <v>42</v>
      </c>
      <c r="B31" s="94" t="s">
        <v>129</v>
      </c>
      <c r="C31" s="67" t="s">
        <v>1</v>
      </c>
      <c r="D31" s="67" t="s">
        <v>62</v>
      </c>
      <c r="E31" s="56"/>
      <c r="F31" s="53"/>
      <c r="G31" s="53"/>
      <c r="H31" s="43"/>
      <c r="I31" s="45"/>
      <c r="J31" s="45"/>
      <c r="K31" s="45"/>
      <c r="L31" s="45"/>
      <c r="M31" s="45"/>
    </row>
    <row r="32" spans="1:13" x14ac:dyDescent="0.2">
      <c r="A32" s="86" t="s">
        <v>4</v>
      </c>
      <c r="B32" s="87" t="s">
        <v>33</v>
      </c>
      <c r="C32" s="11">
        <v>0.2</v>
      </c>
      <c r="D32" s="12">
        <f t="shared" ref="D32:D39" si="0">TRUNC(($D$18)*C32,2)</f>
        <v>1870</v>
      </c>
      <c r="E32" s="56" t="s">
        <v>56</v>
      </c>
      <c r="F32" s="53"/>
      <c r="G32" s="53"/>
      <c r="H32" s="42"/>
      <c r="I32" s="45"/>
      <c r="J32" s="45"/>
      <c r="K32" s="45"/>
      <c r="L32" s="45"/>
      <c r="M32" s="45"/>
    </row>
    <row r="33" spans="1:13" x14ac:dyDescent="0.2">
      <c r="A33" s="86" t="s">
        <v>5</v>
      </c>
      <c r="B33" s="87" t="s">
        <v>34</v>
      </c>
      <c r="C33" s="11">
        <v>2.5000000000000001E-2</v>
      </c>
      <c r="D33" s="12">
        <f t="shared" si="0"/>
        <v>233.75</v>
      </c>
      <c r="E33" s="56" t="s">
        <v>57</v>
      </c>
      <c r="F33" s="53"/>
      <c r="G33" s="53"/>
      <c r="H33" s="42"/>
      <c r="I33" s="45"/>
      <c r="J33" s="45"/>
      <c r="K33" s="45"/>
      <c r="L33" s="45"/>
      <c r="M33" s="45"/>
    </row>
    <row r="34" spans="1:13" x14ac:dyDescent="0.2">
      <c r="A34" s="86" t="s">
        <v>6</v>
      </c>
      <c r="B34" s="87" t="s">
        <v>148</v>
      </c>
      <c r="C34" s="11">
        <f>3*1%</f>
        <v>0.03</v>
      </c>
      <c r="D34" s="12">
        <f t="shared" si="0"/>
        <v>280.5</v>
      </c>
      <c r="E34" s="56" t="s">
        <v>150</v>
      </c>
      <c r="F34" s="53"/>
      <c r="G34" s="53"/>
      <c r="H34" s="42"/>
      <c r="I34" s="45"/>
      <c r="J34" s="45"/>
      <c r="K34" s="45"/>
      <c r="L34" s="45"/>
      <c r="M34" s="45"/>
    </row>
    <row r="35" spans="1:13" x14ac:dyDescent="0.2">
      <c r="A35" s="86" t="s">
        <v>7</v>
      </c>
      <c r="B35" s="87" t="s">
        <v>32</v>
      </c>
      <c r="C35" s="11">
        <v>1.4999999999999999E-2</v>
      </c>
      <c r="D35" s="12">
        <f t="shared" si="0"/>
        <v>140.25</v>
      </c>
      <c r="E35" s="56" t="s">
        <v>57</v>
      </c>
      <c r="F35" s="53"/>
      <c r="G35" s="53"/>
      <c r="H35" s="42"/>
      <c r="I35" s="45"/>
      <c r="J35" s="45"/>
      <c r="K35" s="45"/>
      <c r="L35" s="45"/>
      <c r="M35" s="45"/>
    </row>
    <row r="36" spans="1:13" x14ac:dyDescent="0.2">
      <c r="A36" s="86" t="s">
        <v>8</v>
      </c>
      <c r="B36" s="87" t="s">
        <v>35</v>
      </c>
      <c r="C36" s="11">
        <v>0.01</v>
      </c>
      <c r="D36" s="12">
        <f t="shared" si="0"/>
        <v>93.5</v>
      </c>
      <c r="E36" s="56" t="s">
        <v>57</v>
      </c>
      <c r="F36" s="53"/>
      <c r="G36" s="53"/>
      <c r="H36" s="42"/>
      <c r="I36" s="45"/>
      <c r="J36" s="45"/>
      <c r="K36" s="45"/>
      <c r="L36" s="45"/>
      <c r="M36" s="45"/>
    </row>
    <row r="37" spans="1:13" x14ac:dyDescent="0.2">
      <c r="A37" s="86" t="s">
        <v>9</v>
      </c>
      <c r="B37" s="87" t="s">
        <v>36</v>
      </c>
      <c r="C37" s="11">
        <v>6.0000000000000001E-3</v>
      </c>
      <c r="D37" s="12">
        <f t="shared" si="0"/>
        <v>56.1</v>
      </c>
      <c r="E37" s="56" t="s">
        <v>57</v>
      </c>
      <c r="F37" s="53"/>
      <c r="G37" s="53"/>
      <c r="H37" s="42"/>
      <c r="I37" s="45"/>
      <c r="J37" s="45"/>
      <c r="K37" s="45"/>
      <c r="L37" s="45"/>
      <c r="M37" s="45"/>
    </row>
    <row r="38" spans="1:13" x14ac:dyDescent="0.2">
      <c r="A38" s="86" t="s">
        <v>10</v>
      </c>
      <c r="B38" s="87" t="s">
        <v>37</v>
      </c>
      <c r="C38" s="11">
        <v>2E-3</v>
      </c>
      <c r="D38" s="12">
        <f t="shared" si="0"/>
        <v>18.7</v>
      </c>
      <c r="E38" s="56" t="s">
        <v>57</v>
      </c>
      <c r="F38" s="53"/>
      <c r="G38" s="53"/>
      <c r="H38" s="42"/>
      <c r="I38" s="45"/>
      <c r="J38" s="45"/>
      <c r="K38" s="45"/>
      <c r="L38" s="45"/>
      <c r="M38" s="45"/>
    </row>
    <row r="39" spans="1:13" x14ac:dyDescent="0.2">
      <c r="A39" s="86" t="s">
        <v>11</v>
      </c>
      <c r="B39" s="87" t="s">
        <v>38</v>
      </c>
      <c r="C39" s="11">
        <v>0.08</v>
      </c>
      <c r="D39" s="12">
        <f t="shared" si="0"/>
        <v>748</v>
      </c>
      <c r="E39" s="56" t="s">
        <v>56</v>
      </c>
      <c r="F39" s="53"/>
      <c r="G39" s="53"/>
      <c r="H39" s="42"/>
      <c r="I39" s="45"/>
      <c r="J39" s="45"/>
      <c r="K39" s="45"/>
      <c r="L39" s="45"/>
      <c r="M39" s="45"/>
    </row>
    <row r="40" spans="1:13" x14ac:dyDescent="0.2">
      <c r="A40" s="334" t="s">
        <v>119</v>
      </c>
      <c r="B40" s="334"/>
      <c r="C40" s="126">
        <f>SUM(C32:C39)</f>
        <v>0.36800000000000005</v>
      </c>
      <c r="D40" s="127">
        <f>SUM(D32:D39)</f>
        <v>3440.7999999999997</v>
      </c>
      <c r="E40" s="56"/>
      <c r="F40" s="53"/>
      <c r="G40" s="53"/>
      <c r="H40" s="42"/>
      <c r="I40" s="45"/>
      <c r="J40" s="45"/>
      <c r="K40" s="45"/>
      <c r="L40" s="45"/>
      <c r="M40" s="45"/>
    </row>
    <row r="41" spans="1:13" x14ac:dyDescent="0.2">
      <c r="A41" s="327"/>
      <c r="B41" s="328"/>
      <c r="C41" s="328"/>
      <c r="D41" s="329"/>
      <c r="E41" s="56"/>
      <c r="F41" s="53"/>
      <c r="G41" s="53"/>
      <c r="H41" s="42"/>
      <c r="I41" s="49"/>
      <c r="J41" s="45"/>
      <c r="K41" s="45"/>
      <c r="L41" s="45"/>
      <c r="M41" s="45"/>
    </row>
    <row r="42" spans="1:13" x14ac:dyDescent="0.2">
      <c r="A42" s="331" t="s">
        <v>40</v>
      </c>
      <c r="B42" s="332"/>
      <c r="C42" s="332"/>
      <c r="D42" s="333"/>
      <c r="E42" s="56"/>
      <c r="F42" s="53"/>
      <c r="G42" s="53"/>
      <c r="H42" s="42"/>
      <c r="I42" s="45"/>
      <c r="J42" s="45"/>
      <c r="K42" s="45"/>
      <c r="L42" s="45"/>
      <c r="M42" s="45"/>
    </row>
    <row r="43" spans="1:13" s="4" customFormat="1" x14ac:dyDescent="0.2">
      <c r="A43" s="67" t="s">
        <v>43</v>
      </c>
      <c r="B43" s="94" t="s">
        <v>44</v>
      </c>
      <c r="C43" s="67"/>
      <c r="D43" s="67" t="s">
        <v>62</v>
      </c>
      <c r="E43" s="59"/>
      <c r="F43" s="60"/>
      <c r="G43" s="60"/>
      <c r="H43" s="44"/>
      <c r="I43" s="46"/>
      <c r="J43" s="46"/>
      <c r="K43" s="46"/>
      <c r="L43" s="46"/>
      <c r="M43" s="46"/>
    </row>
    <row r="44" spans="1:13" x14ac:dyDescent="0.2">
      <c r="A44" s="86" t="s">
        <v>4</v>
      </c>
      <c r="B44" s="41" t="s">
        <v>54</v>
      </c>
      <c r="C44" s="69"/>
      <c r="D44" s="15"/>
      <c r="E44" s="313" t="s">
        <v>160</v>
      </c>
      <c r="F44" s="313"/>
      <c r="G44" s="313"/>
      <c r="H44" s="313"/>
      <c r="I44" s="313"/>
      <c r="J44" s="45"/>
      <c r="K44" s="45"/>
      <c r="L44" s="45"/>
      <c r="M44" s="45"/>
    </row>
    <row r="45" spans="1:13" ht="12.75" customHeight="1" x14ac:dyDescent="0.2">
      <c r="A45" s="86" t="s">
        <v>5</v>
      </c>
      <c r="B45" s="41" t="s">
        <v>55</v>
      </c>
      <c r="C45" s="69"/>
      <c r="D45" s="15">
        <f>TRUNC((32*22),2)</f>
        <v>704</v>
      </c>
      <c r="E45" s="121" t="s">
        <v>58</v>
      </c>
      <c r="F45" s="122"/>
      <c r="G45" s="122"/>
      <c r="H45" s="122"/>
      <c r="I45" s="122"/>
      <c r="J45" s="45"/>
      <c r="K45" s="45"/>
      <c r="L45" s="45"/>
      <c r="M45" s="45"/>
    </row>
    <row r="46" spans="1:13" x14ac:dyDescent="0.2">
      <c r="A46" s="86" t="s">
        <v>6</v>
      </c>
      <c r="B46" s="41" t="s">
        <v>186</v>
      </c>
      <c r="C46" s="69"/>
      <c r="D46" s="15">
        <v>200</v>
      </c>
      <c r="E46" s="156" t="s">
        <v>202</v>
      </c>
      <c r="F46" s="53"/>
      <c r="G46" s="53"/>
      <c r="H46" s="42"/>
      <c r="I46" s="45"/>
      <c r="J46" s="45"/>
      <c r="K46" s="45"/>
      <c r="L46" s="45"/>
      <c r="M46" s="45"/>
    </row>
    <row r="47" spans="1:13" s="77" customFormat="1" x14ac:dyDescent="0.2">
      <c r="A47" s="86" t="s">
        <v>7</v>
      </c>
      <c r="B47" s="41" t="s">
        <v>203</v>
      </c>
      <c r="C47" s="69"/>
      <c r="D47" s="15">
        <v>5</v>
      </c>
      <c r="E47" s="56"/>
      <c r="F47" s="53"/>
      <c r="G47" s="53"/>
      <c r="H47" s="42"/>
      <c r="I47" s="45"/>
      <c r="J47" s="45"/>
      <c r="K47" s="45"/>
      <c r="L47" s="45"/>
      <c r="M47" s="45"/>
    </row>
    <row r="48" spans="1:13" s="77" customFormat="1" x14ac:dyDescent="0.2">
      <c r="A48" s="86" t="s">
        <v>8</v>
      </c>
      <c r="B48" s="41" t="s">
        <v>204</v>
      </c>
      <c r="C48" s="69"/>
      <c r="D48" s="15">
        <v>0</v>
      </c>
      <c r="E48" s="56"/>
      <c r="F48" s="53"/>
      <c r="G48" s="53"/>
      <c r="H48" s="42"/>
      <c r="I48" s="45"/>
      <c r="J48" s="45"/>
      <c r="K48" s="45"/>
      <c r="L48" s="45"/>
      <c r="M48" s="45"/>
    </row>
    <row r="49" spans="1:13" x14ac:dyDescent="0.2">
      <c r="A49" s="334" t="s">
        <v>119</v>
      </c>
      <c r="B49" s="334"/>
      <c r="C49" s="334"/>
      <c r="D49" s="127">
        <f>SUM(D44:D48)</f>
        <v>909</v>
      </c>
      <c r="E49" s="56"/>
      <c r="F49" s="53"/>
      <c r="G49" s="53"/>
      <c r="H49" s="42"/>
      <c r="I49" s="45"/>
      <c r="J49" s="45"/>
      <c r="K49" s="45"/>
      <c r="L49" s="45"/>
      <c r="M49" s="45"/>
    </row>
    <row r="50" spans="1:13" x14ac:dyDescent="0.2">
      <c r="A50" s="324"/>
      <c r="B50" s="325"/>
      <c r="C50" s="325"/>
      <c r="D50" s="326"/>
      <c r="E50" s="56"/>
      <c r="F50" s="53"/>
      <c r="G50" s="53"/>
      <c r="H50" s="42"/>
      <c r="I50" s="45"/>
      <c r="J50" s="45"/>
      <c r="K50" s="45"/>
      <c r="L50" s="45"/>
      <c r="M50" s="45"/>
    </row>
    <row r="51" spans="1:13" x14ac:dyDescent="0.2">
      <c r="A51" s="335" t="s">
        <v>131</v>
      </c>
      <c r="B51" s="335"/>
      <c r="C51" s="335"/>
      <c r="D51" s="335"/>
      <c r="E51" s="56"/>
      <c r="F51" s="53"/>
      <c r="G51" s="53"/>
      <c r="H51" s="42"/>
      <c r="I51" s="45"/>
      <c r="J51" s="45"/>
      <c r="K51" s="45"/>
      <c r="L51" s="45"/>
      <c r="M51" s="45"/>
    </row>
    <row r="52" spans="1:13" x14ac:dyDescent="0.2">
      <c r="A52" s="67">
        <v>2</v>
      </c>
      <c r="B52" s="336" t="s">
        <v>130</v>
      </c>
      <c r="C52" s="337"/>
      <c r="D52" s="67" t="s">
        <v>62</v>
      </c>
      <c r="E52" s="56"/>
      <c r="F52" s="53"/>
      <c r="G52" s="53"/>
      <c r="H52" s="42"/>
      <c r="I52" s="45"/>
      <c r="J52" s="45"/>
      <c r="K52" s="45"/>
      <c r="L52" s="45"/>
      <c r="M52" s="45"/>
    </row>
    <row r="53" spans="1:13" x14ac:dyDescent="0.2">
      <c r="A53" s="86" t="s">
        <v>41</v>
      </c>
      <c r="B53" s="338" t="s">
        <v>30</v>
      </c>
      <c r="C53" s="338"/>
      <c r="D53" s="12">
        <f>D28</f>
        <v>2487.0699999999997</v>
      </c>
      <c r="E53" s="56"/>
      <c r="F53" s="53"/>
      <c r="G53" s="53"/>
      <c r="H53" s="42"/>
      <c r="I53" s="45"/>
      <c r="J53" s="45"/>
      <c r="K53" s="45"/>
      <c r="L53" s="45"/>
      <c r="M53" s="45"/>
    </row>
    <row r="54" spans="1:13" x14ac:dyDescent="0.2">
      <c r="A54" s="86" t="s">
        <v>42</v>
      </c>
      <c r="B54" s="338" t="s">
        <v>31</v>
      </c>
      <c r="C54" s="338"/>
      <c r="D54" s="12">
        <f>D40</f>
        <v>3440.7999999999997</v>
      </c>
      <c r="E54" s="56"/>
      <c r="F54" s="53"/>
      <c r="G54" s="53"/>
      <c r="H54" s="42"/>
      <c r="I54" s="45"/>
      <c r="J54" s="45"/>
      <c r="K54" s="45"/>
      <c r="L54" s="45"/>
      <c r="M54" s="45"/>
    </row>
    <row r="55" spans="1:13" x14ac:dyDescent="0.2">
      <c r="A55" s="86" t="s">
        <v>43</v>
      </c>
      <c r="B55" s="338" t="s">
        <v>44</v>
      </c>
      <c r="C55" s="338"/>
      <c r="D55" s="12">
        <f>D49</f>
        <v>909</v>
      </c>
      <c r="E55" s="56"/>
      <c r="F55" s="53"/>
      <c r="G55" s="53"/>
      <c r="H55" s="42"/>
      <c r="I55" s="45"/>
      <c r="J55" s="45"/>
      <c r="K55" s="45"/>
      <c r="L55" s="45"/>
      <c r="M55" s="45"/>
    </row>
    <row r="56" spans="1:13" x14ac:dyDescent="0.2">
      <c r="A56" s="291" t="s">
        <v>119</v>
      </c>
      <c r="B56" s="291"/>
      <c r="C56" s="291"/>
      <c r="D56" s="115">
        <f>SUM(D53:D55)</f>
        <v>6836.869999999999</v>
      </c>
      <c r="E56" s="56"/>
      <c r="F56" s="53"/>
      <c r="G56" s="53"/>
      <c r="H56" s="42"/>
      <c r="I56" s="45"/>
      <c r="J56" s="45"/>
      <c r="K56" s="45"/>
      <c r="L56" s="45"/>
      <c r="M56" s="45"/>
    </row>
    <row r="57" spans="1:13" x14ac:dyDescent="0.2">
      <c r="A57" s="325"/>
      <c r="B57" s="325"/>
      <c r="C57" s="325"/>
      <c r="D57" s="325"/>
      <c r="E57" s="56"/>
      <c r="F57" s="53"/>
      <c r="G57" s="53"/>
      <c r="H57" s="42"/>
      <c r="I57" s="45"/>
      <c r="J57" s="45"/>
      <c r="K57" s="45"/>
      <c r="L57" s="45"/>
      <c r="M57" s="45"/>
    </row>
    <row r="58" spans="1:13" x14ac:dyDescent="0.2">
      <c r="A58" s="102"/>
      <c r="B58" s="102"/>
      <c r="C58" s="102"/>
      <c r="D58" s="102"/>
      <c r="E58" s="56"/>
      <c r="F58" s="53"/>
      <c r="G58" s="53"/>
      <c r="H58" s="42"/>
      <c r="I58" s="45"/>
      <c r="J58" s="45"/>
      <c r="K58" s="45"/>
      <c r="L58" s="45"/>
      <c r="M58" s="45"/>
    </row>
    <row r="59" spans="1:13" x14ac:dyDescent="0.2">
      <c r="A59" s="292" t="s">
        <v>133</v>
      </c>
      <c r="B59" s="292"/>
      <c r="C59" s="292"/>
      <c r="D59" s="292"/>
      <c r="E59" s="56"/>
      <c r="F59" s="53"/>
      <c r="G59" s="53"/>
      <c r="H59" s="42"/>
      <c r="I59" s="45"/>
      <c r="J59" s="45"/>
      <c r="K59" s="45"/>
      <c r="L59" s="45"/>
      <c r="M59" s="45"/>
    </row>
    <row r="60" spans="1:13" x14ac:dyDescent="0.2">
      <c r="A60" s="67">
        <v>3</v>
      </c>
      <c r="B60" s="67" t="s">
        <v>120</v>
      </c>
      <c r="C60" s="67" t="s">
        <v>1</v>
      </c>
      <c r="D60" s="67" t="s">
        <v>62</v>
      </c>
      <c r="E60" s="61"/>
      <c r="F60" s="53"/>
      <c r="G60" s="53"/>
      <c r="H60" s="42"/>
      <c r="I60" s="45"/>
      <c r="J60" s="45"/>
      <c r="K60" s="45"/>
      <c r="L60" s="45"/>
      <c r="M60" s="45"/>
    </row>
    <row r="61" spans="1:13" x14ac:dyDescent="0.2">
      <c r="A61" s="86" t="s">
        <v>4</v>
      </c>
      <c r="B61" s="87" t="s">
        <v>47</v>
      </c>
      <c r="C61" s="11">
        <f>((1/12)*5%)</f>
        <v>4.1666666666666666E-3</v>
      </c>
      <c r="D61" s="12">
        <f>TRUNC(($D$18*C61),2)</f>
        <v>38.950000000000003</v>
      </c>
      <c r="E61" s="56" t="s">
        <v>132</v>
      </c>
      <c r="F61" s="53"/>
      <c r="G61" s="53"/>
      <c r="H61" s="42"/>
      <c r="I61" s="45"/>
      <c r="J61" s="47"/>
      <c r="K61" s="45"/>
      <c r="L61" s="45"/>
      <c r="M61" s="45"/>
    </row>
    <row r="62" spans="1:13" x14ac:dyDescent="0.2">
      <c r="A62" s="86" t="s">
        <v>5</v>
      </c>
      <c r="B62" s="87" t="s">
        <v>46</v>
      </c>
      <c r="C62" s="11">
        <f>0.08*C61</f>
        <v>3.3333333333333332E-4</v>
      </c>
      <c r="D62" s="12">
        <f>TRUNC((C62*D18),2)</f>
        <v>3.11</v>
      </c>
      <c r="E62" s="56" t="s">
        <v>59</v>
      </c>
      <c r="F62" s="53"/>
      <c r="G62" s="53"/>
      <c r="H62" s="42"/>
      <c r="I62" s="45"/>
      <c r="J62" s="48"/>
      <c r="K62" s="45"/>
      <c r="L62" s="45"/>
      <c r="M62" s="45"/>
    </row>
    <row r="63" spans="1:13" x14ac:dyDescent="0.2">
      <c r="A63" s="98" t="s">
        <v>6</v>
      </c>
      <c r="B63" s="99" t="s">
        <v>175</v>
      </c>
      <c r="C63" s="11">
        <f>8%*(40%)*90%*(1+C28)</f>
        <v>2.8800000000000003E-2</v>
      </c>
      <c r="D63" s="12">
        <f>TRUNC((C63*D18),2)</f>
        <v>269.27999999999997</v>
      </c>
      <c r="E63" s="56" t="s">
        <v>169</v>
      </c>
      <c r="F63" s="53"/>
      <c r="G63" s="53"/>
      <c r="H63" s="42"/>
      <c r="I63" s="45"/>
      <c r="J63" s="48"/>
      <c r="K63" s="45"/>
      <c r="L63" s="45"/>
      <c r="M63" s="45"/>
    </row>
    <row r="64" spans="1:13" x14ac:dyDescent="0.2">
      <c r="A64" s="86" t="s">
        <v>7</v>
      </c>
      <c r="B64" s="87" t="s">
        <v>45</v>
      </c>
      <c r="C64" s="11">
        <f>((1/30)*7)/12</f>
        <v>1.9444444444444445E-2</v>
      </c>
      <c r="D64" s="12">
        <f>TRUNC(($D$18*C64),2)</f>
        <v>181.8</v>
      </c>
      <c r="E64" s="56" t="s">
        <v>60</v>
      </c>
      <c r="F64" s="53"/>
      <c r="G64" s="53"/>
      <c r="H64" s="42"/>
      <c r="I64" s="45"/>
      <c r="J64" s="49"/>
      <c r="K64" s="45"/>
      <c r="L64" s="45"/>
      <c r="M64" s="45"/>
    </row>
    <row r="65" spans="1:13" x14ac:dyDescent="0.2">
      <c r="A65" s="86" t="s">
        <v>8</v>
      </c>
      <c r="B65" s="87" t="s">
        <v>48</v>
      </c>
      <c r="C65" s="11">
        <f>C40*C64</f>
        <v>7.1555555555555565E-3</v>
      </c>
      <c r="D65" s="12">
        <f>TRUNC(($D$18*C65),2)</f>
        <v>66.900000000000006</v>
      </c>
      <c r="E65" s="59" t="s">
        <v>61</v>
      </c>
      <c r="F65" s="62"/>
      <c r="G65" s="53"/>
      <c r="H65" s="42"/>
      <c r="I65" s="45"/>
      <c r="J65" s="49"/>
      <c r="K65" s="45"/>
      <c r="L65" s="45"/>
      <c r="M65" s="45"/>
    </row>
    <row r="66" spans="1:13" ht="12.75" customHeight="1" x14ac:dyDescent="0.2">
      <c r="A66" s="86" t="s">
        <v>9</v>
      </c>
      <c r="B66" s="87" t="s">
        <v>176</v>
      </c>
      <c r="C66" s="11">
        <f>(8%*(40%))*C65</f>
        <v>2.2897777777777781E-4</v>
      </c>
      <c r="D66" s="12">
        <f>TRUNC((C66*(D18+D28)),2)</f>
        <v>2.71</v>
      </c>
      <c r="E66" s="317" t="s">
        <v>170</v>
      </c>
      <c r="F66" s="317"/>
      <c r="G66" s="317"/>
      <c r="H66" s="317"/>
      <c r="I66" s="317"/>
      <c r="J66" s="48"/>
      <c r="K66" s="45"/>
      <c r="L66" s="45"/>
      <c r="M66" s="45"/>
    </row>
    <row r="67" spans="1:13" x14ac:dyDescent="0.2">
      <c r="A67" s="291" t="s">
        <v>119</v>
      </c>
      <c r="B67" s="291"/>
      <c r="C67" s="70">
        <f>TRUNC(SUM(C61:C66),4)</f>
        <v>6.0100000000000001E-2</v>
      </c>
      <c r="D67" s="115">
        <f>SUM(D61:D66)</f>
        <v>562.75</v>
      </c>
      <c r="E67" s="56"/>
      <c r="F67" s="53"/>
      <c r="G67" s="53"/>
      <c r="H67" s="42"/>
      <c r="I67" s="45"/>
      <c r="J67" s="45"/>
      <c r="K67" s="45"/>
      <c r="L67" s="45"/>
      <c r="M67" s="45"/>
    </row>
    <row r="68" spans="1:13" x14ac:dyDescent="0.2">
      <c r="A68" s="318"/>
      <c r="B68" s="318"/>
      <c r="C68" s="318"/>
      <c r="D68" s="318"/>
      <c r="E68" s="56"/>
      <c r="F68" s="53"/>
      <c r="G68" s="53"/>
      <c r="H68" s="42"/>
      <c r="I68" s="45"/>
      <c r="J68" s="45"/>
      <c r="K68" s="45"/>
      <c r="L68" s="45"/>
      <c r="M68" s="45"/>
    </row>
    <row r="69" spans="1:13" x14ac:dyDescent="0.2">
      <c r="A69" s="102"/>
      <c r="B69" s="102"/>
      <c r="C69" s="102"/>
      <c r="D69" s="102"/>
      <c r="E69" s="56"/>
      <c r="F69" s="53"/>
      <c r="G69" s="53"/>
      <c r="H69" s="42"/>
      <c r="I69" s="45"/>
      <c r="J69" s="45"/>
      <c r="K69" s="45"/>
      <c r="L69" s="45"/>
      <c r="M69" s="45"/>
    </row>
    <row r="70" spans="1:13" x14ac:dyDescent="0.2">
      <c r="A70" s="292" t="s">
        <v>134</v>
      </c>
      <c r="B70" s="292"/>
      <c r="C70" s="292"/>
      <c r="D70" s="292"/>
      <c r="E70" s="56"/>
      <c r="F70" s="53"/>
      <c r="G70" s="53"/>
      <c r="H70" s="42"/>
      <c r="I70" s="45"/>
      <c r="J70" s="45"/>
      <c r="K70" s="45"/>
      <c r="L70" s="45"/>
      <c r="M70" s="45"/>
    </row>
    <row r="71" spans="1:13" x14ac:dyDescent="0.2">
      <c r="A71" s="314" t="s">
        <v>163</v>
      </c>
      <c r="B71" s="315"/>
      <c r="C71" s="315"/>
      <c r="D71" s="316"/>
      <c r="E71" s="56"/>
      <c r="F71" s="53"/>
      <c r="G71" s="53"/>
      <c r="H71" s="42"/>
      <c r="I71" s="45"/>
      <c r="J71" s="45"/>
      <c r="K71" s="45"/>
      <c r="L71" s="45"/>
      <c r="M71" s="45"/>
    </row>
    <row r="72" spans="1:13" x14ac:dyDescent="0.2">
      <c r="A72" s="67" t="s">
        <v>13</v>
      </c>
      <c r="B72" s="67" t="s">
        <v>164</v>
      </c>
      <c r="C72" s="67" t="s">
        <v>1</v>
      </c>
      <c r="D72" s="67" t="s">
        <v>62</v>
      </c>
      <c r="E72" s="56"/>
      <c r="F72" s="53"/>
      <c r="G72" s="53"/>
      <c r="H72" s="42"/>
      <c r="I72" s="50"/>
      <c r="J72" s="45"/>
      <c r="K72" s="45"/>
      <c r="L72" s="45"/>
      <c r="M72" s="45"/>
    </row>
    <row r="73" spans="1:13" x14ac:dyDescent="0.2">
      <c r="A73" s="98" t="s">
        <v>4</v>
      </c>
      <c r="B73" s="99" t="s">
        <v>171</v>
      </c>
      <c r="C73" s="11">
        <f>1/12</f>
        <v>8.3333333333333329E-2</v>
      </c>
      <c r="D73" s="12">
        <f>TRUNC(($D$18*C73),2)</f>
        <v>779.16</v>
      </c>
      <c r="E73" s="56"/>
      <c r="F73" s="53"/>
      <c r="G73" s="53"/>
      <c r="H73" s="42"/>
      <c r="I73" s="50"/>
      <c r="J73" s="45"/>
      <c r="K73" s="45"/>
      <c r="L73" s="45"/>
      <c r="M73" s="45"/>
    </row>
    <row r="74" spans="1:13" x14ac:dyDescent="0.2">
      <c r="A74" s="86" t="s">
        <v>5</v>
      </c>
      <c r="B74" s="87" t="s">
        <v>151</v>
      </c>
      <c r="C74" s="11">
        <f>5.96/30/12</f>
        <v>1.6555555555555556E-2</v>
      </c>
      <c r="D74" s="12">
        <f>TRUNC(($D$18*C74),2)</f>
        <v>154.79</v>
      </c>
      <c r="E74" s="59" t="s">
        <v>172</v>
      </c>
      <c r="F74" s="53"/>
      <c r="G74" s="53"/>
      <c r="H74" s="42"/>
      <c r="I74" s="50"/>
      <c r="J74" s="45"/>
      <c r="K74" s="45"/>
      <c r="L74" s="45"/>
      <c r="M74" s="45"/>
    </row>
    <row r="75" spans="1:13" x14ac:dyDescent="0.2">
      <c r="A75" s="98" t="s">
        <v>6</v>
      </c>
      <c r="B75" s="87" t="s">
        <v>152</v>
      </c>
      <c r="C75" s="11">
        <f>(1/30/12)*5*1.5%</f>
        <v>2.0833333333333335E-4</v>
      </c>
      <c r="D75" s="12">
        <f>TRUNC(($D$18*C75),2)</f>
        <v>1.94</v>
      </c>
      <c r="E75" s="59" t="s">
        <v>135</v>
      </c>
      <c r="F75" s="53"/>
      <c r="G75" s="53"/>
      <c r="H75" s="42"/>
      <c r="I75" s="45"/>
      <c r="J75" s="45"/>
      <c r="K75" s="45"/>
      <c r="L75" s="45"/>
      <c r="M75" s="45"/>
    </row>
    <row r="76" spans="1:13" x14ac:dyDescent="0.2">
      <c r="A76" s="98" t="s">
        <v>7</v>
      </c>
      <c r="B76" s="87" t="s">
        <v>153</v>
      </c>
      <c r="C76" s="11">
        <f>(15/30/12)*8%</f>
        <v>3.3333333333333331E-3</v>
      </c>
      <c r="D76" s="12">
        <f>TRUNC(($D$18*C76),2)</f>
        <v>31.16</v>
      </c>
      <c r="E76" s="59" t="s">
        <v>173</v>
      </c>
      <c r="F76" s="60"/>
      <c r="G76" s="60"/>
      <c r="H76" s="42"/>
      <c r="I76" s="45"/>
      <c r="J76" s="45"/>
      <c r="K76" s="45"/>
      <c r="L76" s="45"/>
      <c r="M76" s="45"/>
    </row>
    <row r="77" spans="1:13" x14ac:dyDescent="0.2">
      <c r="A77" s="98" t="s">
        <v>8</v>
      </c>
      <c r="B77" s="87" t="s">
        <v>154</v>
      </c>
      <c r="C77" s="11">
        <f>(4/12)/12*2%</f>
        <v>5.5555555555555556E-4</v>
      </c>
      <c r="D77" s="12">
        <f>TRUNC(($D$18*C77),2)</f>
        <v>5.19</v>
      </c>
      <c r="E77" s="59" t="s">
        <v>174</v>
      </c>
      <c r="F77" s="63"/>
      <c r="G77" s="53"/>
      <c r="H77" s="42"/>
      <c r="I77" s="45"/>
      <c r="J77" s="45"/>
      <c r="K77" s="45"/>
      <c r="L77" s="45"/>
      <c r="M77" s="45"/>
    </row>
    <row r="78" spans="1:13" x14ac:dyDescent="0.2">
      <c r="A78" s="98" t="s">
        <v>9</v>
      </c>
      <c r="B78" s="100" t="s">
        <v>183</v>
      </c>
      <c r="C78" s="11">
        <v>0</v>
      </c>
      <c r="D78" s="12">
        <f>TRUNC((C78*D18),2)</f>
        <v>0</v>
      </c>
      <c r="E78" s="59" t="s">
        <v>182</v>
      </c>
      <c r="F78" s="64"/>
      <c r="G78" s="60"/>
      <c r="H78" s="44"/>
      <c r="I78" s="45"/>
      <c r="J78" s="45"/>
      <c r="K78" s="45"/>
      <c r="L78" s="45"/>
      <c r="M78" s="45"/>
    </row>
    <row r="79" spans="1:13" x14ac:dyDescent="0.2">
      <c r="A79" s="291" t="s">
        <v>119</v>
      </c>
      <c r="B79" s="291"/>
      <c r="C79" s="70">
        <f>TRUNC(SUM(C73:C78),4)</f>
        <v>0.10390000000000001</v>
      </c>
      <c r="D79" s="115">
        <f>SUM(D73:D78)</f>
        <v>972.24</v>
      </c>
      <c r="E79" s="56"/>
      <c r="F79" s="53"/>
      <c r="G79" s="53"/>
      <c r="H79" s="42"/>
      <c r="I79" s="45"/>
      <c r="J79" s="45"/>
      <c r="K79" s="45"/>
      <c r="L79" s="45"/>
      <c r="M79" s="45"/>
    </row>
    <row r="80" spans="1:13" x14ac:dyDescent="0.2">
      <c r="A80" s="128"/>
      <c r="B80" s="129"/>
      <c r="C80" s="129"/>
      <c r="D80" s="130"/>
      <c r="E80" s="56"/>
      <c r="F80" s="53"/>
      <c r="G80" s="53"/>
      <c r="H80" s="42"/>
      <c r="I80" s="45"/>
      <c r="J80" s="45"/>
      <c r="K80" s="45"/>
      <c r="L80" s="45"/>
      <c r="M80" s="45"/>
    </row>
    <row r="81" spans="1:13" x14ac:dyDescent="0.2">
      <c r="A81" s="314" t="s">
        <v>165</v>
      </c>
      <c r="B81" s="315"/>
      <c r="C81" s="315"/>
      <c r="D81" s="316"/>
      <c r="E81" s="56"/>
      <c r="F81" s="53"/>
      <c r="G81" s="53"/>
      <c r="H81" s="42"/>
      <c r="I81" s="45"/>
      <c r="J81" s="45"/>
      <c r="K81" s="45"/>
      <c r="L81" s="45"/>
      <c r="M81" s="45"/>
    </row>
    <row r="82" spans="1:13" x14ac:dyDescent="0.2">
      <c r="A82" s="67" t="s">
        <v>14</v>
      </c>
      <c r="B82" s="95" t="s">
        <v>166</v>
      </c>
      <c r="C82" s="95" t="s">
        <v>1</v>
      </c>
      <c r="D82" s="67" t="s">
        <v>62</v>
      </c>
      <c r="E82" s="56"/>
      <c r="F82" s="53"/>
      <c r="G82" s="53"/>
      <c r="H82" s="42"/>
      <c r="I82" s="45"/>
      <c r="J82" s="45"/>
      <c r="K82" s="45"/>
      <c r="L82" s="45"/>
      <c r="M82" s="45"/>
    </row>
    <row r="83" spans="1:13" x14ac:dyDescent="0.2">
      <c r="A83" s="86" t="s">
        <v>4</v>
      </c>
      <c r="B83" s="87" t="s">
        <v>167</v>
      </c>
      <c r="C83" s="11">
        <v>0</v>
      </c>
      <c r="D83" s="12">
        <f>TRUNC(($D$18*C83),2)</f>
        <v>0</v>
      </c>
      <c r="E83" s="56"/>
      <c r="F83" s="53"/>
      <c r="G83" s="53"/>
      <c r="H83" s="42"/>
      <c r="I83" s="45"/>
      <c r="J83" s="45"/>
      <c r="K83" s="45"/>
      <c r="L83" s="45"/>
      <c r="M83" s="45"/>
    </row>
    <row r="84" spans="1:13" x14ac:dyDescent="0.2">
      <c r="A84" s="291" t="s">
        <v>119</v>
      </c>
      <c r="B84" s="291"/>
      <c r="C84" s="70">
        <f>TRUNC(SUM(C83),4)</f>
        <v>0</v>
      </c>
      <c r="D84" s="115">
        <f>SUM(D83)</f>
        <v>0</v>
      </c>
      <c r="E84" s="56"/>
      <c r="F84" s="53"/>
      <c r="G84" s="53"/>
      <c r="H84" s="42"/>
      <c r="I84" s="45"/>
      <c r="J84" s="45"/>
      <c r="K84" s="45"/>
      <c r="L84" s="45"/>
      <c r="M84" s="45"/>
    </row>
    <row r="85" spans="1:13" x14ac:dyDescent="0.2">
      <c r="A85" s="104"/>
      <c r="B85" s="105"/>
      <c r="C85" s="105"/>
      <c r="D85" s="106"/>
      <c r="E85" s="56"/>
      <c r="F85" s="53"/>
      <c r="G85" s="53"/>
      <c r="H85" s="42"/>
      <c r="I85" s="45"/>
      <c r="J85" s="45"/>
      <c r="K85" s="45"/>
      <c r="L85" s="45"/>
      <c r="M85" s="45"/>
    </row>
    <row r="86" spans="1:13" x14ac:dyDescent="0.2">
      <c r="A86" s="314" t="s">
        <v>136</v>
      </c>
      <c r="B86" s="315"/>
      <c r="C86" s="315"/>
      <c r="D86" s="316"/>
      <c r="E86" s="56"/>
      <c r="F86" s="53"/>
      <c r="G86" s="53"/>
      <c r="H86" s="42"/>
      <c r="I86" s="45"/>
      <c r="J86" s="45"/>
      <c r="K86" s="45"/>
      <c r="L86" s="45"/>
      <c r="M86" s="45"/>
    </row>
    <row r="87" spans="1:13" x14ac:dyDescent="0.2">
      <c r="A87" s="67">
        <v>4</v>
      </c>
      <c r="B87" s="95" t="s">
        <v>137</v>
      </c>
      <c r="C87" s="95" t="s">
        <v>1</v>
      </c>
      <c r="D87" s="67" t="s">
        <v>62</v>
      </c>
      <c r="E87" s="56"/>
      <c r="F87" s="53"/>
      <c r="G87" s="53"/>
      <c r="H87" s="42"/>
      <c r="I87" s="51"/>
      <c r="J87" s="45"/>
      <c r="K87" s="45"/>
      <c r="L87" s="45"/>
      <c r="M87" s="45"/>
    </row>
    <row r="88" spans="1:13" x14ac:dyDescent="0.2">
      <c r="A88" s="86" t="s">
        <v>13</v>
      </c>
      <c r="B88" s="16" t="s">
        <v>49</v>
      </c>
      <c r="C88" s="11">
        <f>C79</f>
        <v>0.10390000000000001</v>
      </c>
      <c r="D88" s="12">
        <f>D79</f>
        <v>972.24</v>
      </c>
      <c r="E88" s="56"/>
      <c r="F88" s="53"/>
      <c r="G88" s="53"/>
      <c r="H88" s="42"/>
      <c r="I88" s="45"/>
      <c r="J88" s="45"/>
      <c r="K88" s="45"/>
      <c r="L88" s="45"/>
      <c r="M88" s="45"/>
    </row>
    <row r="89" spans="1:13" x14ac:dyDescent="0.2">
      <c r="A89" s="86" t="s">
        <v>14</v>
      </c>
      <c r="B89" s="16" t="s">
        <v>51</v>
      </c>
      <c r="C89" s="11">
        <f>C83</f>
        <v>0</v>
      </c>
      <c r="D89" s="12">
        <f>D84</f>
        <v>0</v>
      </c>
      <c r="E89" s="56"/>
      <c r="F89" s="53"/>
      <c r="G89" s="53"/>
      <c r="H89" s="42"/>
      <c r="I89" s="45"/>
      <c r="J89" s="45"/>
      <c r="K89" s="45"/>
      <c r="L89" s="45"/>
      <c r="M89" s="45"/>
    </row>
    <row r="90" spans="1:13" x14ac:dyDescent="0.2">
      <c r="A90" s="291" t="s">
        <v>119</v>
      </c>
      <c r="B90" s="291"/>
      <c r="C90" s="70">
        <f>SUM(C88:C89)</f>
        <v>0.10390000000000001</v>
      </c>
      <c r="D90" s="115">
        <f>SUM(D88:D89)</f>
        <v>972.24</v>
      </c>
      <c r="E90" s="56"/>
      <c r="F90" s="53"/>
      <c r="G90" s="53"/>
      <c r="H90" s="42"/>
      <c r="I90" s="45"/>
      <c r="J90" s="45"/>
      <c r="K90" s="45"/>
      <c r="L90" s="45"/>
      <c r="M90" s="45"/>
    </row>
    <row r="91" spans="1:13" x14ac:dyDescent="0.2">
      <c r="A91" s="102"/>
      <c r="B91" s="102"/>
      <c r="C91" s="102"/>
      <c r="D91" s="102"/>
      <c r="E91" s="56"/>
      <c r="F91" s="53"/>
      <c r="G91" s="53"/>
      <c r="H91" s="42"/>
      <c r="I91" s="45"/>
      <c r="J91" s="45"/>
      <c r="K91" s="45"/>
      <c r="L91" s="45"/>
      <c r="M91" s="45"/>
    </row>
    <row r="92" spans="1:13" x14ac:dyDescent="0.2">
      <c r="A92" s="102"/>
      <c r="B92" s="102"/>
      <c r="C92" s="102"/>
      <c r="D92" s="102"/>
      <c r="E92" s="56"/>
      <c r="F92" s="53"/>
      <c r="G92" s="53"/>
      <c r="H92" s="42"/>
      <c r="I92" s="45"/>
      <c r="J92" s="45"/>
      <c r="K92" s="45"/>
      <c r="L92" s="45"/>
      <c r="M92" s="45"/>
    </row>
    <row r="93" spans="1:13" x14ac:dyDescent="0.2">
      <c r="A93" s="292" t="s">
        <v>138</v>
      </c>
      <c r="B93" s="292"/>
      <c r="C93" s="292"/>
      <c r="D93" s="292"/>
      <c r="E93" s="56"/>
      <c r="F93" s="53"/>
      <c r="G93" s="53"/>
      <c r="H93" s="42"/>
      <c r="I93" s="45"/>
      <c r="J93" s="45"/>
      <c r="K93" s="45"/>
      <c r="L93" s="45"/>
      <c r="M93" s="45"/>
    </row>
    <row r="94" spans="1:13" x14ac:dyDescent="0.2">
      <c r="A94" s="67">
        <v>5</v>
      </c>
      <c r="B94" s="67" t="s">
        <v>121</v>
      </c>
      <c r="C94" s="67"/>
      <c r="D94" s="67" t="s">
        <v>62</v>
      </c>
      <c r="E94" s="56"/>
      <c r="F94" s="53"/>
      <c r="G94" s="53"/>
      <c r="H94" s="42"/>
      <c r="I94" s="45"/>
      <c r="J94" s="45"/>
      <c r="K94" s="45"/>
      <c r="L94" s="45"/>
      <c r="M94" s="45"/>
    </row>
    <row r="95" spans="1:13" x14ac:dyDescent="0.2">
      <c r="A95" s="86" t="s">
        <v>4</v>
      </c>
      <c r="B95" s="41" t="s">
        <v>52</v>
      </c>
      <c r="C95" s="69"/>
      <c r="D95" s="12">
        <v>0</v>
      </c>
      <c r="E95" s="56"/>
      <c r="F95" s="53"/>
      <c r="G95" s="53"/>
      <c r="H95" s="42"/>
      <c r="I95" s="45"/>
      <c r="J95" s="45"/>
      <c r="K95" s="45"/>
      <c r="L95" s="45"/>
      <c r="M95" s="45"/>
    </row>
    <row r="96" spans="1:13" x14ac:dyDescent="0.2">
      <c r="A96" s="86" t="s">
        <v>5</v>
      </c>
      <c r="B96" s="41" t="s">
        <v>290</v>
      </c>
      <c r="C96" s="69"/>
      <c r="D96" s="12">
        <f>Equipamentos!K21</f>
        <v>118.79416666666667</v>
      </c>
      <c r="E96" s="56"/>
      <c r="F96" s="53"/>
      <c r="G96" s="53"/>
      <c r="H96" s="42"/>
      <c r="I96" s="45"/>
      <c r="J96" s="45"/>
      <c r="K96" s="45"/>
      <c r="L96" s="45"/>
      <c r="M96" s="45"/>
    </row>
    <row r="97" spans="1:13" x14ac:dyDescent="0.2">
      <c r="A97" s="86" t="s">
        <v>6</v>
      </c>
      <c r="B97" s="41" t="s">
        <v>12</v>
      </c>
      <c r="C97" s="69"/>
      <c r="D97" s="12">
        <v>0</v>
      </c>
      <c r="E97" s="56"/>
      <c r="F97" s="53"/>
      <c r="G97" s="53"/>
      <c r="H97" s="42"/>
      <c r="I97" s="45"/>
      <c r="J97" s="45"/>
      <c r="K97" s="45"/>
      <c r="L97" s="45"/>
      <c r="M97" s="45"/>
    </row>
    <row r="98" spans="1:13" x14ac:dyDescent="0.2">
      <c r="A98" s="103" t="s">
        <v>7</v>
      </c>
      <c r="B98" s="41" t="s">
        <v>2</v>
      </c>
      <c r="C98" s="69"/>
      <c r="D98" s="12">
        <v>0</v>
      </c>
      <c r="E98" s="56"/>
      <c r="F98" s="53"/>
      <c r="G98" s="53"/>
      <c r="H98" s="42"/>
      <c r="I98" s="45"/>
      <c r="J98" s="45"/>
      <c r="K98" s="45"/>
      <c r="L98" s="45"/>
      <c r="M98" s="45"/>
    </row>
    <row r="99" spans="1:13" x14ac:dyDescent="0.2">
      <c r="A99" s="291" t="s">
        <v>119</v>
      </c>
      <c r="B99" s="291"/>
      <c r="C99" s="70"/>
      <c r="D99" s="115">
        <f>SUM(D95:D98)</f>
        <v>118.79416666666667</v>
      </c>
      <c r="E99" s="56"/>
      <c r="F99" s="53"/>
      <c r="G99" s="53"/>
      <c r="H99" s="42"/>
      <c r="I99" s="45"/>
      <c r="J99" s="45"/>
      <c r="K99" s="45"/>
      <c r="L99" s="45"/>
      <c r="M99" s="45"/>
    </row>
    <row r="100" spans="1:13" x14ac:dyDescent="0.2">
      <c r="A100" s="102"/>
      <c r="B100" s="102"/>
      <c r="C100" s="131"/>
      <c r="D100" s="132"/>
      <c r="E100" s="56"/>
      <c r="F100" s="53"/>
      <c r="G100" s="53"/>
      <c r="H100" s="42"/>
      <c r="I100" s="45"/>
      <c r="J100" s="45"/>
      <c r="K100" s="45"/>
      <c r="L100" s="45"/>
      <c r="M100" s="45"/>
    </row>
    <row r="101" spans="1:13" x14ac:dyDescent="0.2">
      <c r="A101" s="102"/>
      <c r="B101" s="102"/>
      <c r="C101" s="102"/>
      <c r="D101" s="102"/>
      <c r="E101" s="56"/>
      <c r="F101" s="53"/>
      <c r="G101" s="53"/>
      <c r="H101" s="42"/>
      <c r="I101" s="45"/>
      <c r="J101" s="45"/>
      <c r="K101" s="45"/>
      <c r="L101" s="45"/>
      <c r="M101" s="45"/>
    </row>
    <row r="102" spans="1:13" x14ac:dyDescent="0.2">
      <c r="A102" s="292" t="s">
        <v>139</v>
      </c>
      <c r="B102" s="292"/>
      <c r="C102" s="292"/>
      <c r="D102" s="292"/>
      <c r="E102" s="56"/>
      <c r="F102" s="53"/>
      <c r="G102" s="53"/>
      <c r="H102" s="42"/>
      <c r="I102" s="45"/>
      <c r="J102" s="45"/>
      <c r="K102" s="45"/>
      <c r="L102" s="45"/>
      <c r="M102" s="45"/>
    </row>
    <row r="103" spans="1:13" x14ac:dyDescent="0.2">
      <c r="A103" s="110">
        <v>6</v>
      </c>
      <c r="B103" s="110" t="s">
        <v>122</v>
      </c>
      <c r="C103" s="110" t="s">
        <v>1</v>
      </c>
      <c r="D103" s="110" t="s">
        <v>62</v>
      </c>
      <c r="E103" s="56"/>
      <c r="F103" s="53"/>
      <c r="G103" s="53"/>
      <c r="H103" s="42"/>
      <c r="I103" s="45"/>
      <c r="J103" s="45"/>
      <c r="K103" s="45"/>
      <c r="L103" s="45"/>
      <c r="M103" s="45"/>
    </row>
    <row r="104" spans="1:13" x14ac:dyDescent="0.2">
      <c r="A104" s="86" t="s">
        <v>4</v>
      </c>
      <c r="B104" s="87" t="s">
        <v>15</v>
      </c>
      <c r="C104" s="78">
        <v>0.05</v>
      </c>
      <c r="D104" s="12">
        <f>TRUNC(C104*D121,2)</f>
        <v>892.03</v>
      </c>
      <c r="E104" s="65" t="s">
        <v>123</v>
      </c>
      <c r="F104" s="53"/>
      <c r="G104" s="53"/>
      <c r="H104" s="42"/>
      <c r="I104" s="45"/>
      <c r="J104" s="45"/>
      <c r="K104" s="45"/>
      <c r="L104" s="45"/>
      <c r="M104" s="45"/>
    </row>
    <row r="105" spans="1:13" x14ac:dyDescent="0.2">
      <c r="A105" s="86" t="s">
        <v>5</v>
      </c>
      <c r="B105" s="87" t="s">
        <v>3</v>
      </c>
      <c r="C105" s="78">
        <v>0.1</v>
      </c>
      <c r="D105" s="12">
        <f>TRUNC(C105*(D104+D121),2)</f>
        <v>1873.26</v>
      </c>
      <c r="E105" s="65" t="s">
        <v>124</v>
      </c>
      <c r="F105" s="53"/>
      <c r="G105" s="53"/>
      <c r="H105" s="42"/>
      <c r="I105" s="45"/>
      <c r="J105" s="45"/>
      <c r="K105" s="45"/>
      <c r="L105" s="45"/>
      <c r="M105" s="45"/>
    </row>
    <row r="106" spans="1:13" x14ac:dyDescent="0.2">
      <c r="A106" s="86" t="s">
        <v>6</v>
      </c>
      <c r="B106" s="87" t="s">
        <v>23</v>
      </c>
      <c r="C106" s="181">
        <f>1-(C107+C108+C109)</f>
        <v>0.85749999999999993</v>
      </c>
      <c r="D106" s="17">
        <f>TRUNC(((D121+D104+D105)/C106),2)</f>
        <v>24030.25</v>
      </c>
      <c r="E106" s="56"/>
      <c r="F106" s="53"/>
      <c r="G106" s="53"/>
      <c r="H106" s="42"/>
      <c r="I106" s="45"/>
      <c r="J106" s="45"/>
      <c r="K106" s="45"/>
      <c r="L106" s="45"/>
      <c r="M106" s="45"/>
    </row>
    <row r="107" spans="1:13" x14ac:dyDescent="0.2">
      <c r="A107" s="86" t="s">
        <v>24</v>
      </c>
      <c r="B107" s="87" t="s">
        <v>20</v>
      </c>
      <c r="C107" s="79">
        <v>1.6500000000000001E-2</v>
      </c>
      <c r="D107" s="12">
        <f>TRUNC(C107*D106,2)</f>
        <v>396.49</v>
      </c>
      <c r="E107" s="56"/>
      <c r="F107" s="53"/>
      <c r="G107" s="53"/>
      <c r="H107" s="42"/>
      <c r="I107" s="45"/>
      <c r="J107" s="45"/>
      <c r="K107" s="45"/>
      <c r="L107" s="45"/>
      <c r="M107" s="45"/>
    </row>
    <row r="108" spans="1:13" x14ac:dyDescent="0.2">
      <c r="A108" s="86" t="s">
        <v>25</v>
      </c>
      <c r="B108" s="87" t="s">
        <v>21</v>
      </c>
      <c r="C108" s="79">
        <v>7.5999999999999998E-2</v>
      </c>
      <c r="D108" s="12">
        <f>TRUNC(C108*D106,2)</f>
        <v>1826.29</v>
      </c>
      <c r="E108" s="56"/>
      <c r="F108" s="53"/>
      <c r="G108" s="53"/>
      <c r="H108" s="42"/>
      <c r="I108" s="45"/>
      <c r="J108" s="45"/>
      <c r="K108" s="45"/>
      <c r="L108" s="45"/>
      <c r="M108" s="45"/>
    </row>
    <row r="109" spans="1:13" x14ac:dyDescent="0.2">
      <c r="A109" s="86" t="s">
        <v>26</v>
      </c>
      <c r="B109" s="87" t="s">
        <v>22</v>
      </c>
      <c r="C109" s="79">
        <v>0.05</v>
      </c>
      <c r="D109" s="12">
        <f>TRUNC(C109*D106,2)</f>
        <v>1201.51</v>
      </c>
      <c r="E109" s="56"/>
      <c r="F109" s="53"/>
      <c r="G109" s="53"/>
      <c r="H109" s="42"/>
      <c r="I109" s="45"/>
      <c r="J109" s="45"/>
      <c r="K109" s="45"/>
      <c r="L109" s="45"/>
      <c r="M109" s="45"/>
    </row>
    <row r="110" spans="1:13" x14ac:dyDescent="0.2">
      <c r="A110" s="291" t="s">
        <v>119</v>
      </c>
      <c r="B110" s="291"/>
      <c r="C110" s="117"/>
      <c r="D110" s="115">
        <f>SUM(D104:D109)-D106</f>
        <v>6189.5800000000017</v>
      </c>
      <c r="E110" s="123"/>
      <c r="F110" s="53"/>
      <c r="G110" s="53"/>
      <c r="H110" s="42"/>
      <c r="I110" s="45"/>
      <c r="J110" s="45"/>
      <c r="K110" s="45"/>
      <c r="L110" s="45"/>
      <c r="M110" s="45"/>
    </row>
    <row r="111" spans="1:13" x14ac:dyDescent="0.2">
      <c r="A111" s="18"/>
      <c r="B111" s="18"/>
      <c r="C111" s="18"/>
      <c r="D111" s="133"/>
      <c r="E111" s="53"/>
      <c r="F111" s="53"/>
      <c r="G111" s="53"/>
      <c r="H111" s="42"/>
      <c r="I111" s="45"/>
      <c r="J111" s="45"/>
      <c r="K111" s="45"/>
      <c r="L111" s="45"/>
      <c r="M111" s="45"/>
    </row>
    <row r="112" spans="1:13" x14ac:dyDescent="0.2">
      <c r="A112" s="301" t="s">
        <v>185</v>
      </c>
      <c r="B112" s="301"/>
      <c r="C112" s="301"/>
      <c r="D112" s="301"/>
      <c r="E112" s="53"/>
      <c r="F112" s="66"/>
      <c r="G112" s="53"/>
      <c r="H112" s="42"/>
      <c r="I112" s="45"/>
      <c r="J112" s="45"/>
      <c r="K112" s="45"/>
      <c r="L112" s="45"/>
      <c r="M112" s="45"/>
    </row>
    <row r="113" spans="1:13" x14ac:dyDescent="0.2">
      <c r="A113" s="114"/>
      <c r="B113" s="114"/>
      <c r="C113" s="114"/>
      <c r="D113" s="114"/>
      <c r="E113" s="53"/>
      <c r="F113" s="66"/>
      <c r="G113" s="53"/>
      <c r="H113" s="42"/>
      <c r="I113" s="45"/>
      <c r="J113" s="45"/>
      <c r="K113" s="45"/>
      <c r="L113" s="45"/>
      <c r="M113" s="45"/>
    </row>
    <row r="114" spans="1:13" x14ac:dyDescent="0.2">
      <c r="A114" s="292" t="s">
        <v>184</v>
      </c>
      <c r="B114" s="292"/>
      <c r="C114" s="292"/>
      <c r="D114" s="292"/>
      <c r="E114" s="53"/>
      <c r="F114" s="66"/>
      <c r="G114" s="53"/>
      <c r="H114" s="42"/>
      <c r="I114" s="45"/>
      <c r="J114" s="45"/>
      <c r="K114" s="45"/>
      <c r="L114" s="45"/>
      <c r="M114" s="45"/>
    </row>
    <row r="115" spans="1:13" x14ac:dyDescent="0.2">
      <c r="A115" s="96"/>
      <c r="B115" s="97" t="s">
        <v>141</v>
      </c>
      <c r="C115" s="110"/>
      <c r="D115" s="110" t="s">
        <v>62</v>
      </c>
      <c r="E115" s="53"/>
      <c r="F115" s="53"/>
      <c r="G115" s="53"/>
      <c r="H115" s="42"/>
      <c r="I115" s="45"/>
      <c r="J115" s="45"/>
      <c r="K115" s="45"/>
      <c r="L115" s="45"/>
      <c r="M115" s="45"/>
    </row>
    <row r="116" spans="1:13" x14ac:dyDescent="0.2">
      <c r="A116" s="14" t="s">
        <v>4</v>
      </c>
      <c r="B116" s="16" t="s">
        <v>143</v>
      </c>
      <c r="C116" s="68"/>
      <c r="D116" s="12">
        <f>D18</f>
        <v>9350</v>
      </c>
      <c r="E116" s="53"/>
      <c r="F116" s="53"/>
      <c r="G116" s="53"/>
      <c r="H116" s="42"/>
      <c r="I116" s="45"/>
      <c r="J116" s="45"/>
      <c r="K116" s="45"/>
      <c r="L116" s="45"/>
      <c r="M116" s="45"/>
    </row>
    <row r="117" spans="1:13" x14ac:dyDescent="0.2">
      <c r="A117" s="14" t="s">
        <v>5</v>
      </c>
      <c r="B117" s="16" t="s">
        <v>144</v>
      </c>
      <c r="C117" s="68"/>
      <c r="D117" s="12">
        <f>D56</f>
        <v>6836.869999999999</v>
      </c>
      <c r="E117" s="53"/>
      <c r="F117" s="53"/>
      <c r="G117" s="53"/>
      <c r="H117" s="42"/>
      <c r="I117" s="45"/>
      <c r="J117" s="45"/>
      <c r="K117" s="45"/>
      <c r="L117" s="45"/>
      <c r="M117" s="45"/>
    </row>
    <row r="118" spans="1:13" x14ac:dyDescent="0.2">
      <c r="A118" s="14" t="s">
        <v>6</v>
      </c>
      <c r="B118" s="16" t="s">
        <v>145</v>
      </c>
      <c r="C118" s="68"/>
      <c r="D118" s="12">
        <f>D67</f>
        <v>562.75</v>
      </c>
      <c r="E118" s="53"/>
      <c r="F118" s="66"/>
      <c r="G118" s="53"/>
      <c r="H118" s="42"/>
      <c r="I118" s="45"/>
      <c r="J118" s="45"/>
      <c r="K118" s="45"/>
      <c r="L118" s="45"/>
      <c r="M118" s="45"/>
    </row>
    <row r="119" spans="1:13" x14ac:dyDescent="0.2">
      <c r="A119" s="14" t="s">
        <v>7</v>
      </c>
      <c r="B119" s="16" t="s">
        <v>50</v>
      </c>
      <c r="C119" s="68"/>
      <c r="D119" s="12">
        <f>D90</f>
        <v>972.24</v>
      </c>
      <c r="E119" s="53"/>
      <c r="F119" s="66"/>
      <c r="G119" s="53"/>
      <c r="H119" s="42"/>
      <c r="I119" s="45"/>
      <c r="J119" s="45"/>
      <c r="K119" s="45"/>
      <c r="L119" s="45"/>
      <c r="M119" s="45"/>
    </row>
    <row r="120" spans="1:13" x14ac:dyDescent="0.2">
      <c r="A120" s="14" t="s">
        <v>8</v>
      </c>
      <c r="B120" s="16" t="s">
        <v>146</v>
      </c>
      <c r="C120" s="68"/>
      <c r="D120" s="12">
        <f>D99</f>
        <v>118.79416666666667</v>
      </c>
      <c r="E120" s="53"/>
      <c r="F120" s="53"/>
      <c r="G120" s="53"/>
      <c r="H120" s="42"/>
      <c r="I120" s="45"/>
      <c r="J120" s="45"/>
      <c r="K120" s="45"/>
      <c r="L120" s="45"/>
      <c r="M120" s="45"/>
    </row>
    <row r="121" spans="1:13" x14ac:dyDescent="0.2">
      <c r="A121" s="321" t="s">
        <v>53</v>
      </c>
      <c r="B121" s="322"/>
      <c r="C121" s="67"/>
      <c r="D121" s="13">
        <f>SUM(D116:D120)</f>
        <v>17840.654166666667</v>
      </c>
      <c r="E121" s="53"/>
      <c r="F121" s="63"/>
      <c r="G121" s="53"/>
      <c r="H121" s="42"/>
      <c r="I121" s="45"/>
      <c r="J121" s="45"/>
      <c r="K121" s="45"/>
      <c r="L121" s="45"/>
      <c r="M121" s="45"/>
    </row>
    <row r="122" spans="1:13" x14ac:dyDescent="0.2">
      <c r="A122" s="14" t="s">
        <v>9</v>
      </c>
      <c r="B122" s="16" t="s">
        <v>147</v>
      </c>
      <c r="C122" s="68"/>
      <c r="D122" s="12">
        <f>D110</f>
        <v>6189.5800000000017</v>
      </c>
      <c r="E122" s="53"/>
      <c r="F122" s="53"/>
      <c r="G122" s="53"/>
      <c r="H122" s="42"/>
      <c r="I122" s="45"/>
      <c r="J122" s="45"/>
      <c r="K122" s="45"/>
      <c r="L122" s="45"/>
      <c r="M122" s="45"/>
    </row>
    <row r="123" spans="1:13" x14ac:dyDescent="0.2">
      <c r="A123" s="336" t="s">
        <v>142</v>
      </c>
      <c r="B123" s="339"/>
      <c r="C123" s="67"/>
      <c r="D123" s="118">
        <f>SUM(D121:D122)</f>
        <v>24030.234166666669</v>
      </c>
      <c r="E123" s="53"/>
      <c r="F123" s="146"/>
      <c r="G123" s="53"/>
      <c r="H123" s="42"/>
      <c r="I123" s="45"/>
      <c r="J123" s="45"/>
      <c r="K123" s="45"/>
      <c r="L123" s="45"/>
      <c r="M123" s="45"/>
    </row>
    <row r="124" spans="1:13" x14ac:dyDescent="0.2">
      <c r="D124" s="2"/>
      <c r="E124" s="52"/>
      <c r="F124" s="52"/>
      <c r="G124" s="52"/>
      <c r="H124" s="45"/>
      <c r="I124" s="45"/>
      <c r="J124" s="45"/>
      <c r="K124" s="45"/>
      <c r="L124" s="45"/>
      <c r="M124" s="45"/>
    </row>
    <row r="125" spans="1:13" x14ac:dyDescent="0.2">
      <c r="A125" s="301" t="s">
        <v>311</v>
      </c>
      <c r="B125" s="301"/>
      <c r="C125" s="301"/>
      <c r="D125" s="301"/>
      <c r="E125" s="52"/>
      <c r="F125" s="52"/>
      <c r="G125" s="52"/>
      <c r="H125" s="45"/>
      <c r="I125" s="45"/>
      <c r="J125" s="45"/>
      <c r="K125" s="45"/>
      <c r="L125" s="45"/>
      <c r="M125" s="45"/>
    </row>
    <row r="126" spans="1:13" x14ac:dyDescent="0.2">
      <c r="A126" s="3"/>
      <c r="B126" s="3"/>
      <c r="E126" s="52"/>
      <c r="F126" s="147"/>
      <c r="G126" s="52"/>
      <c r="H126" s="45"/>
      <c r="I126" s="45"/>
      <c r="J126" s="45"/>
      <c r="K126" s="45"/>
      <c r="L126" s="45"/>
      <c r="M126" s="45"/>
    </row>
    <row r="127" spans="1:13" x14ac:dyDescent="0.2">
      <c r="A127" s="182" t="s">
        <v>309</v>
      </c>
      <c r="B127" s="183"/>
      <c r="C127" s="184"/>
      <c r="D127" s="185"/>
    </row>
    <row r="128" spans="1:13" x14ac:dyDescent="0.2">
      <c r="A128" s="310" t="s">
        <v>299</v>
      </c>
      <c r="B128" s="310"/>
      <c r="C128" s="310"/>
      <c r="D128" s="186">
        <f>D123</f>
        <v>24030.234166666669</v>
      </c>
    </row>
    <row r="129" spans="1:7" x14ac:dyDescent="0.2">
      <c r="A129" s="311" t="s">
        <v>300</v>
      </c>
      <c r="B129" s="311"/>
      <c r="C129" s="311"/>
      <c r="D129" s="186">
        <f>D28+D67+D79</f>
        <v>4022.0599999999995</v>
      </c>
    </row>
    <row r="130" spans="1:7" x14ac:dyDescent="0.2">
      <c r="A130" s="312" t="s">
        <v>15</v>
      </c>
      <c r="B130" s="312"/>
      <c r="C130" s="187">
        <f>C104</f>
        <v>0.05</v>
      </c>
      <c r="D130" s="186">
        <f>ROUND(D129*C130,2)</f>
        <v>201.1</v>
      </c>
    </row>
    <row r="131" spans="1:7" x14ac:dyDescent="0.2">
      <c r="A131" s="312" t="s">
        <v>3</v>
      </c>
      <c r="B131" s="312"/>
      <c r="C131" s="187">
        <f>C105</f>
        <v>0.1</v>
      </c>
      <c r="D131" s="186">
        <f>ROUND((D129+D130)*C131,2)</f>
        <v>422.32</v>
      </c>
    </row>
    <row r="132" spans="1:7" x14ac:dyDescent="0.2">
      <c r="A132" s="312" t="s">
        <v>301</v>
      </c>
      <c r="B132" s="312"/>
      <c r="C132" s="188">
        <f>C107+C108+C109</f>
        <v>0.14250000000000002</v>
      </c>
      <c r="D132" s="186">
        <f>ROUND((D129+D130+D131)/(1-C132)-(D129+D130+D131),2)</f>
        <v>771.99</v>
      </c>
    </row>
    <row r="133" spans="1:7" x14ac:dyDescent="0.2">
      <c r="A133" s="302" t="s">
        <v>302</v>
      </c>
      <c r="B133" s="302"/>
      <c r="C133" s="302"/>
      <c r="D133" s="189">
        <f>SUM(D129:D132)</f>
        <v>5417.4699999999993</v>
      </c>
      <c r="G133" s="179"/>
    </row>
    <row r="134" spans="1:7" x14ac:dyDescent="0.2">
      <c r="A134" s="303" t="s">
        <v>303</v>
      </c>
      <c r="B134" s="303"/>
      <c r="C134" s="303"/>
      <c r="D134" s="190">
        <f>D128-D133</f>
        <v>18612.764166666668</v>
      </c>
    </row>
    <row r="135" spans="1:7" ht="15.75" x14ac:dyDescent="0.25">
      <c r="A135" s="175"/>
      <c r="B135" s="175"/>
      <c r="C135" s="175"/>
      <c r="D135" s="175"/>
    </row>
    <row r="136" spans="1:7" ht="48" customHeight="1" x14ac:dyDescent="0.2">
      <c r="A136" s="304" t="s">
        <v>304</v>
      </c>
      <c r="B136" s="305"/>
      <c r="C136" s="305"/>
      <c r="D136" s="306"/>
    </row>
    <row r="137" spans="1:7" x14ac:dyDescent="0.2">
      <c r="A137" s="195"/>
      <c r="B137" s="195"/>
      <c r="C137" s="195"/>
      <c r="D137" s="195"/>
    </row>
    <row r="138" spans="1:7" ht="15.75" x14ac:dyDescent="0.25">
      <c r="A138" s="175"/>
      <c r="B138" s="175"/>
      <c r="C138" s="175"/>
      <c r="D138" s="175"/>
    </row>
    <row r="139" spans="1:7" x14ac:dyDescent="0.2">
      <c r="A139" s="307" t="s">
        <v>305</v>
      </c>
      <c r="B139" s="308"/>
      <c r="C139" s="309"/>
      <c r="D139" s="191" t="s">
        <v>62</v>
      </c>
    </row>
    <row r="140" spans="1:7" ht="13.5" thickBot="1" x14ac:dyDescent="0.25">
      <c r="A140" s="293" t="s">
        <v>306</v>
      </c>
      <c r="B140" s="294"/>
      <c r="C140" s="294"/>
      <c r="D140" s="33">
        <f>ROUND(((D$18+D$28+D$40+D$67)+((D$18+D$28+D$40+D$67)*$C$104)+((D$18+D$28+D$40+D$67)*(1+$C$104)*$C$105)/(1-$C$106))/220,2)</f>
        <v>128.66</v>
      </c>
      <c r="E140" s="178"/>
    </row>
    <row r="141" spans="1:7" ht="22.5" x14ac:dyDescent="0.2">
      <c r="A141" s="293" t="s">
        <v>312</v>
      </c>
      <c r="B141" s="294"/>
      <c r="C141" s="192" t="s">
        <v>307</v>
      </c>
      <c r="D141" s="297">
        <f>ROUND(D140*(1+C142),2)</f>
        <v>192.99</v>
      </c>
    </row>
    <row r="142" spans="1:7" ht="13.5" thickBot="1" x14ac:dyDescent="0.25">
      <c r="A142" s="295"/>
      <c r="B142" s="296"/>
      <c r="C142" s="222">
        <v>0.5</v>
      </c>
      <c r="D142" s="298"/>
      <c r="E142" s="178"/>
    </row>
    <row r="143" spans="1:7" x14ac:dyDescent="0.2">
      <c r="A143" s="299" t="s">
        <v>308</v>
      </c>
      <c r="B143" s="299"/>
      <c r="C143" s="300"/>
      <c r="D143" s="194">
        <f>D141*8</f>
        <v>1543.92</v>
      </c>
      <c r="E143" s="178"/>
    </row>
    <row r="144" spans="1:7" x14ac:dyDescent="0.2">
      <c r="A144" s="193" t="s">
        <v>321</v>
      </c>
      <c r="B144" s="193"/>
      <c r="C144" s="193"/>
      <c r="D144" s="193"/>
    </row>
    <row r="145" spans="1:4" ht="15.75" x14ac:dyDescent="0.25">
      <c r="A145" s="175"/>
      <c r="B145" s="175"/>
      <c r="C145" s="175"/>
      <c r="D145" s="175"/>
    </row>
    <row r="146" spans="1:4" ht="15.75" x14ac:dyDescent="0.25">
      <c r="A146" s="175"/>
      <c r="B146" s="175"/>
      <c r="C146" s="175"/>
      <c r="D146" s="175"/>
    </row>
  </sheetData>
  <mergeCells count="58">
    <mergeCell ref="A123:B123"/>
    <mergeCell ref="A114:D114"/>
    <mergeCell ref="A99:B99"/>
    <mergeCell ref="A102:D102"/>
    <mergeCell ref="A110:B110"/>
    <mergeCell ref="A112:D112"/>
    <mergeCell ref="A121:B121"/>
    <mergeCell ref="A42:D42"/>
    <mergeCell ref="A59:D59"/>
    <mergeCell ref="A49:C49"/>
    <mergeCell ref="A50:D50"/>
    <mergeCell ref="A51:D51"/>
    <mergeCell ref="B52:C52"/>
    <mergeCell ref="B53:C53"/>
    <mergeCell ref="B54:C54"/>
    <mergeCell ref="B55:C55"/>
    <mergeCell ref="A56:C56"/>
    <mergeCell ref="A57:D57"/>
    <mergeCell ref="A22:D22"/>
    <mergeCell ref="A29:D29"/>
    <mergeCell ref="A41:D41"/>
    <mergeCell ref="A23:D23"/>
    <mergeCell ref="A28:B28"/>
    <mergeCell ref="A30:D30"/>
    <mergeCell ref="A40:B40"/>
    <mergeCell ref="A21:D21"/>
    <mergeCell ref="A2:D2"/>
    <mergeCell ref="A8:D8"/>
    <mergeCell ref="A10:D10"/>
    <mergeCell ref="A18:C18"/>
    <mergeCell ref="A5:B6"/>
    <mergeCell ref="C5:D6"/>
    <mergeCell ref="E44:I44"/>
    <mergeCell ref="A86:D86"/>
    <mergeCell ref="E66:I66"/>
    <mergeCell ref="A67:B67"/>
    <mergeCell ref="A68:D68"/>
    <mergeCell ref="A70:D70"/>
    <mergeCell ref="A71:D71"/>
    <mergeCell ref="A79:B79"/>
    <mergeCell ref="A81:D81"/>
    <mergeCell ref="A84:B84"/>
    <mergeCell ref="A90:B90"/>
    <mergeCell ref="A93:D93"/>
    <mergeCell ref="A141:B142"/>
    <mergeCell ref="D141:D142"/>
    <mergeCell ref="A143:C143"/>
    <mergeCell ref="A125:D125"/>
    <mergeCell ref="A133:C133"/>
    <mergeCell ref="A134:C134"/>
    <mergeCell ref="A136:D136"/>
    <mergeCell ref="A139:C139"/>
    <mergeCell ref="A140:C140"/>
    <mergeCell ref="A128:C128"/>
    <mergeCell ref="A129:C129"/>
    <mergeCell ref="A130:B130"/>
    <mergeCell ref="A131:B131"/>
    <mergeCell ref="A132:B132"/>
  </mergeCells>
  <conditionalFormatting sqref="C142">
    <cfRule type="cellIs" dxfId="3" priority="1" operator="greaterThan">
      <formula>0</formula>
    </cfRule>
  </conditionalFormatting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2" manualBreakCount="2">
    <brk id="58" max="3" man="1"/>
    <brk id="12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M144"/>
  <sheetViews>
    <sheetView showGridLines="0" view="pageBreakPreview" topLeftCell="A8" zoomScaleNormal="90" zoomScaleSheetLayoutView="100" workbookViewId="0">
      <selection activeCell="B17" sqref="B17"/>
    </sheetView>
  </sheetViews>
  <sheetFormatPr defaultColWidth="9.140625"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5" bestFit="1" customWidth="1"/>
    <col min="6" max="6" width="10.42578125" style="5" customWidth="1"/>
    <col min="7" max="7" width="9.140625" style="5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08"/>
    </row>
    <row r="2" spans="1:13" x14ac:dyDescent="0.2">
      <c r="A2" s="318" t="s">
        <v>63</v>
      </c>
      <c r="B2" s="318"/>
      <c r="C2" s="318"/>
      <c r="D2" s="318"/>
      <c r="E2" s="53"/>
      <c r="F2" s="53"/>
      <c r="G2" s="53"/>
      <c r="H2" s="42"/>
      <c r="I2" s="45"/>
      <c r="J2" s="45"/>
      <c r="K2" s="45"/>
      <c r="L2" s="45"/>
      <c r="M2" s="45"/>
    </row>
    <row r="3" spans="1:13" x14ac:dyDescent="0.2">
      <c r="A3" s="113"/>
      <c r="B3" s="113"/>
      <c r="C3" s="113"/>
      <c r="D3" s="113"/>
      <c r="E3" s="53"/>
      <c r="F3" s="53"/>
      <c r="G3" s="53"/>
      <c r="H3" s="42"/>
      <c r="I3" s="45"/>
      <c r="J3" s="45"/>
      <c r="K3" s="45"/>
      <c r="L3" s="45"/>
      <c r="M3" s="45"/>
    </row>
    <row r="4" spans="1:13" x14ac:dyDescent="0.2">
      <c r="A4" s="109"/>
      <c r="B4" s="109"/>
      <c r="C4" s="109"/>
      <c r="D4" s="109"/>
      <c r="E4" s="53"/>
      <c r="F4" s="53"/>
      <c r="G4" s="53"/>
      <c r="H4" s="42"/>
      <c r="I4" s="45"/>
      <c r="J4" s="45"/>
      <c r="K4" s="45"/>
      <c r="L4" s="45"/>
      <c r="M4" s="45"/>
    </row>
    <row r="5" spans="1:13" x14ac:dyDescent="0.2">
      <c r="A5" s="319" t="s">
        <v>177</v>
      </c>
      <c r="B5" s="319"/>
      <c r="C5" s="340" t="s">
        <v>198</v>
      </c>
      <c r="D5" s="341"/>
      <c r="E5" s="53"/>
      <c r="F5" s="53"/>
      <c r="G5" s="53"/>
      <c r="H5" s="42"/>
      <c r="I5" s="45"/>
      <c r="J5" s="45"/>
      <c r="K5" s="45"/>
      <c r="L5" s="45"/>
      <c r="M5" s="45"/>
    </row>
    <row r="6" spans="1:13" x14ac:dyDescent="0.2">
      <c r="A6" s="319"/>
      <c r="B6" s="319"/>
      <c r="C6" s="342"/>
      <c r="D6" s="343"/>
      <c r="E6" s="53"/>
      <c r="F6" s="53"/>
      <c r="G6" s="53"/>
      <c r="H6" s="42"/>
      <c r="I6" s="45"/>
      <c r="J6" s="45"/>
      <c r="K6" s="45"/>
      <c r="L6" s="45"/>
      <c r="M6" s="45"/>
    </row>
    <row r="7" spans="1:13" s="4" customFormat="1" x14ac:dyDescent="0.2">
      <c r="A7" s="145"/>
      <c r="B7" s="145"/>
      <c r="C7" s="18"/>
      <c r="D7" s="18"/>
      <c r="E7" s="60"/>
      <c r="F7" s="60"/>
      <c r="G7" s="60"/>
      <c r="H7" s="44"/>
      <c r="I7" s="46"/>
      <c r="J7" s="46"/>
      <c r="K7" s="46"/>
      <c r="L7" s="46"/>
      <c r="M7" s="46"/>
    </row>
    <row r="8" spans="1:13" x14ac:dyDescent="0.2">
      <c r="A8" s="301" t="s">
        <v>140</v>
      </c>
      <c r="B8" s="301"/>
      <c r="C8" s="301"/>
      <c r="D8" s="301"/>
      <c r="E8" s="53"/>
      <c r="F8" s="53"/>
      <c r="G8" s="53"/>
      <c r="H8" s="42"/>
      <c r="I8" s="45"/>
      <c r="J8" s="45"/>
      <c r="K8" s="45"/>
      <c r="L8" s="45"/>
      <c r="M8" s="45"/>
    </row>
    <row r="9" spans="1:13" x14ac:dyDescent="0.2">
      <c r="A9" s="112"/>
      <c r="B9" s="112"/>
      <c r="C9" s="112"/>
      <c r="D9" s="112"/>
      <c r="E9" s="53"/>
      <c r="F9" s="53"/>
      <c r="G9" s="53"/>
      <c r="H9" s="42"/>
      <c r="I9" s="45"/>
      <c r="J9" s="45"/>
      <c r="K9" s="45"/>
      <c r="L9" s="45"/>
      <c r="M9" s="45"/>
    </row>
    <row r="10" spans="1:13" x14ac:dyDescent="0.2">
      <c r="A10" s="292" t="s">
        <v>126</v>
      </c>
      <c r="B10" s="292"/>
      <c r="C10" s="292"/>
      <c r="D10" s="292"/>
      <c r="E10" s="53"/>
      <c r="F10" s="53"/>
      <c r="G10" s="53"/>
      <c r="H10" s="42"/>
      <c r="I10" s="45"/>
      <c r="J10" s="45"/>
      <c r="K10" s="45"/>
      <c r="L10" s="45"/>
      <c r="M10" s="45"/>
    </row>
    <row r="11" spans="1:13" x14ac:dyDescent="0.2">
      <c r="A11" s="136">
        <v>1</v>
      </c>
      <c r="B11" s="136" t="s">
        <v>118</v>
      </c>
      <c r="C11" s="136" t="s">
        <v>1</v>
      </c>
      <c r="D11" s="136" t="s">
        <v>62</v>
      </c>
      <c r="E11" s="53"/>
      <c r="F11" s="53"/>
      <c r="G11" s="53"/>
      <c r="H11" s="42"/>
      <c r="I11" s="45"/>
      <c r="J11" s="45"/>
      <c r="K11" s="45"/>
      <c r="L11" s="45"/>
      <c r="M11" s="45"/>
    </row>
    <row r="12" spans="1:13" x14ac:dyDescent="0.2">
      <c r="A12" s="144" t="s">
        <v>4</v>
      </c>
      <c r="B12" s="142" t="s">
        <v>17</v>
      </c>
      <c r="C12" s="119"/>
      <c r="D12" s="12">
        <v>3257.49</v>
      </c>
      <c r="E12" s="53"/>
      <c r="F12" s="53"/>
      <c r="G12" s="53"/>
      <c r="H12" s="42"/>
      <c r="I12" s="45"/>
      <c r="J12" s="45"/>
      <c r="K12" s="45"/>
      <c r="L12" s="45"/>
      <c r="M12" s="45"/>
    </row>
    <row r="13" spans="1:13" x14ac:dyDescent="0.2">
      <c r="A13" s="144" t="s">
        <v>5</v>
      </c>
      <c r="B13" s="142" t="s">
        <v>27</v>
      </c>
      <c r="C13" s="8"/>
      <c r="D13" s="7">
        <v>0</v>
      </c>
      <c r="E13" s="53" t="s">
        <v>178</v>
      </c>
      <c r="F13" s="53"/>
      <c r="G13" s="53"/>
      <c r="H13" s="42"/>
      <c r="I13" s="45"/>
      <c r="J13" s="45"/>
      <c r="K13" s="45"/>
      <c r="L13" s="45"/>
      <c r="M13" s="45"/>
    </row>
    <row r="14" spans="1:13" x14ac:dyDescent="0.2">
      <c r="A14" s="144" t="s">
        <v>6</v>
      </c>
      <c r="B14" s="6" t="s">
        <v>28</v>
      </c>
      <c r="C14" s="8"/>
      <c r="D14" s="7">
        <v>0</v>
      </c>
      <c r="E14" s="53" t="s">
        <v>179</v>
      </c>
      <c r="F14" s="53"/>
      <c r="G14" s="53"/>
      <c r="H14" s="42"/>
      <c r="I14" s="45"/>
      <c r="J14" s="45"/>
      <c r="K14" s="45"/>
      <c r="L14" s="45"/>
      <c r="M14" s="45"/>
    </row>
    <row r="15" spans="1:13" x14ac:dyDescent="0.2">
      <c r="A15" s="144" t="s">
        <v>7</v>
      </c>
      <c r="B15" s="6" t="s">
        <v>0</v>
      </c>
      <c r="C15" s="8"/>
      <c r="D15" s="7">
        <v>0</v>
      </c>
      <c r="E15" s="53" t="s">
        <v>180</v>
      </c>
      <c r="F15" s="53"/>
      <c r="G15" s="53"/>
      <c r="H15" s="42"/>
      <c r="I15" s="45"/>
      <c r="J15" s="45"/>
      <c r="K15" s="45"/>
      <c r="L15" s="45"/>
      <c r="M15" s="45"/>
    </row>
    <row r="16" spans="1:13" x14ac:dyDescent="0.2">
      <c r="A16" s="140" t="s">
        <v>8</v>
      </c>
      <c r="B16" s="6" t="s">
        <v>29</v>
      </c>
      <c r="C16" s="9"/>
      <c r="D16" s="7">
        <v>0</v>
      </c>
      <c r="E16" s="120" t="s">
        <v>181</v>
      </c>
      <c r="F16" s="53"/>
      <c r="G16" s="54"/>
      <c r="H16" s="43"/>
      <c r="I16" s="45"/>
      <c r="J16" s="45"/>
      <c r="K16" s="45"/>
      <c r="L16" s="45"/>
      <c r="M16" s="45"/>
    </row>
    <row r="17" spans="1:13" x14ac:dyDescent="0.2">
      <c r="A17" s="140" t="s">
        <v>10</v>
      </c>
      <c r="B17" s="6" t="s">
        <v>2</v>
      </c>
      <c r="C17" s="8"/>
      <c r="D17" s="7"/>
      <c r="E17" s="53"/>
      <c r="F17" s="53"/>
      <c r="G17" s="55"/>
      <c r="H17" s="42"/>
      <c r="I17" s="45"/>
      <c r="J17" s="45"/>
      <c r="K17" s="45"/>
      <c r="L17" s="45"/>
      <c r="M17" s="45"/>
    </row>
    <row r="18" spans="1:13" x14ac:dyDescent="0.2">
      <c r="A18" s="291" t="s">
        <v>119</v>
      </c>
      <c r="B18" s="291"/>
      <c r="C18" s="291"/>
      <c r="D18" s="111">
        <f>SUM(D12:D17)</f>
        <v>3257.49</v>
      </c>
      <c r="E18" s="53"/>
      <c r="F18" s="53"/>
      <c r="G18" s="53"/>
      <c r="H18" s="42"/>
      <c r="I18" s="45"/>
      <c r="J18" s="45"/>
      <c r="K18" s="45"/>
      <c r="L18" s="45"/>
      <c r="M18" s="45"/>
    </row>
    <row r="19" spans="1:13" x14ac:dyDescent="0.2">
      <c r="A19" s="143"/>
      <c r="B19" s="135"/>
      <c r="C19" s="135"/>
      <c r="D19" s="125"/>
      <c r="E19" s="53"/>
      <c r="F19" s="53"/>
      <c r="G19" s="53"/>
      <c r="H19" s="42"/>
      <c r="I19" s="45"/>
      <c r="J19" s="45"/>
      <c r="K19" s="45"/>
      <c r="L19" s="45"/>
      <c r="M19" s="45"/>
    </row>
    <row r="20" spans="1:13" x14ac:dyDescent="0.2">
      <c r="A20" s="84"/>
      <c r="B20" s="10"/>
      <c r="C20" s="10"/>
      <c r="D20" s="124"/>
      <c r="E20" s="53"/>
      <c r="F20" s="53"/>
      <c r="G20" s="53"/>
      <c r="H20" s="42"/>
      <c r="I20" s="45"/>
      <c r="J20" s="45"/>
      <c r="K20" s="45"/>
      <c r="L20" s="45"/>
      <c r="M20" s="45"/>
    </row>
    <row r="21" spans="1:13" x14ac:dyDescent="0.2">
      <c r="A21" s="292" t="s">
        <v>127</v>
      </c>
      <c r="B21" s="292"/>
      <c r="C21" s="292"/>
      <c r="D21" s="292"/>
      <c r="E21" s="56"/>
      <c r="F21" s="53"/>
      <c r="G21" s="55"/>
      <c r="H21" s="43"/>
      <c r="I21" s="45"/>
      <c r="J21" s="45"/>
      <c r="K21" s="45"/>
      <c r="L21" s="45"/>
      <c r="M21" s="45"/>
    </row>
    <row r="22" spans="1:13" x14ac:dyDescent="0.2">
      <c r="A22" s="321"/>
      <c r="B22" s="322"/>
      <c r="C22" s="322"/>
      <c r="D22" s="323"/>
      <c r="E22" s="56"/>
      <c r="F22" s="53"/>
      <c r="G22" s="55"/>
      <c r="H22" s="43"/>
      <c r="I22" s="45"/>
      <c r="J22" s="45"/>
      <c r="K22" s="45"/>
      <c r="L22" s="45"/>
      <c r="M22" s="45"/>
    </row>
    <row r="23" spans="1:13" x14ac:dyDescent="0.2">
      <c r="A23" s="330" t="s">
        <v>39</v>
      </c>
      <c r="B23" s="330"/>
      <c r="C23" s="330"/>
      <c r="D23" s="330"/>
      <c r="E23" s="56"/>
      <c r="F23" s="53"/>
      <c r="G23" s="55"/>
      <c r="H23" s="43"/>
      <c r="I23" s="45"/>
      <c r="J23" s="45"/>
      <c r="K23" s="45"/>
      <c r="L23" s="45"/>
      <c r="M23" s="45"/>
    </row>
    <row r="24" spans="1:13" x14ac:dyDescent="0.2">
      <c r="A24" s="136" t="s">
        <v>41</v>
      </c>
      <c r="B24" s="136" t="s">
        <v>30</v>
      </c>
      <c r="C24" s="136" t="s">
        <v>1</v>
      </c>
      <c r="D24" s="136" t="s">
        <v>62</v>
      </c>
      <c r="E24" s="56"/>
      <c r="F24" s="53"/>
      <c r="G24" s="53"/>
      <c r="H24" s="42"/>
      <c r="I24" s="45"/>
      <c r="J24" s="45"/>
      <c r="K24" s="45"/>
      <c r="L24" s="45"/>
      <c r="M24" s="45"/>
    </row>
    <row r="25" spans="1:13" x14ac:dyDescent="0.2">
      <c r="A25" s="140" t="s">
        <v>4</v>
      </c>
      <c r="B25" s="142" t="s">
        <v>64</v>
      </c>
      <c r="C25" s="11">
        <f>1/12</f>
        <v>8.3333333333333329E-2</v>
      </c>
      <c r="D25" s="12">
        <f>TRUNC((C25*D18),2)</f>
        <v>271.45</v>
      </c>
      <c r="E25" s="56" t="s">
        <v>56</v>
      </c>
      <c r="F25" s="53"/>
      <c r="G25" s="53"/>
      <c r="H25" s="43"/>
      <c r="I25" s="45"/>
      <c r="J25" s="45"/>
      <c r="K25" s="45"/>
      <c r="L25" s="45"/>
      <c r="M25" s="45"/>
    </row>
    <row r="26" spans="1:13" x14ac:dyDescent="0.2">
      <c r="A26" s="140" t="s">
        <v>5</v>
      </c>
      <c r="B26" s="142" t="s">
        <v>125</v>
      </c>
      <c r="C26" s="11">
        <f>(1/12)+(1/3/12)</f>
        <v>0.1111111111111111</v>
      </c>
      <c r="D26" s="12">
        <f>TRUNC((C26*D18),2)</f>
        <v>361.94</v>
      </c>
      <c r="E26" s="56" t="s">
        <v>56</v>
      </c>
      <c r="F26" s="53"/>
      <c r="G26" s="53"/>
      <c r="H26" s="43"/>
      <c r="I26" s="45"/>
      <c r="J26" s="45"/>
      <c r="K26" s="45"/>
      <c r="L26" s="45"/>
      <c r="M26" s="45"/>
    </row>
    <row r="27" spans="1:13" x14ac:dyDescent="0.2">
      <c r="A27" s="174" t="s">
        <v>6</v>
      </c>
      <c r="B27" s="173" t="s">
        <v>310</v>
      </c>
      <c r="C27" s="11">
        <f>C40</f>
        <v>0.36800000000000005</v>
      </c>
      <c r="D27" s="12">
        <f>TRUNC((C27*(D25+D26)),2)</f>
        <v>233.08</v>
      </c>
      <c r="E27" s="56"/>
      <c r="F27" s="53"/>
      <c r="G27" s="53"/>
      <c r="H27" s="43"/>
      <c r="I27" s="45"/>
      <c r="J27" s="45"/>
      <c r="K27" s="45"/>
      <c r="L27" s="45"/>
      <c r="M27" s="45"/>
    </row>
    <row r="28" spans="1:13" x14ac:dyDescent="0.2">
      <c r="A28" s="291" t="s">
        <v>119</v>
      </c>
      <c r="B28" s="291"/>
      <c r="C28" s="70"/>
      <c r="D28" s="115">
        <f>SUM(D25:D27)</f>
        <v>866.47</v>
      </c>
      <c r="E28" s="56"/>
      <c r="F28" s="53"/>
      <c r="G28" s="53"/>
      <c r="H28" s="43"/>
      <c r="I28" s="45"/>
      <c r="J28" s="45"/>
      <c r="K28" s="45"/>
      <c r="L28" s="45"/>
      <c r="M28" s="45"/>
    </row>
    <row r="29" spans="1:13" x14ac:dyDescent="0.2">
      <c r="A29" s="324"/>
      <c r="B29" s="325"/>
      <c r="C29" s="325"/>
      <c r="D29" s="326"/>
      <c r="E29" s="56"/>
      <c r="F29" s="53"/>
      <c r="G29" s="53"/>
      <c r="H29" s="43"/>
      <c r="I29" s="45"/>
      <c r="J29" s="45"/>
      <c r="K29" s="45"/>
      <c r="L29" s="45"/>
      <c r="M29" s="45"/>
    </row>
    <row r="30" spans="1:13" ht="30" customHeight="1" x14ac:dyDescent="0.2">
      <c r="A30" s="331" t="s">
        <v>128</v>
      </c>
      <c r="B30" s="332"/>
      <c r="C30" s="332"/>
      <c r="D30" s="333"/>
      <c r="E30" s="57"/>
      <c r="F30" s="58"/>
      <c r="G30" s="53"/>
      <c r="H30" s="42"/>
      <c r="I30" s="45"/>
      <c r="J30" s="45"/>
      <c r="K30" s="45"/>
      <c r="L30" s="45"/>
      <c r="M30" s="45"/>
    </row>
    <row r="31" spans="1:13" x14ac:dyDescent="0.2">
      <c r="A31" s="136" t="s">
        <v>42</v>
      </c>
      <c r="B31" s="141" t="s">
        <v>129</v>
      </c>
      <c r="C31" s="136" t="s">
        <v>1</v>
      </c>
      <c r="D31" s="136" t="s">
        <v>62</v>
      </c>
      <c r="E31" s="56"/>
      <c r="F31" s="53"/>
      <c r="G31" s="53"/>
      <c r="H31" s="43"/>
      <c r="I31" s="45"/>
      <c r="J31" s="45"/>
      <c r="K31" s="45"/>
      <c r="L31" s="45"/>
      <c r="M31" s="45"/>
    </row>
    <row r="32" spans="1:13" x14ac:dyDescent="0.2">
      <c r="A32" s="140" t="s">
        <v>4</v>
      </c>
      <c r="B32" s="142" t="s">
        <v>33</v>
      </c>
      <c r="C32" s="11">
        <v>0.2</v>
      </c>
      <c r="D32" s="12">
        <f t="shared" ref="D32:D39" si="0">TRUNC(($D$18)*C32,2)</f>
        <v>651.49</v>
      </c>
      <c r="E32" s="56" t="s">
        <v>56</v>
      </c>
      <c r="F32" s="53"/>
      <c r="G32" s="53"/>
      <c r="H32" s="42"/>
      <c r="I32" s="45"/>
      <c r="J32" s="45"/>
      <c r="K32" s="45"/>
      <c r="L32" s="45"/>
      <c r="M32" s="45"/>
    </row>
    <row r="33" spans="1:13" x14ac:dyDescent="0.2">
      <c r="A33" s="140" t="s">
        <v>5</v>
      </c>
      <c r="B33" s="142" t="s">
        <v>34</v>
      </c>
      <c r="C33" s="11">
        <v>2.5000000000000001E-2</v>
      </c>
      <c r="D33" s="12">
        <f t="shared" si="0"/>
        <v>81.430000000000007</v>
      </c>
      <c r="E33" s="56" t="s">
        <v>57</v>
      </c>
      <c r="F33" s="53"/>
      <c r="G33" s="53"/>
      <c r="H33" s="42"/>
      <c r="I33" s="45"/>
      <c r="J33" s="45"/>
      <c r="K33" s="45"/>
      <c r="L33" s="45"/>
      <c r="M33" s="45"/>
    </row>
    <row r="34" spans="1:13" x14ac:dyDescent="0.2">
      <c r="A34" s="140" t="s">
        <v>6</v>
      </c>
      <c r="B34" s="142" t="s">
        <v>148</v>
      </c>
      <c r="C34" s="11">
        <f>3*1%</f>
        <v>0.03</v>
      </c>
      <c r="D34" s="12">
        <f t="shared" si="0"/>
        <v>97.72</v>
      </c>
      <c r="E34" s="56" t="s">
        <v>150</v>
      </c>
      <c r="F34" s="53"/>
      <c r="G34" s="53"/>
      <c r="H34" s="42"/>
      <c r="I34" s="45"/>
      <c r="J34" s="45"/>
      <c r="K34" s="45"/>
      <c r="L34" s="45"/>
      <c r="M34" s="45"/>
    </row>
    <row r="35" spans="1:13" x14ac:dyDescent="0.2">
      <c r="A35" s="140" t="s">
        <v>7</v>
      </c>
      <c r="B35" s="142" t="s">
        <v>32</v>
      </c>
      <c r="C35" s="11">
        <v>1.4999999999999999E-2</v>
      </c>
      <c r="D35" s="12">
        <f t="shared" si="0"/>
        <v>48.86</v>
      </c>
      <c r="E35" s="56" t="s">
        <v>57</v>
      </c>
      <c r="F35" s="53"/>
      <c r="G35" s="53"/>
      <c r="H35" s="42"/>
      <c r="I35" s="45"/>
      <c r="J35" s="45"/>
      <c r="K35" s="45"/>
      <c r="L35" s="45"/>
      <c r="M35" s="45"/>
    </row>
    <row r="36" spans="1:13" x14ac:dyDescent="0.2">
      <c r="A36" s="140" t="s">
        <v>8</v>
      </c>
      <c r="B36" s="142" t="s">
        <v>35</v>
      </c>
      <c r="C36" s="11">
        <v>0.01</v>
      </c>
      <c r="D36" s="12">
        <f t="shared" si="0"/>
        <v>32.57</v>
      </c>
      <c r="E36" s="56" t="s">
        <v>57</v>
      </c>
      <c r="F36" s="53"/>
      <c r="G36" s="53"/>
      <c r="H36" s="42"/>
      <c r="I36" s="45"/>
      <c r="J36" s="45"/>
      <c r="K36" s="45"/>
      <c r="L36" s="45"/>
      <c r="M36" s="45"/>
    </row>
    <row r="37" spans="1:13" x14ac:dyDescent="0.2">
      <c r="A37" s="140" t="s">
        <v>9</v>
      </c>
      <c r="B37" s="142" t="s">
        <v>36</v>
      </c>
      <c r="C37" s="11">
        <v>6.0000000000000001E-3</v>
      </c>
      <c r="D37" s="12">
        <f t="shared" si="0"/>
        <v>19.54</v>
      </c>
      <c r="E37" s="56" t="s">
        <v>57</v>
      </c>
      <c r="F37" s="53"/>
      <c r="G37" s="53"/>
      <c r="H37" s="42"/>
      <c r="I37" s="45"/>
      <c r="J37" s="45"/>
      <c r="K37" s="45"/>
      <c r="L37" s="45"/>
      <c r="M37" s="45"/>
    </row>
    <row r="38" spans="1:13" x14ac:dyDescent="0.2">
      <c r="A38" s="140" t="s">
        <v>10</v>
      </c>
      <c r="B38" s="142" t="s">
        <v>37</v>
      </c>
      <c r="C38" s="11">
        <v>2E-3</v>
      </c>
      <c r="D38" s="12">
        <f t="shared" si="0"/>
        <v>6.51</v>
      </c>
      <c r="E38" s="56" t="s">
        <v>57</v>
      </c>
      <c r="F38" s="53"/>
      <c r="G38" s="53"/>
      <c r="H38" s="42"/>
      <c r="I38" s="45"/>
      <c r="J38" s="45"/>
      <c r="K38" s="45"/>
      <c r="L38" s="45"/>
      <c r="M38" s="45"/>
    </row>
    <row r="39" spans="1:13" x14ac:dyDescent="0.2">
      <c r="A39" s="140" t="s">
        <v>11</v>
      </c>
      <c r="B39" s="142" t="s">
        <v>38</v>
      </c>
      <c r="C39" s="11">
        <v>0.08</v>
      </c>
      <c r="D39" s="12">
        <f t="shared" si="0"/>
        <v>260.58999999999997</v>
      </c>
      <c r="E39" s="56" t="s">
        <v>56</v>
      </c>
      <c r="F39" s="53"/>
      <c r="G39" s="53"/>
      <c r="H39" s="42"/>
      <c r="I39" s="45"/>
      <c r="J39" s="45"/>
      <c r="K39" s="45"/>
      <c r="L39" s="45"/>
      <c r="M39" s="45"/>
    </row>
    <row r="40" spans="1:13" x14ac:dyDescent="0.2">
      <c r="A40" s="334" t="s">
        <v>119</v>
      </c>
      <c r="B40" s="334"/>
      <c r="C40" s="126">
        <f>SUM(C32:C39)</f>
        <v>0.36800000000000005</v>
      </c>
      <c r="D40" s="127">
        <f>SUM(D32:D39)</f>
        <v>1198.71</v>
      </c>
      <c r="E40" s="56"/>
      <c r="F40" s="53"/>
      <c r="G40" s="53"/>
      <c r="H40" s="42"/>
      <c r="I40" s="45"/>
      <c r="J40" s="45"/>
      <c r="K40" s="45"/>
      <c r="L40" s="45"/>
      <c r="M40" s="45"/>
    </row>
    <row r="41" spans="1:13" x14ac:dyDescent="0.2">
      <c r="A41" s="327"/>
      <c r="B41" s="328"/>
      <c r="C41" s="328"/>
      <c r="D41" s="329"/>
      <c r="E41" s="56"/>
      <c r="F41" s="53"/>
      <c r="G41" s="53"/>
      <c r="H41" s="42"/>
      <c r="I41" s="49"/>
      <c r="J41" s="45"/>
      <c r="K41" s="45"/>
      <c r="L41" s="45"/>
      <c r="M41" s="45"/>
    </row>
    <row r="42" spans="1:13" x14ac:dyDescent="0.2">
      <c r="A42" s="331" t="s">
        <v>40</v>
      </c>
      <c r="B42" s="332"/>
      <c r="C42" s="332"/>
      <c r="D42" s="333"/>
      <c r="E42" s="56"/>
      <c r="F42" s="53"/>
      <c r="G42" s="53"/>
      <c r="H42" s="42"/>
      <c r="I42" s="45"/>
      <c r="J42" s="45"/>
      <c r="K42" s="45"/>
      <c r="L42" s="45"/>
      <c r="M42" s="45"/>
    </row>
    <row r="43" spans="1:13" s="4" customFormat="1" x14ac:dyDescent="0.2">
      <c r="A43" s="136" t="s">
        <v>43</v>
      </c>
      <c r="B43" s="141" t="s">
        <v>44</v>
      </c>
      <c r="C43" s="136"/>
      <c r="D43" s="136" t="s">
        <v>62</v>
      </c>
      <c r="E43" s="59"/>
      <c r="F43" s="60"/>
      <c r="G43" s="60"/>
      <c r="H43" s="44"/>
      <c r="I43" s="46"/>
      <c r="J43" s="46"/>
      <c r="K43" s="46"/>
      <c r="L43" s="46"/>
      <c r="M43" s="46"/>
    </row>
    <row r="44" spans="1:13" x14ac:dyDescent="0.2">
      <c r="A44" s="140" t="s">
        <v>4</v>
      </c>
      <c r="B44" s="41" t="s">
        <v>54</v>
      </c>
      <c r="C44" s="69"/>
      <c r="D44" s="15">
        <f>TRUNC((8.55*2*22)-(D12*6%),2)</f>
        <v>180.75</v>
      </c>
      <c r="E44" s="313" t="s">
        <v>160</v>
      </c>
      <c r="F44" s="313"/>
      <c r="G44" s="313"/>
      <c r="H44" s="313"/>
      <c r="I44" s="313"/>
      <c r="J44" s="45"/>
      <c r="K44" s="45"/>
      <c r="L44" s="45"/>
      <c r="M44" s="45"/>
    </row>
    <row r="45" spans="1:13" ht="12.75" customHeight="1" x14ac:dyDescent="0.2">
      <c r="A45" s="140" t="s">
        <v>5</v>
      </c>
      <c r="B45" s="41" t="s">
        <v>55</v>
      </c>
      <c r="C45" s="69"/>
      <c r="D45" s="15">
        <f>TRUNC((15*22),2)</f>
        <v>330</v>
      </c>
      <c r="E45" s="121" t="s">
        <v>58</v>
      </c>
      <c r="F45" s="122"/>
      <c r="G45" s="122"/>
      <c r="H45" s="122"/>
      <c r="I45" s="122"/>
      <c r="J45" s="45"/>
      <c r="K45" s="45"/>
      <c r="L45" s="45"/>
      <c r="M45" s="45"/>
    </row>
    <row r="46" spans="1:13" x14ac:dyDescent="0.2">
      <c r="A46" s="140" t="s">
        <v>6</v>
      </c>
      <c r="B46" s="41" t="s">
        <v>205</v>
      </c>
      <c r="C46" s="69"/>
      <c r="D46" s="15">
        <f>22*3</f>
        <v>66</v>
      </c>
      <c r="E46" s="56" t="s">
        <v>206</v>
      </c>
      <c r="F46" s="53"/>
      <c r="G46" s="53"/>
      <c r="H46" s="42"/>
      <c r="I46" s="45"/>
      <c r="J46" s="45"/>
      <c r="K46" s="45"/>
      <c r="L46" s="45"/>
      <c r="M46" s="45"/>
    </row>
    <row r="47" spans="1:13" s="77" customFormat="1" x14ac:dyDescent="0.2">
      <c r="A47" s="140" t="s">
        <v>7</v>
      </c>
      <c r="B47" s="41" t="s">
        <v>203</v>
      </c>
      <c r="C47" s="69"/>
      <c r="D47" s="15">
        <v>5</v>
      </c>
      <c r="E47" s="56"/>
      <c r="F47" s="53"/>
      <c r="G47" s="53"/>
      <c r="H47" s="42"/>
      <c r="I47" s="45"/>
      <c r="J47" s="45"/>
      <c r="K47" s="45"/>
      <c r="L47" s="45"/>
      <c r="M47" s="45"/>
    </row>
    <row r="48" spans="1:13" s="77" customFormat="1" x14ac:dyDescent="0.2">
      <c r="A48" s="140" t="s">
        <v>8</v>
      </c>
      <c r="B48" s="41" t="s">
        <v>2</v>
      </c>
      <c r="C48" s="69"/>
      <c r="D48" s="15">
        <v>0</v>
      </c>
      <c r="E48" s="56"/>
      <c r="F48" s="53"/>
      <c r="G48" s="53"/>
      <c r="H48" s="42"/>
      <c r="I48" s="45"/>
      <c r="J48" s="45"/>
      <c r="K48" s="45"/>
      <c r="L48" s="45"/>
      <c r="M48" s="45"/>
    </row>
    <row r="49" spans="1:13" x14ac:dyDescent="0.2">
      <c r="A49" s="334" t="s">
        <v>119</v>
      </c>
      <c r="B49" s="334"/>
      <c r="C49" s="334"/>
      <c r="D49" s="127">
        <f>SUM(D44:D48)</f>
        <v>581.75</v>
      </c>
      <c r="E49" s="56"/>
      <c r="F49" s="53"/>
      <c r="G49" s="53"/>
      <c r="H49" s="42"/>
      <c r="I49" s="45"/>
      <c r="J49" s="45"/>
      <c r="K49" s="45"/>
      <c r="L49" s="45"/>
      <c r="M49" s="45"/>
    </row>
    <row r="50" spans="1:13" x14ac:dyDescent="0.2">
      <c r="A50" s="324"/>
      <c r="B50" s="325"/>
      <c r="C50" s="325"/>
      <c r="D50" s="326"/>
      <c r="E50" s="56"/>
      <c r="F50" s="53"/>
      <c r="G50" s="53"/>
      <c r="H50" s="42"/>
      <c r="I50" s="45"/>
      <c r="J50" s="45"/>
      <c r="K50" s="45"/>
      <c r="L50" s="45"/>
      <c r="M50" s="45"/>
    </row>
    <row r="51" spans="1:13" x14ac:dyDescent="0.2">
      <c r="A51" s="335" t="s">
        <v>131</v>
      </c>
      <c r="B51" s="335"/>
      <c r="C51" s="335"/>
      <c r="D51" s="335"/>
      <c r="E51" s="56"/>
      <c r="F51" s="53"/>
      <c r="G51" s="53"/>
      <c r="H51" s="42"/>
      <c r="I51" s="45"/>
      <c r="J51" s="45"/>
      <c r="K51" s="45"/>
      <c r="L51" s="45"/>
      <c r="M51" s="45"/>
    </row>
    <row r="52" spans="1:13" x14ac:dyDescent="0.2">
      <c r="A52" s="136">
        <v>2</v>
      </c>
      <c r="B52" s="336" t="s">
        <v>130</v>
      </c>
      <c r="C52" s="337"/>
      <c r="D52" s="136" t="s">
        <v>62</v>
      </c>
      <c r="E52" s="56"/>
      <c r="F52" s="53"/>
      <c r="G52" s="53"/>
      <c r="H52" s="42"/>
      <c r="I52" s="45"/>
      <c r="J52" s="45"/>
      <c r="K52" s="45"/>
      <c r="L52" s="45"/>
      <c r="M52" s="45"/>
    </row>
    <row r="53" spans="1:13" x14ac:dyDescent="0.2">
      <c r="A53" s="140" t="s">
        <v>41</v>
      </c>
      <c r="B53" s="338" t="s">
        <v>30</v>
      </c>
      <c r="C53" s="338"/>
      <c r="D53" s="12">
        <f>D28</f>
        <v>866.47</v>
      </c>
      <c r="E53" s="56"/>
      <c r="F53" s="53"/>
      <c r="G53" s="53"/>
      <c r="H53" s="42"/>
      <c r="I53" s="45"/>
      <c r="J53" s="45"/>
      <c r="K53" s="45"/>
      <c r="L53" s="45"/>
      <c r="M53" s="45"/>
    </row>
    <row r="54" spans="1:13" x14ac:dyDescent="0.2">
      <c r="A54" s="140" t="s">
        <v>42</v>
      </c>
      <c r="B54" s="338" t="s">
        <v>31</v>
      </c>
      <c r="C54" s="338"/>
      <c r="D54" s="12">
        <f>D40</f>
        <v>1198.71</v>
      </c>
      <c r="E54" s="56"/>
      <c r="F54" s="53"/>
      <c r="G54" s="53"/>
      <c r="H54" s="42"/>
      <c r="I54" s="45"/>
      <c r="J54" s="45"/>
      <c r="K54" s="45"/>
      <c r="L54" s="45"/>
      <c r="M54" s="45"/>
    </row>
    <row r="55" spans="1:13" x14ac:dyDescent="0.2">
      <c r="A55" s="140" t="s">
        <v>43</v>
      </c>
      <c r="B55" s="338" t="s">
        <v>44</v>
      </c>
      <c r="C55" s="338"/>
      <c r="D55" s="12">
        <f>D49</f>
        <v>581.75</v>
      </c>
      <c r="E55" s="56"/>
      <c r="F55" s="53"/>
      <c r="G55" s="53"/>
      <c r="H55" s="42"/>
      <c r="I55" s="45"/>
      <c r="J55" s="45"/>
      <c r="K55" s="45"/>
      <c r="L55" s="45"/>
      <c r="M55" s="45"/>
    </row>
    <row r="56" spans="1:13" x14ac:dyDescent="0.2">
      <c r="A56" s="291" t="s">
        <v>119</v>
      </c>
      <c r="B56" s="291"/>
      <c r="C56" s="291"/>
      <c r="D56" s="115">
        <f>SUM(D53:D55)</f>
        <v>2646.9300000000003</v>
      </c>
      <c r="E56" s="56"/>
      <c r="F56" s="53"/>
      <c r="G56" s="53"/>
      <c r="H56" s="42"/>
      <c r="I56" s="45"/>
      <c r="J56" s="45"/>
      <c r="K56" s="45"/>
      <c r="L56" s="45"/>
      <c r="M56" s="45"/>
    </row>
    <row r="57" spans="1:13" x14ac:dyDescent="0.2">
      <c r="A57" s="325"/>
      <c r="B57" s="325"/>
      <c r="C57" s="325"/>
      <c r="D57" s="325"/>
      <c r="E57" s="56"/>
      <c r="F57" s="53"/>
      <c r="G57" s="53"/>
      <c r="H57" s="42"/>
      <c r="I57" s="45"/>
      <c r="J57" s="45"/>
      <c r="K57" s="45"/>
      <c r="L57" s="45"/>
      <c r="M57" s="45"/>
    </row>
    <row r="58" spans="1:13" x14ac:dyDescent="0.2">
      <c r="A58" s="135"/>
      <c r="B58" s="135"/>
      <c r="C58" s="135"/>
      <c r="D58" s="135"/>
      <c r="E58" s="56"/>
      <c r="F58" s="53"/>
      <c r="G58" s="53"/>
      <c r="H58" s="42"/>
      <c r="I58" s="45"/>
      <c r="J58" s="45"/>
      <c r="K58" s="45"/>
      <c r="L58" s="45"/>
      <c r="M58" s="45"/>
    </row>
    <row r="59" spans="1:13" x14ac:dyDescent="0.2">
      <c r="A59" s="292" t="s">
        <v>133</v>
      </c>
      <c r="B59" s="292"/>
      <c r="C59" s="292"/>
      <c r="D59" s="292"/>
      <c r="E59" s="56"/>
      <c r="F59" s="53"/>
      <c r="G59" s="53"/>
      <c r="H59" s="42"/>
      <c r="I59" s="45"/>
      <c r="J59" s="45"/>
      <c r="K59" s="45"/>
      <c r="L59" s="45"/>
      <c r="M59" s="45"/>
    </row>
    <row r="60" spans="1:13" x14ac:dyDescent="0.2">
      <c r="A60" s="136">
        <v>3</v>
      </c>
      <c r="B60" s="136" t="s">
        <v>120</v>
      </c>
      <c r="C60" s="136" t="s">
        <v>1</v>
      </c>
      <c r="D60" s="136" t="s">
        <v>62</v>
      </c>
      <c r="E60" s="61"/>
      <c r="F60" s="53"/>
      <c r="G60" s="53"/>
      <c r="H60" s="42"/>
      <c r="I60" s="45"/>
      <c r="J60" s="45"/>
      <c r="K60" s="45"/>
      <c r="L60" s="45"/>
      <c r="M60" s="45"/>
    </row>
    <row r="61" spans="1:13" x14ac:dyDescent="0.2">
      <c r="A61" s="140" t="s">
        <v>4</v>
      </c>
      <c r="B61" s="142" t="s">
        <v>47</v>
      </c>
      <c r="C61" s="11">
        <f>((1/12)*5%)</f>
        <v>4.1666666666666666E-3</v>
      </c>
      <c r="D61" s="12">
        <f>TRUNC(($D$18*C61),2)</f>
        <v>13.57</v>
      </c>
      <c r="E61" s="56" t="s">
        <v>132</v>
      </c>
      <c r="F61" s="53"/>
      <c r="G61" s="53"/>
      <c r="H61" s="42"/>
      <c r="I61" s="45"/>
      <c r="J61" s="47"/>
      <c r="K61" s="45"/>
      <c r="L61" s="45"/>
      <c r="M61" s="45"/>
    </row>
    <row r="62" spans="1:13" x14ac:dyDescent="0.2">
      <c r="A62" s="140" t="s">
        <v>5</v>
      </c>
      <c r="B62" s="142" t="s">
        <v>46</v>
      </c>
      <c r="C62" s="11">
        <f>0.08*C61</f>
        <v>3.3333333333333332E-4</v>
      </c>
      <c r="D62" s="12">
        <f>TRUNC((C62*D18),2)</f>
        <v>1.08</v>
      </c>
      <c r="E62" s="56" t="s">
        <v>59</v>
      </c>
      <c r="F62" s="53"/>
      <c r="G62" s="53"/>
      <c r="H62" s="42"/>
      <c r="I62" s="45"/>
      <c r="J62" s="48"/>
      <c r="K62" s="45"/>
      <c r="L62" s="45"/>
      <c r="M62" s="45"/>
    </row>
    <row r="63" spans="1:13" x14ac:dyDescent="0.2">
      <c r="A63" s="140" t="s">
        <v>6</v>
      </c>
      <c r="B63" s="142" t="s">
        <v>175</v>
      </c>
      <c r="C63" s="11">
        <f>8%*(40%)*90%*(1+C28)</f>
        <v>2.8800000000000003E-2</v>
      </c>
      <c r="D63" s="12">
        <f>TRUNC((C63*D18),2)</f>
        <v>93.81</v>
      </c>
      <c r="E63" s="56" t="s">
        <v>169</v>
      </c>
      <c r="F63" s="53"/>
      <c r="G63" s="53"/>
      <c r="H63" s="42"/>
      <c r="I63" s="45"/>
      <c r="J63" s="48"/>
      <c r="K63" s="45"/>
      <c r="L63" s="45"/>
      <c r="M63" s="45"/>
    </row>
    <row r="64" spans="1:13" x14ac:dyDescent="0.2">
      <c r="A64" s="140" t="s">
        <v>7</v>
      </c>
      <c r="B64" s="142" t="s">
        <v>45</v>
      </c>
      <c r="C64" s="11">
        <f>((1/30)*7)/12</f>
        <v>1.9444444444444445E-2</v>
      </c>
      <c r="D64" s="12">
        <f>TRUNC(($D$18*C64),2)</f>
        <v>63.34</v>
      </c>
      <c r="E64" s="56" t="s">
        <v>60</v>
      </c>
      <c r="F64" s="53"/>
      <c r="G64" s="53"/>
      <c r="H64" s="42"/>
      <c r="I64" s="45"/>
      <c r="J64" s="49"/>
      <c r="K64" s="45"/>
      <c r="L64" s="45"/>
      <c r="M64" s="45"/>
    </row>
    <row r="65" spans="1:13" x14ac:dyDescent="0.2">
      <c r="A65" s="140" t="s">
        <v>8</v>
      </c>
      <c r="B65" s="142" t="s">
        <v>48</v>
      </c>
      <c r="C65" s="11">
        <f>C40*C64</f>
        <v>7.1555555555555565E-3</v>
      </c>
      <c r="D65" s="12">
        <f>TRUNC(($D$18*C65),2)</f>
        <v>23.3</v>
      </c>
      <c r="E65" s="59" t="s">
        <v>61</v>
      </c>
      <c r="F65" s="62"/>
      <c r="G65" s="53"/>
      <c r="H65" s="42"/>
      <c r="I65" s="45"/>
      <c r="J65" s="49"/>
      <c r="K65" s="45"/>
      <c r="L65" s="45"/>
      <c r="M65" s="45"/>
    </row>
    <row r="66" spans="1:13" ht="12.75" customHeight="1" x14ac:dyDescent="0.2">
      <c r="A66" s="140" t="s">
        <v>9</v>
      </c>
      <c r="B66" s="142" t="s">
        <v>176</v>
      </c>
      <c r="C66" s="11">
        <f>(8%*(40%))*C65</f>
        <v>2.2897777777777781E-4</v>
      </c>
      <c r="D66" s="12">
        <f>TRUNC((C66*(D18+D28)),2)</f>
        <v>0.94</v>
      </c>
      <c r="E66" s="317" t="s">
        <v>170</v>
      </c>
      <c r="F66" s="317"/>
      <c r="G66" s="317"/>
      <c r="H66" s="317"/>
      <c r="I66" s="317"/>
      <c r="J66" s="48"/>
      <c r="K66" s="45"/>
      <c r="L66" s="45"/>
      <c r="M66" s="45"/>
    </row>
    <row r="67" spans="1:13" x14ac:dyDescent="0.2">
      <c r="A67" s="291" t="s">
        <v>119</v>
      </c>
      <c r="B67" s="291"/>
      <c r="C67" s="70">
        <f>TRUNC(SUM(C61:C66),4)</f>
        <v>6.0100000000000001E-2</v>
      </c>
      <c r="D67" s="115">
        <f>SUM(D61:D66)</f>
        <v>196.04000000000002</v>
      </c>
      <c r="E67" s="56"/>
      <c r="F67" s="53"/>
      <c r="G67" s="53"/>
      <c r="H67" s="42"/>
      <c r="I67" s="45"/>
      <c r="J67" s="45"/>
      <c r="K67" s="45"/>
      <c r="L67" s="45"/>
      <c r="M67" s="45"/>
    </row>
    <row r="68" spans="1:13" x14ac:dyDescent="0.2">
      <c r="A68" s="318"/>
      <c r="B68" s="318"/>
      <c r="C68" s="318"/>
      <c r="D68" s="318"/>
      <c r="E68" s="56"/>
      <c r="F68" s="53"/>
      <c r="G68" s="53"/>
      <c r="H68" s="42"/>
      <c r="I68" s="45"/>
      <c r="J68" s="45"/>
      <c r="K68" s="45"/>
      <c r="L68" s="45"/>
      <c r="M68" s="45"/>
    </row>
    <row r="69" spans="1:13" x14ac:dyDescent="0.2">
      <c r="A69" s="135"/>
      <c r="B69" s="135"/>
      <c r="C69" s="135"/>
      <c r="D69" s="135"/>
      <c r="E69" s="56"/>
      <c r="F69" s="53"/>
      <c r="G69" s="53"/>
      <c r="H69" s="42"/>
      <c r="I69" s="45"/>
      <c r="J69" s="45"/>
      <c r="K69" s="45"/>
      <c r="L69" s="45"/>
      <c r="M69" s="45"/>
    </row>
    <row r="70" spans="1:13" x14ac:dyDescent="0.2">
      <c r="A70" s="292" t="s">
        <v>134</v>
      </c>
      <c r="B70" s="292"/>
      <c r="C70" s="292"/>
      <c r="D70" s="292"/>
      <c r="E70" s="56"/>
      <c r="F70" s="53"/>
      <c r="G70" s="53"/>
      <c r="H70" s="42"/>
      <c r="I70" s="45"/>
      <c r="J70" s="45"/>
      <c r="K70" s="45"/>
      <c r="L70" s="45"/>
      <c r="M70" s="45"/>
    </row>
    <row r="71" spans="1:13" x14ac:dyDescent="0.2">
      <c r="A71" s="314" t="s">
        <v>163</v>
      </c>
      <c r="B71" s="315"/>
      <c r="C71" s="315"/>
      <c r="D71" s="316"/>
      <c r="E71" s="56"/>
      <c r="F71" s="53"/>
      <c r="G71" s="53"/>
      <c r="H71" s="42"/>
      <c r="I71" s="45"/>
      <c r="J71" s="45"/>
      <c r="K71" s="45"/>
      <c r="L71" s="45"/>
      <c r="M71" s="45"/>
    </row>
    <row r="72" spans="1:13" x14ac:dyDescent="0.2">
      <c r="A72" s="136" t="s">
        <v>13</v>
      </c>
      <c r="B72" s="136" t="s">
        <v>164</v>
      </c>
      <c r="C72" s="136" t="s">
        <v>1</v>
      </c>
      <c r="D72" s="136" t="s">
        <v>62</v>
      </c>
      <c r="E72" s="56"/>
      <c r="F72" s="53"/>
      <c r="G72" s="53"/>
      <c r="H72" s="42"/>
      <c r="I72" s="50"/>
      <c r="J72" s="45"/>
      <c r="K72" s="45"/>
      <c r="L72" s="45"/>
      <c r="M72" s="45"/>
    </row>
    <row r="73" spans="1:13" x14ac:dyDescent="0.2">
      <c r="A73" s="140" t="s">
        <v>4</v>
      </c>
      <c r="B73" s="142" t="s">
        <v>171</v>
      </c>
      <c r="C73" s="11">
        <f>1/12</f>
        <v>8.3333333333333329E-2</v>
      </c>
      <c r="D73" s="12">
        <f>TRUNC(($D$18*C73),2)</f>
        <v>271.45</v>
      </c>
      <c r="E73" s="56"/>
      <c r="F73" s="53"/>
      <c r="G73" s="53"/>
      <c r="H73" s="42"/>
      <c r="I73" s="50"/>
      <c r="J73" s="45"/>
      <c r="K73" s="45"/>
      <c r="L73" s="45"/>
      <c r="M73" s="45"/>
    </row>
    <row r="74" spans="1:13" x14ac:dyDescent="0.2">
      <c r="A74" s="140" t="s">
        <v>5</v>
      </c>
      <c r="B74" s="142" t="s">
        <v>151</v>
      </c>
      <c r="C74" s="11">
        <f>5.96/30/12</f>
        <v>1.6555555555555556E-2</v>
      </c>
      <c r="D74" s="12">
        <f>TRUNC(($D$18*C74),2)</f>
        <v>53.92</v>
      </c>
      <c r="E74" s="59" t="s">
        <v>172</v>
      </c>
      <c r="F74" s="53"/>
      <c r="G74" s="53"/>
      <c r="H74" s="42"/>
      <c r="I74" s="50"/>
      <c r="J74" s="45"/>
      <c r="K74" s="45"/>
      <c r="L74" s="45"/>
      <c r="M74" s="45"/>
    </row>
    <row r="75" spans="1:13" x14ac:dyDescent="0.2">
      <c r="A75" s="140" t="s">
        <v>6</v>
      </c>
      <c r="B75" s="142" t="s">
        <v>152</v>
      </c>
      <c r="C75" s="11">
        <f>(1/30/12)*5*1.5%</f>
        <v>2.0833333333333335E-4</v>
      </c>
      <c r="D75" s="12">
        <f>TRUNC(($D$18*C75),2)</f>
        <v>0.67</v>
      </c>
      <c r="E75" s="59" t="s">
        <v>135</v>
      </c>
      <c r="F75" s="53"/>
      <c r="G75" s="53"/>
      <c r="H75" s="42"/>
      <c r="I75" s="45"/>
      <c r="J75" s="45"/>
      <c r="K75" s="45"/>
      <c r="L75" s="45"/>
      <c r="M75" s="45"/>
    </row>
    <row r="76" spans="1:13" x14ac:dyDescent="0.2">
      <c r="A76" s="140" t="s">
        <v>7</v>
      </c>
      <c r="B76" s="142" t="s">
        <v>153</v>
      </c>
      <c r="C76" s="11">
        <f>(15/30/12)*8%</f>
        <v>3.3333333333333331E-3</v>
      </c>
      <c r="D76" s="12">
        <f>TRUNC(($D$18*C76),2)</f>
        <v>10.85</v>
      </c>
      <c r="E76" s="59" t="s">
        <v>173</v>
      </c>
      <c r="F76" s="60"/>
      <c r="G76" s="60"/>
      <c r="H76" s="42"/>
      <c r="I76" s="45"/>
      <c r="J76" s="45"/>
      <c r="K76" s="45"/>
      <c r="L76" s="45"/>
      <c r="M76" s="45"/>
    </row>
    <row r="77" spans="1:13" x14ac:dyDescent="0.2">
      <c r="A77" s="140" t="s">
        <v>8</v>
      </c>
      <c r="B77" s="142" t="s">
        <v>154</v>
      </c>
      <c r="C77" s="11">
        <f>(4/12)/12*2%</f>
        <v>5.5555555555555556E-4</v>
      </c>
      <c r="D77" s="12">
        <f>TRUNC(($D$18*C77),2)</f>
        <v>1.8</v>
      </c>
      <c r="E77" s="59" t="s">
        <v>174</v>
      </c>
      <c r="F77" s="63"/>
      <c r="G77" s="53"/>
      <c r="H77" s="42"/>
      <c r="I77" s="45"/>
      <c r="J77" s="45"/>
      <c r="K77" s="45"/>
      <c r="L77" s="45"/>
      <c r="M77" s="45"/>
    </row>
    <row r="78" spans="1:13" x14ac:dyDescent="0.2">
      <c r="A78" s="140" t="s">
        <v>9</v>
      </c>
      <c r="B78" s="142" t="s">
        <v>183</v>
      </c>
      <c r="C78" s="11">
        <v>0</v>
      </c>
      <c r="D78" s="12">
        <f>TRUNC((C78*D18),2)</f>
        <v>0</v>
      </c>
      <c r="E78" s="59" t="s">
        <v>182</v>
      </c>
      <c r="F78" s="64"/>
      <c r="G78" s="60"/>
      <c r="H78" s="44"/>
      <c r="I78" s="45"/>
      <c r="J78" s="45"/>
      <c r="K78" s="45"/>
      <c r="L78" s="45"/>
      <c r="M78" s="45"/>
    </row>
    <row r="79" spans="1:13" x14ac:dyDescent="0.2">
      <c r="A79" s="291" t="s">
        <v>119</v>
      </c>
      <c r="B79" s="291"/>
      <c r="C79" s="70">
        <f>TRUNC(SUM(C73:C78),4)</f>
        <v>0.10390000000000001</v>
      </c>
      <c r="D79" s="115">
        <f>SUM(D73:D78)</f>
        <v>338.69000000000005</v>
      </c>
      <c r="E79" s="56"/>
      <c r="F79" s="53"/>
      <c r="G79" s="53"/>
      <c r="H79" s="42"/>
      <c r="I79" s="45"/>
      <c r="J79" s="45"/>
      <c r="K79" s="45"/>
      <c r="L79" s="45"/>
      <c r="M79" s="45"/>
    </row>
    <row r="80" spans="1:13" x14ac:dyDescent="0.2">
      <c r="A80" s="128"/>
      <c r="B80" s="129"/>
      <c r="C80" s="129"/>
      <c r="D80" s="130"/>
      <c r="E80" s="56"/>
      <c r="F80" s="53"/>
      <c r="G80" s="53"/>
      <c r="H80" s="42"/>
      <c r="I80" s="45"/>
      <c r="J80" s="45"/>
      <c r="K80" s="45"/>
      <c r="L80" s="45"/>
      <c r="M80" s="45"/>
    </row>
    <row r="81" spans="1:13" x14ac:dyDescent="0.2">
      <c r="A81" s="314" t="s">
        <v>165</v>
      </c>
      <c r="B81" s="315"/>
      <c r="C81" s="315"/>
      <c r="D81" s="316"/>
      <c r="E81" s="56"/>
      <c r="F81" s="53"/>
      <c r="G81" s="53"/>
      <c r="H81" s="42"/>
      <c r="I81" s="45"/>
      <c r="J81" s="45"/>
      <c r="K81" s="45"/>
      <c r="L81" s="45"/>
      <c r="M81" s="45"/>
    </row>
    <row r="82" spans="1:13" x14ac:dyDescent="0.2">
      <c r="A82" s="136" t="s">
        <v>14</v>
      </c>
      <c r="B82" s="95" t="s">
        <v>166</v>
      </c>
      <c r="C82" s="95" t="s">
        <v>1</v>
      </c>
      <c r="D82" s="136" t="s">
        <v>62</v>
      </c>
      <c r="E82" s="56"/>
      <c r="F82" s="53"/>
      <c r="G82" s="53"/>
      <c r="H82" s="42"/>
      <c r="I82" s="45"/>
      <c r="J82" s="45"/>
      <c r="K82" s="45"/>
      <c r="L82" s="45"/>
      <c r="M82" s="45"/>
    </row>
    <row r="83" spans="1:13" x14ac:dyDescent="0.2">
      <c r="A83" s="140" t="s">
        <v>4</v>
      </c>
      <c r="B83" s="142" t="s">
        <v>167</v>
      </c>
      <c r="C83" s="11">
        <v>0</v>
      </c>
      <c r="D83" s="12">
        <f>TRUNC(($D$18*C83),2)</f>
        <v>0</v>
      </c>
      <c r="E83" s="56"/>
      <c r="F83" s="53"/>
      <c r="G83" s="53"/>
      <c r="H83" s="42"/>
      <c r="I83" s="45"/>
      <c r="J83" s="45"/>
      <c r="K83" s="45"/>
      <c r="L83" s="45"/>
      <c r="M83" s="45"/>
    </row>
    <row r="84" spans="1:13" x14ac:dyDescent="0.2">
      <c r="A84" s="291" t="s">
        <v>119</v>
      </c>
      <c r="B84" s="291"/>
      <c r="C84" s="70">
        <f>TRUNC(SUM(C83),4)</f>
        <v>0</v>
      </c>
      <c r="D84" s="115">
        <f>SUM(D83)</f>
        <v>0</v>
      </c>
      <c r="E84" s="56"/>
      <c r="F84" s="53"/>
      <c r="G84" s="53"/>
      <c r="H84" s="42"/>
      <c r="I84" s="45"/>
      <c r="J84" s="45"/>
      <c r="K84" s="45"/>
      <c r="L84" s="45"/>
      <c r="M84" s="45"/>
    </row>
    <row r="85" spans="1:13" x14ac:dyDescent="0.2">
      <c r="A85" s="137"/>
      <c r="B85" s="138"/>
      <c r="C85" s="138"/>
      <c r="D85" s="139"/>
      <c r="E85" s="56"/>
      <c r="F85" s="53"/>
      <c r="G85" s="53"/>
      <c r="H85" s="42"/>
      <c r="I85" s="45"/>
      <c r="J85" s="45"/>
      <c r="K85" s="45"/>
      <c r="L85" s="45"/>
      <c r="M85" s="45"/>
    </row>
    <row r="86" spans="1:13" x14ac:dyDescent="0.2">
      <c r="A86" s="314" t="s">
        <v>136</v>
      </c>
      <c r="B86" s="315"/>
      <c r="C86" s="315"/>
      <c r="D86" s="316"/>
      <c r="E86" s="56"/>
      <c r="F86" s="53"/>
      <c r="G86" s="53"/>
      <c r="H86" s="42"/>
      <c r="I86" s="45"/>
      <c r="J86" s="45"/>
      <c r="K86" s="45"/>
      <c r="L86" s="45"/>
      <c r="M86" s="45"/>
    </row>
    <row r="87" spans="1:13" x14ac:dyDescent="0.2">
      <c r="A87" s="136">
        <v>4</v>
      </c>
      <c r="B87" s="95" t="s">
        <v>137</v>
      </c>
      <c r="C87" s="95" t="s">
        <v>1</v>
      </c>
      <c r="D87" s="136" t="s">
        <v>62</v>
      </c>
      <c r="E87" s="56"/>
      <c r="F87" s="53"/>
      <c r="G87" s="53"/>
      <c r="H87" s="42"/>
      <c r="I87" s="51"/>
      <c r="J87" s="45"/>
      <c r="K87" s="45"/>
      <c r="L87" s="45"/>
      <c r="M87" s="45"/>
    </row>
    <row r="88" spans="1:13" x14ac:dyDescent="0.2">
      <c r="A88" s="140" t="s">
        <v>13</v>
      </c>
      <c r="B88" s="16" t="s">
        <v>49</v>
      </c>
      <c r="C88" s="11">
        <f>C79</f>
        <v>0.10390000000000001</v>
      </c>
      <c r="D88" s="12">
        <f>D79</f>
        <v>338.69000000000005</v>
      </c>
      <c r="E88" s="56"/>
      <c r="F88" s="53"/>
      <c r="G88" s="53"/>
      <c r="H88" s="42"/>
      <c r="I88" s="45"/>
      <c r="J88" s="45"/>
      <c r="K88" s="45"/>
      <c r="L88" s="45"/>
      <c r="M88" s="45"/>
    </row>
    <row r="89" spans="1:13" x14ac:dyDescent="0.2">
      <c r="A89" s="140" t="s">
        <v>14</v>
      </c>
      <c r="B89" s="16" t="s">
        <v>51</v>
      </c>
      <c r="C89" s="11">
        <f>C83</f>
        <v>0</v>
      </c>
      <c r="D89" s="12">
        <f>D84</f>
        <v>0</v>
      </c>
      <c r="E89" s="56"/>
      <c r="F89" s="53"/>
      <c r="G89" s="53"/>
      <c r="H89" s="42"/>
      <c r="I89" s="45"/>
      <c r="J89" s="45"/>
      <c r="K89" s="45"/>
      <c r="L89" s="45"/>
      <c r="M89" s="45"/>
    </row>
    <row r="90" spans="1:13" x14ac:dyDescent="0.2">
      <c r="A90" s="291" t="s">
        <v>119</v>
      </c>
      <c r="B90" s="291"/>
      <c r="C90" s="70">
        <f>SUM(C88:C89)</f>
        <v>0.10390000000000001</v>
      </c>
      <c r="D90" s="115">
        <f>SUM(D88:D89)</f>
        <v>338.69000000000005</v>
      </c>
      <c r="E90" s="56"/>
      <c r="F90" s="53"/>
      <c r="G90" s="53"/>
      <c r="H90" s="42"/>
      <c r="I90" s="45"/>
      <c r="J90" s="45"/>
      <c r="K90" s="45"/>
      <c r="L90" s="45"/>
      <c r="M90" s="45"/>
    </row>
    <row r="91" spans="1:13" x14ac:dyDescent="0.2">
      <c r="A91" s="135"/>
      <c r="B91" s="135"/>
      <c r="C91" s="135"/>
      <c r="D91" s="135"/>
      <c r="E91" s="56"/>
      <c r="F91" s="53"/>
      <c r="G91" s="53"/>
      <c r="H91" s="42"/>
      <c r="I91" s="45"/>
      <c r="J91" s="45"/>
      <c r="K91" s="45"/>
      <c r="L91" s="45"/>
      <c r="M91" s="45"/>
    </row>
    <row r="92" spans="1:13" x14ac:dyDescent="0.2">
      <c r="A92" s="135"/>
      <c r="B92" s="135"/>
      <c r="C92" s="135"/>
      <c r="D92" s="135"/>
      <c r="E92" s="56"/>
      <c r="F92" s="53"/>
      <c r="G92" s="53"/>
      <c r="H92" s="42"/>
      <c r="I92" s="45"/>
      <c r="J92" s="45"/>
      <c r="K92" s="45"/>
      <c r="L92" s="45"/>
      <c r="M92" s="45"/>
    </row>
    <row r="93" spans="1:13" x14ac:dyDescent="0.2">
      <c r="A93" s="292" t="s">
        <v>138</v>
      </c>
      <c r="B93" s="292"/>
      <c r="C93" s="292"/>
      <c r="D93" s="292"/>
      <c r="E93" s="56"/>
      <c r="F93" s="53"/>
      <c r="G93" s="53"/>
      <c r="H93" s="42"/>
      <c r="I93" s="45"/>
      <c r="J93" s="45"/>
      <c r="K93" s="45"/>
      <c r="L93" s="45"/>
      <c r="M93" s="45"/>
    </row>
    <row r="94" spans="1:13" x14ac:dyDescent="0.2">
      <c r="A94" s="136">
        <v>5</v>
      </c>
      <c r="B94" s="136" t="s">
        <v>121</v>
      </c>
      <c r="C94" s="136"/>
      <c r="D94" s="136" t="s">
        <v>62</v>
      </c>
      <c r="E94" s="56"/>
      <c r="F94" s="53"/>
      <c r="G94" s="53"/>
      <c r="H94" s="42"/>
      <c r="I94" s="45"/>
      <c r="J94" s="45"/>
      <c r="K94" s="45"/>
      <c r="L94" s="45"/>
      <c r="M94" s="45"/>
    </row>
    <row r="95" spans="1:13" x14ac:dyDescent="0.2">
      <c r="A95" s="140" t="s">
        <v>4</v>
      </c>
      <c r="B95" s="41" t="s">
        <v>52</v>
      </c>
      <c r="C95" s="14"/>
      <c r="D95" s="12">
        <f>Uniformes!E13</f>
        <v>105.7</v>
      </c>
      <c r="E95" s="56"/>
      <c r="F95" s="53"/>
      <c r="G95" s="53"/>
      <c r="H95" s="42"/>
      <c r="I95" s="45"/>
      <c r="J95" s="45"/>
      <c r="K95" s="45"/>
      <c r="L95" s="45"/>
      <c r="M95" s="45"/>
    </row>
    <row r="96" spans="1:13" x14ac:dyDescent="0.2">
      <c r="A96" s="140" t="s">
        <v>5</v>
      </c>
      <c r="B96" s="41" t="s">
        <v>290</v>
      </c>
      <c r="C96" s="14"/>
      <c r="D96" s="12">
        <f>Equipamentos!K13</f>
        <v>9.8995138888888885</v>
      </c>
      <c r="E96" s="56"/>
      <c r="F96" s="53"/>
      <c r="G96" s="53"/>
      <c r="H96" s="42"/>
      <c r="I96" s="45"/>
      <c r="J96" s="45"/>
      <c r="K96" s="45"/>
      <c r="L96" s="45"/>
      <c r="M96" s="45"/>
    </row>
    <row r="97" spans="1:13" x14ac:dyDescent="0.2">
      <c r="A97" s="140" t="s">
        <v>6</v>
      </c>
      <c r="B97" s="41" t="s">
        <v>12</v>
      </c>
      <c r="C97" s="14"/>
      <c r="D97" s="12">
        <f>Equipamentos!D58</f>
        <v>59.444594017094005</v>
      </c>
      <c r="E97" s="56"/>
      <c r="F97" s="53"/>
      <c r="G97" s="53"/>
      <c r="H97" s="42"/>
      <c r="I97" s="45"/>
      <c r="J97" s="45"/>
      <c r="K97" s="45"/>
      <c r="L97" s="45"/>
      <c r="M97" s="45"/>
    </row>
    <row r="98" spans="1:13" x14ac:dyDescent="0.2">
      <c r="A98" s="140" t="s">
        <v>7</v>
      </c>
      <c r="B98" s="41" t="s">
        <v>219</v>
      </c>
      <c r="C98" s="69"/>
      <c r="D98" s="12">
        <f>Uniformes!E28</f>
        <v>40.89</v>
      </c>
      <c r="E98" s="56"/>
      <c r="F98" s="53"/>
      <c r="G98" s="53"/>
      <c r="H98" s="42"/>
      <c r="I98" s="45"/>
      <c r="J98" s="45"/>
      <c r="K98" s="45"/>
      <c r="L98" s="45"/>
      <c r="M98" s="45"/>
    </row>
    <row r="99" spans="1:13" x14ac:dyDescent="0.2">
      <c r="A99" s="291" t="s">
        <v>119</v>
      </c>
      <c r="B99" s="291"/>
      <c r="C99" s="70"/>
      <c r="D99" s="115">
        <f>SUM(D95:D98)</f>
        <v>215.9341079059829</v>
      </c>
      <c r="E99" s="56"/>
      <c r="F99" s="53"/>
      <c r="G99" s="53"/>
      <c r="H99" s="42"/>
      <c r="I99" s="45"/>
      <c r="J99" s="45"/>
      <c r="K99" s="45"/>
      <c r="L99" s="45"/>
      <c r="M99" s="45"/>
    </row>
    <row r="100" spans="1:13" x14ac:dyDescent="0.2">
      <c r="A100" s="135"/>
      <c r="B100" s="135"/>
      <c r="C100" s="131"/>
      <c r="D100" s="132"/>
      <c r="E100" s="56"/>
      <c r="F100" s="53"/>
      <c r="G100" s="53"/>
      <c r="H100" s="42"/>
      <c r="I100" s="45"/>
      <c r="J100" s="45"/>
      <c r="K100" s="45"/>
      <c r="L100" s="45"/>
      <c r="M100" s="45"/>
    </row>
    <row r="101" spans="1:13" x14ac:dyDescent="0.2">
      <c r="A101" s="135"/>
      <c r="B101" s="135"/>
      <c r="C101" s="135"/>
      <c r="D101" s="135"/>
      <c r="E101" s="56"/>
      <c r="F101" s="53"/>
      <c r="G101" s="53"/>
      <c r="H101" s="42"/>
      <c r="I101" s="45"/>
      <c r="J101" s="45"/>
      <c r="K101" s="45"/>
      <c r="L101" s="45"/>
      <c r="M101" s="45"/>
    </row>
    <row r="102" spans="1:13" x14ac:dyDescent="0.2">
      <c r="A102" s="292" t="s">
        <v>139</v>
      </c>
      <c r="B102" s="292"/>
      <c r="C102" s="292"/>
      <c r="D102" s="292"/>
      <c r="E102" s="56"/>
      <c r="F102" s="53"/>
      <c r="G102" s="53"/>
      <c r="H102" s="42"/>
      <c r="I102" s="45"/>
      <c r="J102" s="45"/>
      <c r="K102" s="45"/>
      <c r="L102" s="45"/>
      <c r="M102" s="45"/>
    </row>
    <row r="103" spans="1:13" x14ac:dyDescent="0.2">
      <c r="A103" s="136">
        <v>6</v>
      </c>
      <c r="B103" s="136" t="s">
        <v>122</v>
      </c>
      <c r="C103" s="136" t="s">
        <v>1</v>
      </c>
      <c r="D103" s="136" t="s">
        <v>62</v>
      </c>
      <c r="E103" s="56"/>
      <c r="F103" s="53"/>
      <c r="G103" s="53"/>
      <c r="H103" s="42"/>
      <c r="I103" s="45"/>
      <c r="J103" s="45"/>
      <c r="K103" s="45"/>
      <c r="L103" s="45"/>
      <c r="M103" s="45"/>
    </row>
    <row r="104" spans="1:13" x14ac:dyDescent="0.2">
      <c r="A104" s="140" t="s">
        <v>4</v>
      </c>
      <c r="B104" s="142" t="s">
        <v>15</v>
      </c>
      <c r="C104" s="78">
        <v>0.05</v>
      </c>
      <c r="D104" s="12">
        <f>TRUNC(C104*D121,2)</f>
        <v>332.75</v>
      </c>
      <c r="E104" s="65" t="s">
        <v>123</v>
      </c>
      <c r="F104" s="53"/>
      <c r="G104" s="53"/>
      <c r="H104" s="42"/>
      <c r="I104" s="45"/>
      <c r="J104" s="45"/>
      <c r="K104" s="45"/>
      <c r="L104" s="45"/>
      <c r="M104" s="45"/>
    </row>
    <row r="105" spans="1:13" x14ac:dyDescent="0.2">
      <c r="A105" s="140" t="s">
        <v>5</v>
      </c>
      <c r="B105" s="142" t="s">
        <v>3</v>
      </c>
      <c r="C105" s="78">
        <v>0.1</v>
      </c>
      <c r="D105" s="12">
        <f>TRUNC(C105*(D104+D121),2)</f>
        <v>698.78</v>
      </c>
      <c r="E105" s="65" t="s">
        <v>124</v>
      </c>
      <c r="F105" s="53"/>
      <c r="G105" s="53"/>
      <c r="H105" s="42"/>
      <c r="I105" s="45"/>
      <c r="J105" s="45"/>
      <c r="K105" s="45"/>
      <c r="L105" s="45"/>
      <c r="M105" s="45"/>
    </row>
    <row r="106" spans="1:13" x14ac:dyDescent="0.2">
      <c r="A106" s="140" t="s">
        <v>6</v>
      </c>
      <c r="B106" s="142" t="s">
        <v>23</v>
      </c>
      <c r="C106" s="181">
        <f>1-(C107+C108+C109)</f>
        <v>0.85749999999999993</v>
      </c>
      <c r="D106" s="17">
        <f>TRUNC(((D121+D104+D105)/C106),2)</f>
        <v>8963.98</v>
      </c>
      <c r="E106" s="56"/>
      <c r="F106" s="53"/>
      <c r="G106" s="53"/>
      <c r="H106" s="42"/>
      <c r="I106" s="45"/>
      <c r="J106" s="45"/>
      <c r="K106" s="45"/>
      <c r="L106" s="45"/>
      <c r="M106" s="45"/>
    </row>
    <row r="107" spans="1:13" x14ac:dyDescent="0.2">
      <c r="A107" s="140" t="s">
        <v>24</v>
      </c>
      <c r="B107" s="142" t="s">
        <v>20</v>
      </c>
      <c r="C107" s="79">
        <v>1.6500000000000001E-2</v>
      </c>
      <c r="D107" s="12">
        <f>TRUNC(C107*D106,2)</f>
        <v>147.9</v>
      </c>
      <c r="E107" s="56"/>
      <c r="F107" s="53"/>
      <c r="G107" s="53"/>
      <c r="H107" s="42"/>
      <c r="I107" s="45"/>
      <c r="J107" s="45"/>
      <c r="K107" s="45"/>
      <c r="L107" s="45"/>
      <c r="M107" s="45"/>
    </row>
    <row r="108" spans="1:13" x14ac:dyDescent="0.2">
      <c r="A108" s="140" t="s">
        <v>25</v>
      </c>
      <c r="B108" s="142" t="s">
        <v>21</v>
      </c>
      <c r="C108" s="79">
        <v>7.5999999999999998E-2</v>
      </c>
      <c r="D108" s="12">
        <f>TRUNC(C108*D106,2)</f>
        <v>681.26</v>
      </c>
      <c r="E108" s="56"/>
      <c r="F108" s="53"/>
      <c r="G108" s="53"/>
      <c r="H108" s="42"/>
      <c r="I108" s="45"/>
      <c r="J108" s="45"/>
      <c r="K108" s="45"/>
      <c r="L108" s="45"/>
      <c r="M108" s="45"/>
    </row>
    <row r="109" spans="1:13" x14ac:dyDescent="0.2">
      <c r="A109" s="140" t="s">
        <v>26</v>
      </c>
      <c r="B109" s="142" t="s">
        <v>22</v>
      </c>
      <c r="C109" s="79">
        <v>0.05</v>
      </c>
      <c r="D109" s="12">
        <f>TRUNC(C109*D106,2)</f>
        <v>448.19</v>
      </c>
      <c r="E109" s="56"/>
      <c r="F109" s="53"/>
      <c r="G109" s="53"/>
      <c r="H109" s="42"/>
      <c r="I109" s="45"/>
      <c r="J109" s="45"/>
      <c r="K109" s="45"/>
      <c r="L109" s="45"/>
      <c r="M109" s="45"/>
    </row>
    <row r="110" spans="1:13" x14ac:dyDescent="0.2">
      <c r="A110" s="291" t="s">
        <v>119</v>
      </c>
      <c r="B110" s="291"/>
      <c r="C110" s="117"/>
      <c r="D110" s="115">
        <f>SUM(D104:D109)-D106</f>
        <v>2308.880000000001</v>
      </c>
      <c r="E110" s="123"/>
      <c r="F110" s="53"/>
      <c r="G110" s="53"/>
      <c r="H110" s="42"/>
      <c r="I110" s="45"/>
      <c r="J110" s="45"/>
      <c r="K110" s="45"/>
      <c r="L110" s="45"/>
      <c r="M110" s="45"/>
    </row>
    <row r="111" spans="1:13" x14ac:dyDescent="0.2">
      <c r="A111" s="18"/>
      <c r="B111" s="18"/>
      <c r="C111" s="18"/>
      <c r="D111" s="133"/>
      <c r="E111" s="53"/>
      <c r="F111" s="53"/>
      <c r="G111" s="53"/>
      <c r="H111" s="42"/>
      <c r="I111" s="45"/>
      <c r="J111" s="45"/>
      <c r="K111" s="45"/>
      <c r="L111" s="45"/>
      <c r="M111" s="45"/>
    </row>
    <row r="112" spans="1:13" x14ac:dyDescent="0.2">
      <c r="A112" s="301" t="s">
        <v>185</v>
      </c>
      <c r="B112" s="301"/>
      <c r="C112" s="301"/>
      <c r="D112" s="301"/>
      <c r="E112" s="53"/>
      <c r="F112" s="66"/>
      <c r="G112" s="53"/>
      <c r="H112" s="42"/>
      <c r="I112" s="45"/>
      <c r="J112" s="45"/>
      <c r="K112" s="45"/>
      <c r="L112" s="45"/>
      <c r="M112" s="45"/>
    </row>
    <row r="113" spans="1:13" x14ac:dyDescent="0.2">
      <c r="A113" s="134"/>
      <c r="B113" s="134"/>
      <c r="C113" s="134"/>
      <c r="D113" s="134"/>
      <c r="E113" s="53"/>
      <c r="F113" s="66"/>
      <c r="G113" s="53"/>
      <c r="H113" s="42"/>
      <c r="I113" s="45"/>
      <c r="J113" s="45"/>
      <c r="K113" s="45"/>
      <c r="L113" s="45"/>
      <c r="M113" s="45"/>
    </row>
    <row r="114" spans="1:13" x14ac:dyDescent="0.2">
      <c r="A114" s="292" t="s">
        <v>184</v>
      </c>
      <c r="B114" s="292"/>
      <c r="C114" s="292"/>
      <c r="D114" s="292"/>
      <c r="E114" s="53"/>
      <c r="F114" s="66"/>
      <c r="G114" s="53"/>
      <c r="H114" s="42"/>
      <c r="I114" s="45"/>
      <c r="J114" s="45"/>
      <c r="K114" s="45"/>
      <c r="L114" s="45"/>
      <c r="M114" s="45"/>
    </row>
    <row r="115" spans="1:13" x14ac:dyDescent="0.2">
      <c r="A115" s="96"/>
      <c r="B115" s="97" t="s">
        <v>141</v>
      </c>
      <c r="C115" s="136"/>
      <c r="D115" s="136" t="s">
        <v>62</v>
      </c>
      <c r="E115" s="53"/>
      <c r="F115" s="53"/>
      <c r="G115" s="53"/>
      <c r="H115" s="42"/>
      <c r="I115" s="45"/>
      <c r="J115" s="45"/>
      <c r="K115" s="45"/>
      <c r="L115" s="45"/>
      <c r="M115" s="45"/>
    </row>
    <row r="116" spans="1:13" x14ac:dyDescent="0.2">
      <c r="A116" s="14" t="s">
        <v>4</v>
      </c>
      <c r="B116" s="16" t="s">
        <v>143</v>
      </c>
      <c r="C116" s="68"/>
      <c r="D116" s="12">
        <f>D18</f>
        <v>3257.49</v>
      </c>
      <c r="E116" s="53"/>
      <c r="F116" s="53"/>
      <c r="G116" s="53"/>
      <c r="H116" s="42"/>
      <c r="I116" s="45"/>
      <c r="J116" s="45"/>
      <c r="K116" s="45"/>
      <c r="L116" s="45"/>
      <c r="M116" s="45"/>
    </row>
    <row r="117" spans="1:13" x14ac:dyDescent="0.2">
      <c r="A117" s="14" t="s">
        <v>5</v>
      </c>
      <c r="B117" s="16" t="s">
        <v>144</v>
      </c>
      <c r="C117" s="68"/>
      <c r="D117" s="12">
        <f>D56</f>
        <v>2646.9300000000003</v>
      </c>
      <c r="E117" s="53"/>
      <c r="F117" s="53"/>
      <c r="G117" s="53"/>
      <c r="H117" s="42"/>
      <c r="I117" s="45"/>
      <c r="J117" s="45"/>
      <c r="K117" s="45"/>
      <c r="L117" s="45"/>
      <c r="M117" s="45"/>
    </row>
    <row r="118" spans="1:13" x14ac:dyDescent="0.2">
      <c r="A118" s="14" t="s">
        <v>6</v>
      </c>
      <c r="B118" s="16" t="s">
        <v>145</v>
      </c>
      <c r="C118" s="68"/>
      <c r="D118" s="12">
        <f>D67</f>
        <v>196.04000000000002</v>
      </c>
      <c r="E118" s="53"/>
      <c r="F118" s="66"/>
      <c r="G118" s="53"/>
      <c r="H118" s="42"/>
      <c r="I118" s="45"/>
      <c r="J118" s="45"/>
      <c r="K118" s="45"/>
      <c r="L118" s="45"/>
      <c r="M118" s="45"/>
    </row>
    <row r="119" spans="1:13" x14ac:dyDescent="0.2">
      <c r="A119" s="14" t="s">
        <v>7</v>
      </c>
      <c r="B119" s="16" t="s">
        <v>50</v>
      </c>
      <c r="C119" s="68"/>
      <c r="D119" s="12">
        <f>D90</f>
        <v>338.69000000000005</v>
      </c>
      <c r="E119" s="53"/>
      <c r="F119" s="66"/>
      <c r="G119" s="53"/>
      <c r="H119" s="42"/>
      <c r="I119" s="45"/>
      <c r="J119" s="45"/>
      <c r="K119" s="45"/>
      <c r="L119" s="45"/>
      <c r="M119" s="45"/>
    </row>
    <row r="120" spans="1:13" x14ac:dyDescent="0.2">
      <c r="A120" s="14" t="s">
        <v>8</v>
      </c>
      <c r="B120" s="16" t="s">
        <v>146</v>
      </c>
      <c r="C120" s="68"/>
      <c r="D120" s="12">
        <f>D99</f>
        <v>215.9341079059829</v>
      </c>
      <c r="E120" s="53"/>
      <c r="F120" s="53"/>
      <c r="G120" s="53"/>
      <c r="H120" s="42"/>
      <c r="I120" s="45"/>
      <c r="J120" s="45"/>
      <c r="K120" s="45"/>
      <c r="L120" s="45"/>
      <c r="M120" s="45"/>
    </row>
    <row r="121" spans="1:13" x14ac:dyDescent="0.2">
      <c r="A121" s="321" t="s">
        <v>53</v>
      </c>
      <c r="B121" s="322"/>
      <c r="C121" s="136"/>
      <c r="D121" s="13">
        <f>SUM(D116:D120)</f>
        <v>6655.0841079059828</v>
      </c>
      <c r="E121" s="53"/>
      <c r="F121" s="63"/>
      <c r="G121" s="53"/>
      <c r="H121" s="42"/>
      <c r="I121" s="45"/>
      <c r="J121" s="45"/>
      <c r="K121" s="45"/>
      <c r="L121" s="45"/>
      <c r="M121" s="45"/>
    </row>
    <row r="122" spans="1:13" x14ac:dyDescent="0.2">
      <c r="A122" s="14" t="s">
        <v>9</v>
      </c>
      <c r="B122" s="16" t="s">
        <v>147</v>
      </c>
      <c r="C122" s="68"/>
      <c r="D122" s="12">
        <f>D110</f>
        <v>2308.880000000001</v>
      </c>
      <c r="E122" s="53"/>
      <c r="F122" s="53"/>
      <c r="G122" s="53"/>
      <c r="H122" s="42"/>
      <c r="I122" s="45"/>
      <c r="J122" s="45"/>
      <c r="K122" s="45"/>
      <c r="L122" s="45"/>
      <c r="M122" s="45"/>
    </row>
    <row r="123" spans="1:13" x14ac:dyDescent="0.2">
      <c r="A123" s="336" t="s">
        <v>142</v>
      </c>
      <c r="B123" s="339"/>
      <c r="C123" s="136"/>
      <c r="D123" s="118">
        <f>SUM(D121:D122)</f>
        <v>8963.9641079059838</v>
      </c>
      <c r="E123" s="53"/>
      <c r="F123" s="146"/>
      <c r="G123" s="53"/>
      <c r="H123" s="42"/>
      <c r="I123" s="45"/>
      <c r="J123" s="45"/>
      <c r="K123" s="45"/>
      <c r="L123" s="45"/>
      <c r="M123" s="45"/>
    </row>
    <row r="124" spans="1:13" x14ac:dyDescent="0.2">
      <c r="D124" s="2"/>
      <c r="E124" s="52"/>
      <c r="F124" s="52"/>
      <c r="G124" s="52"/>
      <c r="H124" s="45"/>
      <c r="I124" s="45"/>
      <c r="J124" s="45"/>
      <c r="K124" s="45"/>
      <c r="L124" s="45"/>
      <c r="M124" s="45"/>
    </row>
    <row r="125" spans="1:13" x14ac:dyDescent="0.2">
      <c r="A125" s="301" t="s">
        <v>311</v>
      </c>
      <c r="B125" s="301"/>
      <c r="C125" s="301"/>
      <c r="D125" s="301"/>
    </row>
    <row r="126" spans="1:13" x14ac:dyDescent="0.2">
      <c r="A126" s="3"/>
      <c r="B126" s="3"/>
    </row>
    <row r="127" spans="1:13" x14ac:dyDescent="0.2">
      <c r="A127" s="182" t="s">
        <v>309</v>
      </c>
      <c r="B127" s="183"/>
      <c r="C127" s="184"/>
      <c r="D127" s="185"/>
    </row>
    <row r="128" spans="1:13" x14ac:dyDescent="0.2">
      <c r="A128" s="310" t="s">
        <v>299</v>
      </c>
      <c r="B128" s="310"/>
      <c r="C128" s="310"/>
      <c r="D128" s="186">
        <f>D123</f>
        <v>8963.9641079059838</v>
      </c>
    </row>
    <row r="129" spans="1:7" x14ac:dyDescent="0.2">
      <c r="A129" s="311" t="s">
        <v>300</v>
      </c>
      <c r="B129" s="311"/>
      <c r="C129" s="311"/>
      <c r="D129" s="186">
        <f>D28+D67+D79</f>
        <v>1401.2</v>
      </c>
    </row>
    <row r="130" spans="1:7" x14ac:dyDescent="0.2">
      <c r="A130" s="312" t="s">
        <v>15</v>
      </c>
      <c r="B130" s="312"/>
      <c r="C130" s="187">
        <f>C104</f>
        <v>0.05</v>
      </c>
      <c r="D130" s="186">
        <f>ROUND(D129*C130,2)</f>
        <v>70.06</v>
      </c>
    </row>
    <row r="131" spans="1:7" x14ac:dyDescent="0.2">
      <c r="A131" s="312" t="s">
        <v>3</v>
      </c>
      <c r="B131" s="312"/>
      <c r="C131" s="187">
        <f>C105</f>
        <v>0.1</v>
      </c>
      <c r="D131" s="186">
        <f>ROUND((D129+D130)*C131,2)</f>
        <v>147.13</v>
      </c>
    </row>
    <row r="132" spans="1:7" x14ac:dyDescent="0.2">
      <c r="A132" s="312" t="s">
        <v>301</v>
      </c>
      <c r="B132" s="312"/>
      <c r="C132" s="188">
        <f>C107+C108+C109</f>
        <v>0.14250000000000002</v>
      </c>
      <c r="D132" s="186">
        <f>ROUND((D129+D130+D131)/(1-C132)-(D129+D130+D131),2)</f>
        <v>268.95</v>
      </c>
    </row>
    <row r="133" spans="1:7" x14ac:dyDescent="0.2">
      <c r="A133" s="302" t="s">
        <v>302</v>
      </c>
      <c r="B133" s="302"/>
      <c r="C133" s="302"/>
      <c r="D133" s="189">
        <f>SUM(D129:D132)</f>
        <v>1887.34</v>
      </c>
    </row>
    <row r="134" spans="1:7" x14ac:dyDescent="0.2">
      <c r="A134" s="303" t="s">
        <v>303</v>
      </c>
      <c r="B134" s="303"/>
      <c r="C134" s="303"/>
      <c r="D134" s="190">
        <f>D128-D133</f>
        <v>7076.6241079059837</v>
      </c>
    </row>
    <row r="136" spans="1:7" ht="42.75" customHeight="1" x14ac:dyDescent="0.2">
      <c r="A136" s="304" t="s">
        <v>304</v>
      </c>
      <c r="B136" s="305"/>
      <c r="C136" s="305"/>
      <c r="D136" s="306"/>
      <c r="G136" s="5" t="s">
        <v>313</v>
      </c>
    </row>
    <row r="137" spans="1:7" x14ac:dyDescent="0.2">
      <c r="A137" s="195"/>
      <c r="B137" s="195"/>
      <c r="C137" s="195"/>
      <c r="D137" s="195"/>
    </row>
    <row r="139" spans="1:7" x14ac:dyDescent="0.2">
      <c r="A139" s="307" t="s">
        <v>305</v>
      </c>
      <c r="B139" s="308"/>
      <c r="C139" s="309"/>
      <c r="D139" s="191" t="s">
        <v>62</v>
      </c>
    </row>
    <row r="140" spans="1:7" ht="13.5" thickBot="1" x14ac:dyDescent="0.25">
      <c r="A140" s="293" t="s">
        <v>306</v>
      </c>
      <c r="B140" s="294"/>
      <c r="C140" s="294"/>
      <c r="D140" s="33">
        <f>ROUND(((D$18+D$28+D$40+D$67)+((D$18+D$28+D$40+D$67)*$C$104)+((D$18+D$28+D$40+D$67)*(1+$C$104)*$C$105)/(1-$C$106))/220,2)</f>
        <v>44.82</v>
      </c>
    </row>
    <row r="141" spans="1:7" ht="22.5" x14ac:dyDescent="0.2">
      <c r="A141" s="293" t="s">
        <v>312</v>
      </c>
      <c r="B141" s="294"/>
      <c r="C141" s="192" t="s">
        <v>307</v>
      </c>
      <c r="D141" s="297">
        <f>ROUND(D140*(1+C142),2)</f>
        <v>67.23</v>
      </c>
    </row>
    <row r="142" spans="1:7" ht="13.5" thickBot="1" x14ac:dyDescent="0.25">
      <c r="A142" s="295"/>
      <c r="B142" s="296"/>
      <c r="C142" s="222">
        <v>0.5</v>
      </c>
      <c r="D142" s="298"/>
    </row>
    <row r="143" spans="1:7" x14ac:dyDescent="0.2">
      <c r="A143" s="299" t="s">
        <v>308</v>
      </c>
      <c r="B143" s="299"/>
      <c r="C143" s="300"/>
      <c r="D143" s="194">
        <f>D141*8*4</f>
        <v>2151.36</v>
      </c>
    </row>
    <row r="144" spans="1:7" x14ac:dyDescent="0.2">
      <c r="A144" s="193" t="s">
        <v>321</v>
      </c>
      <c r="B144" s="193"/>
      <c r="C144" s="193"/>
      <c r="D144" s="193"/>
    </row>
  </sheetData>
  <mergeCells count="58">
    <mergeCell ref="A2:D2"/>
    <mergeCell ref="A5:B6"/>
    <mergeCell ref="C5:D6"/>
    <mergeCell ref="A8:D8"/>
    <mergeCell ref="A10:D10"/>
    <mergeCell ref="A30:D30"/>
    <mergeCell ref="A40:B40"/>
    <mergeCell ref="A41:D41"/>
    <mergeCell ref="A42:D42"/>
    <mergeCell ref="A18:C18"/>
    <mergeCell ref="A21:D21"/>
    <mergeCell ref="A22:D22"/>
    <mergeCell ref="A23:D23"/>
    <mergeCell ref="A28:B28"/>
    <mergeCell ref="A29:D29"/>
    <mergeCell ref="E44:I44"/>
    <mergeCell ref="A49:C49"/>
    <mergeCell ref="A70:D70"/>
    <mergeCell ref="A51:D51"/>
    <mergeCell ref="B52:C52"/>
    <mergeCell ref="B53:C53"/>
    <mergeCell ref="B54:C54"/>
    <mergeCell ref="B55:C55"/>
    <mergeCell ref="A56:C56"/>
    <mergeCell ref="A57:D57"/>
    <mergeCell ref="A59:D59"/>
    <mergeCell ref="E66:I66"/>
    <mergeCell ref="A67:B67"/>
    <mergeCell ref="A68:D68"/>
    <mergeCell ref="A50:D50"/>
    <mergeCell ref="A114:D114"/>
    <mergeCell ref="A71:D71"/>
    <mergeCell ref="A79:B79"/>
    <mergeCell ref="A81:D81"/>
    <mergeCell ref="A84:B84"/>
    <mergeCell ref="A86:D86"/>
    <mergeCell ref="A90:B90"/>
    <mergeCell ref="A93:D93"/>
    <mergeCell ref="A99:B99"/>
    <mergeCell ref="A102:D102"/>
    <mergeCell ref="A110:B110"/>
    <mergeCell ref="A112:D112"/>
    <mergeCell ref="A141:B142"/>
    <mergeCell ref="D141:D142"/>
    <mergeCell ref="A143:C143"/>
    <mergeCell ref="A121:B121"/>
    <mergeCell ref="A123:B123"/>
    <mergeCell ref="A136:D136"/>
    <mergeCell ref="A139:C139"/>
    <mergeCell ref="A140:C140"/>
    <mergeCell ref="A132:B132"/>
    <mergeCell ref="A133:C133"/>
    <mergeCell ref="A134:C134"/>
    <mergeCell ref="A125:D125"/>
    <mergeCell ref="A128:C128"/>
    <mergeCell ref="A129:C129"/>
    <mergeCell ref="A130:B130"/>
    <mergeCell ref="A131:B131"/>
  </mergeCells>
  <conditionalFormatting sqref="C142">
    <cfRule type="cellIs" dxfId="2" priority="1" operator="greaterThan">
      <formula>0</formula>
    </cfRule>
  </conditionalFormatting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2" manualBreakCount="2">
    <brk id="58" max="3" man="1"/>
    <brk id="124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M144"/>
  <sheetViews>
    <sheetView showGridLines="0" view="pageBreakPreview" topLeftCell="A112" zoomScaleNormal="90" zoomScaleSheetLayoutView="100" workbookViewId="0">
      <selection activeCell="B17" sqref="B17"/>
    </sheetView>
  </sheetViews>
  <sheetFormatPr defaultColWidth="9.140625"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5" bestFit="1" customWidth="1"/>
    <col min="6" max="6" width="10.42578125" style="5" customWidth="1"/>
    <col min="7" max="7" width="9.140625" style="5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08"/>
    </row>
    <row r="2" spans="1:13" x14ac:dyDescent="0.2">
      <c r="A2" s="318" t="s">
        <v>63</v>
      </c>
      <c r="B2" s="318"/>
      <c r="C2" s="318"/>
      <c r="D2" s="318"/>
      <c r="E2" s="53"/>
      <c r="F2" s="53"/>
      <c r="G2" s="53"/>
      <c r="H2" s="42"/>
      <c r="I2" s="45"/>
      <c r="J2" s="45"/>
      <c r="K2" s="45"/>
      <c r="L2" s="45"/>
      <c r="M2" s="45"/>
    </row>
    <row r="3" spans="1:13" x14ac:dyDescent="0.2">
      <c r="A3" s="113"/>
      <c r="B3" s="113"/>
      <c r="C3" s="113"/>
      <c r="D3" s="113"/>
      <c r="E3" s="53"/>
      <c r="F3" s="53"/>
      <c r="G3" s="53"/>
      <c r="H3" s="42"/>
      <c r="I3" s="45"/>
      <c r="J3" s="45"/>
      <c r="K3" s="45"/>
      <c r="L3" s="45"/>
      <c r="M3" s="45"/>
    </row>
    <row r="4" spans="1:13" x14ac:dyDescent="0.2">
      <c r="A4" s="109"/>
      <c r="B4" s="109"/>
      <c r="C4" s="109"/>
      <c r="D4" s="109"/>
      <c r="E4" s="53"/>
      <c r="F4" s="53"/>
      <c r="G4" s="53"/>
      <c r="H4" s="42"/>
      <c r="I4" s="45"/>
      <c r="J4" s="45"/>
      <c r="K4" s="45"/>
      <c r="L4" s="45"/>
      <c r="M4" s="45"/>
    </row>
    <row r="5" spans="1:13" x14ac:dyDescent="0.2">
      <c r="A5" s="319" t="s">
        <v>177</v>
      </c>
      <c r="B5" s="319"/>
      <c r="C5" s="320" t="s">
        <v>199</v>
      </c>
      <c r="D5" s="320"/>
      <c r="E5" s="53"/>
      <c r="F5" s="53"/>
      <c r="G5" s="53"/>
      <c r="H5" s="42"/>
      <c r="I5" s="45"/>
      <c r="J5" s="45"/>
      <c r="K5" s="45"/>
      <c r="L5" s="45"/>
      <c r="M5" s="45"/>
    </row>
    <row r="6" spans="1:13" x14ac:dyDescent="0.2">
      <c r="A6" s="319"/>
      <c r="B6" s="319"/>
      <c r="C6" s="320"/>
      <c r="D6" s="320"/>
      <c r="E6" s="53"/>
      <c r="F6" s="53"/>
      <c r="G6" s="53"/>
      <c r="H6" s="42"/>
      <c r="I6" s="45"/>
      <c r="J6" s="45"/>
      <c r="K6" s="45"/>
      <c r="L6" s="45"/>
      <c r="M6" s="45"/>
    </row>
    <row r="7" spans="1:13" s="4" customFormat="1" x14ac:dyDescent="0.2">
      <c r="A7" s="145"/>
      <c r="B7" s="145"/>
      <c r="C7" s="18"/>
      <c r="D7" s="18"/>
      <c r="E7" s="60"/>
      <c r="F7" s="60"/>
      <c r="G7" s="60"/>
      <c r="H7" s="44"/>
      <c r="I7" s="46"/>
      <c r="J7" s="46"/>
      <c r="K7" s="46"/>
      <c r="L7" s="46"/>
      <c r="M7" s="46"/>
    </row>
    <row r="8" spans="1:13" x14ac:dyDescent="0.2">
      <c r="A8" s="301" t="s">
        <v>140</v>
      </c>
      <c r="B8" s="301"/>
      <c r="C8" s="301"/>
      <c r="D8" s="301"/>
      <c r="E8" s="53"/>
      <c r="F8" s="53"/>
      <c r="G8" s="53"/>
      <c r="H8" s="42"/>
      <c r="I8" s="45"/>
      <c r="J8" s="45"/>
      <c r="K8" s="45"/>
      <c r="L8" s="45"/>
      <c r="M8" s="45"/>
    </row>
    <row r="9" spans="1:13" x14ac:dyDescent="0.2">
      <c r="A9" s="112"/>
      <c r="B9" s="112"/>
      <c r="C9" s="112"/>
      <c r="D9" s="112"/>
      <c r="E9" s="53"/>
      <c r="F9" s="53"/>
      <c r="G9" s="53"/>
      <c r="H9" s="42"/>
      <c r="I9" s="45"/>
      <c r="J9" s="45"/>
      <c r="K9" s="45"/>
      <c r="L9" s="45"/>
      <c r="M9" s="45"/>
    </row>
    <row r="10" spans="1:13" x14ac:dyDescent="0.2">
      <c r="A10" s="292" t="s">
        <v>126</v>
      </c>
      <c r="B10" s="292"/>
      <c r="C10" s="292"/>
      <c r="D10" s="292"/>
      <c r="E10" s="53"/>
      <c r="F10" s="53"/>
      <c r="G10" s="53"/>
      <c r="H10" s="42"/>
      <c r="I10" s="45"/>
      <c r="J10" s="45"/>
      <c r="K10" s="45"/>
      <c r="L10" s="45"/>
      <c r="M10" s="45"/>
    </row>
    <row r="11" spans="1:13" x14ac:dyDescent="0.2">
      <c r="A11" s="136">
        <v>1</v>
      </c>
      <c r="B11" s="136" t="s">
        <v>118</v>
      </c>
      <c r="C11" s="136" t="s">
        <v>1</v>
      </c>
      <c r="D11" s="136" t="s">
        <v>62</v>
      </c>
      <c r="E11" s="53"/>
      <c r="F11" s="53"/>
      <c r="G11" s="53"/>
      <c r="H11" s="42"/>
      <c r="I11" s="45"/>
      <c r="J11" s="45"/>
      <c r="K11" s="45"/>
      <c r="L11" s="45"/>
      <c r="M11" s="45"/>
    </row>
    <row r="12" spans="1:13" x14ac:dyDescent="0.2">
      <c r="A12" s="144" t="s">
        <v>4</v>
      </c>
      <c r="B12" s="142" t="s">
        <v>17</v>
      </c>
      <c r="C12" s="119"/>
      <c r="D12" s="12">
        <v>2650.78</v>
      </c>
      <c r="E12" s="53"/>
      <c r="F12" s="53"/>
      <c r="G12" s="53"/>
      <c r="H12" s="42"/>
      <c r="I12" s="45"/>
      <c r="J12" s="45"/>
      <c r="K12" s="45"/>
      <c r="L12" s="45"/>
      <c r="M12" s="45"/>
    </row>
    <row r="13" spans="1:13" x14ac:dyDescent="0.2">
      <c r="A13" s="144" t="s">
        <v>5</v>
      </c>
      <c r="B13" s="142" t="s">
        <v>27</v>
      </c>
      <c r="C13" s="8"/>
      <c r="D13" s="7">
        <v>0</v>
      </c>
      <c r="E13" s="53" t="s">
        <v>178</v>
      </c>
      <c r="F13" s="53"/>
      <c r="G13" s="53"/>
      <c r="H13" s="42"/>
      <c r="I13" s="45"/>
      <c r="J13" s="45"/>
      <c r="K13" s="45"/>
      <c r="L13" s="45"/>
      <c r="M13" s="45"/>
    </row>
    <row r="14" spans="1:13" x14ac:dyDescent="0.2">
      <c r="A14" s="144" t="s">
        <v>6</v>
      </c>
      <c r="B14" s="6" t="s">
        <v>28</v>
      </c>
      <c r="C14" s="8"/>
      <c r="D14" s="7">
        <f>D13*C14</f>
        <v>0</v>
      </c>
      <c r="E14" s="53" t="s">
        <v>179</v>
      </c>
      <c r="F14" s="53"/>
      <c r="G14" s="53"/>
      <c r="H14" s="42"/>
      <c r="I14" s="45"/>
      <c r="J14" s="45"/>
      <c r="K14" s="45"/>
      <c r="L14" s="45"/>
      <c r="M14" s="45"/>
    </row>
    <row r="15" spans="1:13" x14ac:dyDescent="0.2">
      <c r="A15" s="144" t="s">
        <v>7</v>
      </c>
      <c r="B15" s="6" t="s">
        <v>0</v>
      </c>
      <c r="C15" s="8"/>
      <c r="D15" s="7">
        <v>0</v>
      </c>
      <c r="E15" s="53" t="s">
        <v>180</v>
      </c>
      <c r="F15" s="53"/>
      <c r="G15" s="53"/>
      <c r="H15" s="42"/>
      <c r="I15" s="45"/>
      <c r="J15" s="45"/>
      <c r="K15" s="45"/>
      <c r="L15" s="45"/>
      <c r="M15" s="45"/>
    </row>
    <row r="16" spans="1:13" x14ac:dyDescent="0.2">
      <c r="A16" s="140" t="s">
        <v>8</v>
      </c>
      <c r="B16" s="6" t="s">
        <v>29</v>
      </c>
      <c r="C16" s="9"/>
      <c r="D16" s="7">
        <v>0</v>
      </c>
      <c r="E16" s="120" t="s">
        <v>181</v>
      </c>
      <c r="F16" s="53"/>
      <c r="G16" s="54"/>
      <c r="H16" s="43"/>
      <c r="I16" s="45"/>
      <c r="J16" s="45"/>
      <c r="K16" s="45"/>
      <c r="L16" s="45"/>
      <c r="M16" s="45"/>
    </row>
    <row r="17" spans="1:13" x14ac:dyDescent="0.2">
      <c r="A17" s="140" t="s">
        <v>10</v>
      </c>
      <c r="B17" s="6" t="s">
        <v>2</v>
      </c>
      <c r="C17" s="8"/>
      <c r="D17" s="7"/>
      <c r="E17" s="53"/>
      <c r="F17" s="53"/>
      <c r="G17" s="55"/>
      <c r="H17" s="42"/>
      <c r="I17" s="45"/>
      <c r="J17" s="45"/>
      <c r="K17" s="45"/>
      <c r="L17" s="45"/>
      <c r="M17" s="45"/>
    </row>
    <row r="18" spans="1:13" x14ac:dyDescent="0.2">
      <c r="A18" s="291" t="s">
        <v>119</v>
      </c>
      <c r="B18" s="291"/>
      <c r="C18" s="291"/>
      <c r="D18" s="111">
        <f>SUM(D12:D17)</f>
        <v>2650.78</v>
      </c>
      <c r="E18" s="53"/>
      <c r="F18" s="53"/>
      <c r="G18" s="53"/>
      <c r="H18" s="42"/>
      <c r="I18" s="45"/>
      <c r="J18" s="45"/>
      <c r="K18" s="45"/>
      <c r="L18" s="45"/>
      <c r="M18" s="45"/>
    </row>
    <row r="19" spans="1:13" x14ac:dyDescent="0.2">
      <c r="A19" s="143"/>
      <c r="B19" s="135"/>
      <c r="C19" s="135"/>
      <c r="D19" s="125"/>
      <c r="E19" s="53"/>
      <c r="F19" s="53"/>
      <c r="G19" s="53"/>
      <c r="H19" s="42"/>
      <c r="I19" s="45"/>
      <c r="J19" s="45"/>
      <c r="K19" s="45"/>
      <c r="L19" s="45"/>
      <c r="M19" s="45"/>
    </row>
    <row r="20" spans="1:13" x14ac:dyDescent="0.2">
      <c r="A20" s="84"/>
      <c r="B20" s="10"/>
      <c r="C20" s="10"/>
      <c r="D20" s="124"/>
      <c r="E20" s="53"/>
      <c r="F20" s="53"/>
      <c r="G20" s="53"/>
      <c r="H20" s="42"/>
      <c r="I20" s="45"/>
      <c r="J20" s="45"/>
      <c r="K20" s="45"/>
      <c r="L20" s="45"/>
      <c r="M20" s="45"/>
    </row>
    <row r="21" spans="1:13" x14ac:dyDescent="0.2">
      <c r="A21" s="292" t="s">
        <v>127</v>
      </c>
      <c r="B21" s="292"/>
      <c r="C21" s="292"/>
      <c r="D21" s="292"/>
      <c r="E21" s="56"/>
      <c r="F21" s="53"/>
      <c r="G21" s="55"/>
      <c r="H21" s="43"/>
      <c r="I21" s="45"/>
      <c r="J21" s="45"/>
      <c r="K21" s="45"/>
      <c r="L21" s="45"/>
      <c r="M21" s="45"/>
    </row>
    <row r="22" spans="1:13" x14ac:dyDescent="0.2">
      <c r="A22" s="321"/>
      <c r="B22" s="322"/>
      <c r="C22" s="322"/>
      <c r="D22" s="323"/>
      <c r="E22" s="56"/>
      <c r="F22" s="53"/>
      <c r="G22" s="55"/>
      <c r="H22" s="43"/>
      <c r="I22" s="45"/>
      <c r="J22" s="45"/>
      <c r="K22" s="45"/>
      <c r="L22" s="45"/>
      <c r="M22" s="45"/>
    </row>
    <row r="23" spans="1:13" x14ac:dyDescent="0.2">
      <c r="A23" s="330" t="s">
        <v>39</v>
      </c>
      <c r="B23" s="330"/>
      <c r="C23" s="330"/>
      <c r="D23" s="330"/>
      <c r="E23" s="56"/>
      <c r="F23" s="53"/>
      <c r="G23" s="55"/>
      <c r="H23" s="43"/>
      <c r="I23" s="45"/>
      <c r="J23" s="45"/>
      <c r="K23" s="45"/>
      <c r="L23" s="45"/>
      <c r="M23" s="45"/>
    </row>
    <row r="24" spans="1:13" x14ac:dyDescent="0.2">
      <c r="A24" s="136" t="s">
        <v>41</v>
      </c>
      <c r="B24" s="136" t="s">
        <v>30</v>
      </c>
      <c r="C24" s="136" t="s">
        <v>1</v>
      </c>
      <c r="D24" s="136" t="s">
        <v>62</v>
      </c>
      <c r="E24" s="56"/>
      <c r="F24" s="53"/>
      <c r="G24" s="53"/>
      <c r="H24" s="42"/>
      <c r="I24" s="45"/>
      <c r="J24" s="45"/>
      <c r="K24" s="45"/>
      <c r="L24" s="45"/>
      <c r="M24" s="45"/>
    </row>
    <row r="25" spans="1:13" x14ac:dyDescent="0.2">
      <c r="A25" s="140" t="s">
        <v>4</v>
      </c>
      <c r="B25" s="142" t="s">
        <v>64</v>
      </c>
      <c r="C25" s="11">
        <f>1/12</f>
        <v>8.3333333333333329E-2</v>
      </c>
      <c r="D25" s="12">
        <f>TRUNC((C25*D18),2)</f>
        <v>220.89</v>
      </c>
      <c r="E25" s="56" t="s">
        <v>56</v>
      </c>
      <c r="F25" s="53"/>
      <c r="G25" s="53"/>
      <c r="H25" s="43"/>
      <c r="I25" s="45"/>
      <c r="J25" s="45"/>
      <c r="K25" s="45"/>
      <c r="L25" s="45"/>
      <c r="M25" s="45"/>
    </row>
    <row r="26" spans="1:13" x14ac:dyDescent="0.2">
      <c r="A26" s="140" t="s">
        <v>5</v>
      </c>
      <c r="B26" s="142" t="s">
        <v>125</v>
      </c>
      <c r="C26" s="11">
        <f>(1/12)+(1/3/12)</f>
        <v>0.1111111111111111</v>
      </c>
      <c r="D26" s="12">
        <f>TRUNC((C26*D18),2)</f>
        <v>294.52999999999997</v>
      </c>
      <c r="E26" s="56" t="s">
        <v>56</v>
      </c>
      <c r="F26" s="53"/>
      <c r="G26" s="53"/>
      <c r="H26" s="43"/>
      <c r="I26" s="45"/>
      <c r="J26" s="45"/>
      <c r="K26" s="45"/>
      <c r="L26" s="45"/>
      <c r="M26" s="45"/>
    </row>
    <row r="27" spans="1:13" x14ac:dyDescent="0.2">
      <c r="A27" s="176" t="s">
        <v>6</v>
      </c>
      <c r="B27" s="177" t="s">
        <v>310</v>
      </c>
      <c r="C27" s="11">
        <f>C40</f>
        <v>0.36800000000000005</v>
      </c>
      <c r="D27" s="12">
        <f>TRUNC((C27*(D25+D26)),2)</f>
        <v>189.67</v>
      </c>
      <c r="E27" s="56"/>
      <c r="F27" s="53"/>
      <c r="G27" s="53"/>
      <c r="H27" s="43"/>
      <c r="I27" s="45"/>
      <c r="J27" s="45"/>
      <c r="K27" s="45"/>
      <c r="L27" s="45"/>
      <c r="M27" s="45"/>
    </row>
    <row r="28" spans="1:13" x14ac:dyDescent="0.2">
      <c r="A28" s="291" t="s">
        <v>119</v>
      </c>
      <c r="B28" s="291"/>
      <c r="C28" s="70"/>
      <c r="D28" s="115">
        <f>SUM(D25:D27)</f>
        <v>705.08999999999992</v>
      </c>
      <c r="E28" s="56"/>
      <c r="F28" s="53"/>
      <c r="G28" s="53"/>
      <c r="H28" s="43"/>
      <c r="I28" s="45"/>
      <c r="J28" s="45"/>
      <c r="K28" s="45"/>
      <c r="L28" s="45"/>
      <c r="M28" s="45"/>
    </row>
    <row r="29" spans="1:13" x14ac:dyDescent="0.2">
      <c r="A29" s="324"/>
      <c r="B29" s="325"/>
      <c r="C29" s="325"/>
      <c r="D29" s="326"/>
      <c r="E29" s="56"/>
      <c r="F29" s="53"/>
      <c r="G29" s="53"/>
      <c r="H29" s="43"/>
      <c r="I29" s="45"/>
      <c r="J29" s="45"/>
      <c r="K29" s="45"/>
      <c r="L29" s="45"/>
      <c r="M29" s="45"/>
    </row>
    <row r="30" spans="1:13" ht="30" customHeight="1" x14ac:dyDescent="0.2">
      <c r="A30" s="331" t="s">
        <v>128</v>
      </c>
      <c r="B30" s="332"/>
      <c r="C30" s="332"/>
      <c r="D30" s="333"/>
      <c r="E30" s="57"/>
      <c r="F30" s="58"/>
      <c r="G30" s="53"/>
      <c r="H30" s="42"/>
      <c r="I30" s="45"/>
      <c r="J30" s="45"/>
      <c r="K30" s="45"/>
      <c r="L30" s="45"/>
      <c r="M30" s="45"/>
    </row>
    <row r="31" spans="1:13" x14ac:dyDescent="0.2">
      <c r="A31" s="136" t="s">
        <v>42</v>
      </c>
      <c r="B31" s="141" t="s">
        <v>129</v>
      </c>
      <c r="C31" s="136" t="s">
        <v>1</v>
      </c>
      <c r="D31" s="136" t="s">
        <v>62</v>
      </c>
      <c r="E31" s="56"/>
      <c r="F31" s="53"/>
      <c r="G31" s="53"/>
      <c r="H31" s="43"/>
      <c r="I31" s="45"/>
      <c r="J31" s="45"/>
      <c r="K31" s="45"/>
      <c r="L31" s="45"/>
      <c r="M31" s="45"/>
    </row>
    <row r="32" spans="1:13" x14ac:dyDescent="0.2">
      <c r="A32" s="140" t="s">
        <v>4</v>
      </c>
      <c r="B32" s="142" t="s">
        <v>33</v>
      </c>
      <c r="C32" s="11">
        <v>0.2</v>
      </c>
      <c r="D32" s="12">
        <f t="shared" ref="D32:D39" si="0">TRUNC(($D$18)*C32,2)</f>
        <v>530.15</v>
      </c>
      <c r="E32" s="56" t="s">
        <v>56</v>
      </c>
      <c r="F32" s="53"/>
      <c r="G32" s="53"/>
      <c r="H32" s="42"/>
      <c r="I32" s="45"/>
      <c r="J32" s="45"/>
      <c r="K32" s="45"/>
      <c r="L32" s="45"/>
      <c r="M32" s="45"/>
    </row>
    <row r="33" spans="1:13" x14ac:dyDescent="0.2">
      <c r="A33" s="140" t="s">
        <v>5</v>
      </c>
      <c r="B33" s="142" t="s">
        <v>34</v>
      </c>
      <c r="C33" s="11">
        <v>2.5000000000000001E-2</v>
      </c>
      <c r="D33" s="12">
        <f t="shared" si="0"/>
        <v>66.260000000000005</v>
      </c>
      <c r="E33" s="56" t="s">
        <v>57</v>
      </c>
      <c r="F33" s="53"/>
      <c r="G33" s="53"/>
      <c r="H33" s="42"/>
      <c r="I33" s="45"/>
      <c r="J33" s="45"/>
      <c r="K33" s="45"/>
      <c r="L33" s="45"/>
      <c r="M33" s="45"/>
    </row>
    <row r="34" spans="1:13" x14ac:dyDescent="0.2">
      <c r="A34" s="140" t="s">
        <v>6</v>
      </c>
      <c r="B34" s="142" t="s">
        <v>148</v>
      </c>
      <c r="C34" s="11">
        <f>3*1%</f>
        <v>0.03</v>
      </c>
      <c r="D34" s="12">
        <f t="shared" si="0"/>
        <v>79.52</v>
      </c>
      <c r="E34" s="56" t="s">
        <v>150</v>
      </c>
      <c r="F34" s="53"/>
      <c r="G34" s="53"/>
      <c r="H34" s="42"/>
      <c r="I34" s="45"/>
      <c r="J34" s="45"/>
      <c r="K34" s="45"/>
      <c r="L34" s="45"/>
      <c r="M34" s="45"/>
    </row>
    <row r="35" spans="1:13" x14ac:dyDescent="0.2">
      <c r="A35" s="140" t="s">
        <v>7</v>
      </c>
      <c r="B35" s="142" t="s">
        <v>32</v>
      </c>
      <c r="C35" s="11">
        <v>1.4999999999999999E-2</v>
      </c>
      <c r="D35" s="12">
        <f t="shared" si="0"/>
        <v>39.76</v>
      </c>
      <c r="E35" s="56" t="s">
        <v>57</v>
      </c>
      <c r="F35" s="53"/>
      <c r="G35" s="53"/>
      <c r="H35" s="42"/>
      <c r="I35" s="45"/>
      <c r="J35" s="45"/>
      <c r="K35" s="45"/>
      <c r="L35" s="45"/>
      <c r="M35" s="45"/>
    </row>
    <row r="36" spans="1:13" x14ac:dyDescent="0.2">
      <c r="A36" s="140" t="s">
        <v>8</v>
      </c>
      <c r="B36" s="142" t="s">
        <v>35</v>
      </c>
      <c r="C36" s="11">
        <v>0.01</v>
      </c>
      <c r="D36" s="12">
        <f t="shared" si="0"/>
        <v>26.5</v>
      </c>
      <c r="E36" s="56" t="s">
        <v>57</v>
      </c>
      <c r="F36" s="53"/>
      <c r="G36" s="53"/>
      <c r="H36" s="42"/>
      <c r="I36" s="45"/>
      <c r="J36" s="45"/>
      <c r="K36" s="45"/>
      <c r="L36" s="45"/>
      <c r="M36" s="45"/>
    </row>
    <row r="37" spans="1:13" x14ac:dyDescent="0.2">
      <c r="A37" s="140" t="s">
        <v>9</v>
      </c>
      <c r="B37" s="142" t="s">
        <v>36</v>
      </c>
      <c r="C37" s="11">
        <v>6.0000000000000001E-3</v>
      </c>
      <c r="D37" s="12">
        <f t="shared" si="0"/>
        <v>15.9</v>
      </c>
      <c r="E37" s="56" t="s">
        <v>57</v>
      </c>
      <c r="F37" s="53"/>
      <c r="G37" s="53"/>
      <c r="H37" s="42"/>
      <c r="I37" s="45"/>
      <c r="J37" s="45"/>
      <c r="K37" s="45"/>
      <c r="L37" s="45"/>
      <c r="M37" s="45"/>
    </row>
    <row r="38" spans="1:13" x14ac:dyDescent="0.2">
      <c r="A38" s="140" t="s">
        <v>10</v>
      </c>
      <c r="B38" s="142" t="s">
        <v>37</v>
      </c>
      <c r="C38" s="11">
        <v>2E-3</v>
      </c>
      <c r="D38" s="12">
        <f t="shared" si="0"/>
        <v>5.3</v>
      </c>
      <c r="E38" s="56" t="s">
        <v>57</v>
      </c>
      <c r="F38" s="53"/>
      <c r="G38" s="53"/>
      <c r="H38" s="42"/>
      <c r="I38" s="45"/>
      <c r="J38" s="45"/>
      <c r="K38" s="45"/>
      <c r="L38" s="45"/>
      <c r="M38" s="45"/>
    </row>
    <row r="39" spans="1:13" x14ac:dyDescent="0.2">
      <c r="A39" s="140" t="s">
        <v>11</v>
      </c>
      <c r="B39" s="142" t="s">
        <v>38</v>
      </c>
      <c r="C39" s="11">
        <v>0.08</v>
      </c>
      <c r="D39" s="12">
        <f t="shared" si="0"/>
        <v>212.06</v>
      </c>
      <c r="E39" s="56" t="s">
        <v>56</v>
      </c>
      <c r="F39" s="53"/>
      <c r="G39" s="53"/>
      <c r="H39" s="42"/>
      <c r="I39" s="45"/>
      <c r="J39" s="45"/>
      <c r="K39" s="45"/>
      <c r="L39" s="45"/>
      <c r="M39" s="45"/>
    </row>
    <row r="40" spans="1:13" x14ac:dyDescent="0.2">
      <c r="A40" s="334" t="s">
        <v>119</v>
      </c>
      <c r="B40" s="334"/>
      <c r="C40" s="126">
        <f>SUM(C32:C39)</f>
        <v>0.36800000000000005</v>
      </c>
      <c r="D40" s="127">
        <f>SUM(D32:D39)</f>
        <v>975.44999999999982</v>
      </c>
      <c r="E40" s="56"/>
      <c r="F40" s="53"/>
      <c r="G40" s="53"/>
      <c r="H40" s="42"/>
      <c r="I40" s="45"/>
      <c r="J40" s="45"/>
      <c r="K40" s="45"/>
      <c r="L40" s="45"/>
      <c r="M40" s="45"/>
    </row>
    <row r="41" spans="1:13" x14ac:dyDescent="0.2">
      <c r="A41" s="327"/>
      <c r="B41" s="328"/>
      <c r="C41" s="328"/>
      <c r="D41" s="329"/>
      <c r="E41" s="56"/>
      <c r="F41" s="53"/>
      <c r="G41" s="53"/>
      <c r="H41" s="42"/>
      <c r="I41" s="49"/>
      <c r="J41" s="45"/>
      <c r="K41" s="45"/>
      <c r="L41" s="45"/>
      <c r="M41" s="45"/>
    </row>
    <row r="42" spans="1:13" x14ac:dyDescent="0.2">
      <c r="A42" s="331" t="s">
        <v>40</v>
      </c>
      <c r="B42" s="332"/>
      <c r="C42" s="332"/>
      <c r="D42" s="333"/>
      <c r="E42" s="56"/>
      <c r="F42" s="53"/>
      <c r="G42" s="53"/>
      <c r="H42" s="42"/>
      <c r="I42" s="45"/>
      <c r="J42" s="45"/>
      <c r="K42" s="45"/>
      <c r="L42" s="45"/>
      <c r="M42" s="45"/>
    </row>
    <row r="43" spans="1:13" s="4" customFormat="1" x14ac:dyDescent="0.2">
      <c r="A43" s="136" t="s">
        <v>43</v>
      </c>
      <c r="B43" s="141" t="s">
        <v>44</v>
      </c>
      <c r="C43" s="136"/>
      <c r="D43" s="136" t="s">
        <v>62</v>
      </c>
      <c r="E43" s="59"/>
      <c r="F43" s="60"/>
      <c r="G43" s="60"/>
      <c r="H43" s="44"/>
      <c r="I43" s="46"/>
      <c r="J43" s="46"/>
      <c r="K43" s="46"/>
      <c r="L43" s="46"/>
      <c r="M43" s="46"/>
    </row>
    <row r="44" spans="1:13" x14ac:dyDescent="0.2">
      <c r="A44" s="140" t="s">
        <v>4</v>
      </c>
      <c r="B44" s="41" t="s">
        <v>54</v>
      </c>
      <c r="C44" s="69"/>
      <c r="D44" s="15">
        <f>TRUNC((8.55*2*22)-(D12*6%),2)</f>
        <v>217.15</v>
      </c>
      <c r="E44" s="313" t="s">
        <v>160</v>
      </c>
      <c r="F44" s="313"/>
      <c r="G44" s="313"/>
      <c r="H44" s="313"/>
      <c r="I44" s="313"/>
      <c r="J44" s="45"/>
      <c r="K44" s="45"/>
      <c r="L44" s="45"/>
      <c r="M44" s="45"/>
    </row>
    <row r="45" spans="1:13" ht="12.75" customHeight="1" x14ac:dyDescent="0.2">
      <c r="A45" s="140" t="s">
        <v>5</v>
      </c>
      <c r="B45" s="41" t="s">
        <v>55</v>
      </c>
      <c r="C45" s="69"/>
      <c r="D45" s="15">
        <f>TRUNC((15*22),2)</f>
        <v>330</v>
      </c>
      <c r="E45" s="121" t="s">
        <v>58</v>
      </c>
      <c r="F45" s="122"/>
      <c r="G45" s="122"/>
      <c r="H45" s="122"/>
      <c r="I45" s="122"/>
      <c r="J45" s="45"/>
      <c r="K45" s="45"/>
      <c r="L45" s="45"/>
      <c r="M45" s="45"/>
    </row>
    <row r="46" spans="1:13" x14ac:dyDescent="0.2">
      <c r="A46" s="140" t="s">
        <v>6</v>
      </c>
      <c r="B46" s="41" t="s">
        <v>207</v>
      </c>
      <c r="C46" s="69"/>
      <c r="D46" s="15">
        <f>3*22</f>
        <v>66</v>
      </c>
      <c r="E46" s="56"/>
      <c r="F46" s="53"/>
      <c r="G46" s="53"/>
      <c r="H46" s="42"/>
      <c r="I46" s="45"/>
      <c r="J46" s="45"/>
      <c r="K46" s="45"/>
      <c r="L46" s="45"/>
      <c r="M46" s="45"/>
    </row>
    <row r="47" spans="1:13" s="77" customFormat="1" x14ac:dyDescent="0.2">
      <c r="A47" s="140" t="s">
        <v>7</v>
      </c>
      <c r="B47" s="41" t="s">
        <v>208</v>
      </c>
      <c r="C47" s="69"/>
      <c r="D47" s="15">
        <v>5</v>
      </c>
      <c r="E47" s="56"/>
      <c r="F47" s="53"/>
      <c r="G47" s="53"/>
      <c r="H47" s="42"/>
      <c r="I47" s="45"/>
      <c r="J47" s="45"/>
      <c r="K47" s="45"/>
      <c r="L47" s="45"/>
      <c r="M47" s="45"/>
    </row>
    <row r="48" spans="1:13" s="77" customFormat="1" x14ac:dyDescent="0.2">
      <c r="A48" s="140" t="s">
        <v>8</v>
      </c>
      <c r="B48" s="41" t="s">
        <v>2</v>
      </c>
      <c r="C48" s="69"/>
      <c r="D48" s="15">
        <v>0</v>
      </c>
      <c r="E48" s="56"/>
      <c r="F48" s="53"/>
      <c r="G48" s="53"/>
      <c r="H48" s="42"/>
      <c r="I48" s="45"/>
      <c r="J48" s="45"/>
      <c r="K48" s="45"/>
      <c r="L48" s="45"/>
      <c r="M48" s="45"/>
    </row>
    <row r="49" spans="1:13" x14ac:dyDescent="0.2">
      <c r="A49" s="334" t="s">
        <v>119</v>
      </c>
      <c r="B49" s="334"/>
      <c r="C49" s="334"/>
      <c r="D49" s="127">
        <f>SUM(D44:D48)</f>
        <v>618.15</v>
      </c>
      <c r="E49" s="56"/>
      <c r="F49" s="53"/>
      <c r="G49" s="53"/>
      <c r="H49" s="42"/>
      <c r="I49" s="45"/>
      <c r="J49" s="45"/>
      <c r="K49" s="45"/>
      <c r="L49" s="45"/>
      <c r="M49" s="45"/>
    </row>
    <row r="50" spans="1:13" x14ac:dyDescent="0.2">
      <c r="A50" s="324"/>
      <c r="B50" s="325"/>
      <c r="C50" s="325"/>
      <c r="D50" s="326"/>
      <c r="E50" s="56"/>
      <c r="F50" s="53"/>
      <c r="G50" s="53"/>
      <c r="H50" s="42"/>
      <c r="I50" s="45"/>
      <c r="J50" s="45"/>
      <c r="K50" s="45"/>
      <c r="L50" s="45"/>
      <c r="M50" s="45"/>
    </row>
    <row r="51" spans="1:13" x14ac:dyDescent="0.2">
      <c r="A51" s="335" t="s">
        <v>131</v>
      </c>
      <c r="B51" s="335"/>
      <c r="C51" s="335"/>
      <c r="D51" s="335"/>
      <c r="E51" s="56"/>
      <c r="F51" s="53"/>
      <c r="G51" s="53"/>
      <c r="H51" s="42"/>
      <c r="I51" s="45"/>
      <c r="J51" s="45"/>
      <c r="K51" s="45"/>
      <c r="L51" s="45"/>
      <c r="M51" s="45"/>
    </row>
    <row r="52" spans="1:13" x14ac:dyDescent="0.2">
      <c r="A52" s="136">
        <v>2</v>
      </c>
      <c r="B52" s="336" t="s">
        <v>130</v>
      </c>
      <c r="C52" s="337"/>
      <c r="D52" s="136" t="s">
        <v>62</v>
      </c>
      <c r="E52" s="56"/>
      <c r="F52" s="53"/>
      <c r="G52" s="53"/>
      <c r="H52" s="42"/>
      <c r="I52" s="45"/>
      <c r="J52" s="45"/>
      <c r="K52" s="45"/>
      <c r="L52" s="45"/>
      <c r="M52" s="45"/>
    </row>
    <row r="53" spans="1:13" x14ac:dyDescent="0.2">
      <c r="A53" s="140" t="s">
        <v>41</v>
      </c>
      <c r="B53" s="338" t="s">
        <v>30</v>
      </c>
      <c r="C53" s="338"/>
      <c r="D53" s="12">
        <f>D28</f>
        <v>705.08999999999992</v>
      </c>
      <c r="E53" s="56"/>
      <c r="F53" s="53"/>
      <c r="G53" s="53"/>
      <c r="H53" s="42"/>
      <c r="I53" s="45"/>
      <c r="J53" s="45"/>
      <c r="K53" s="45"/>
      <c r="L53" s="45"/>
      <c r="M53" s="45"/>
    </row>
    <row r="54" spans="1:13" x14ac:dyDescent="0.2">
      <c r="A54" s="140" t="s">
        <v>42</v>
      </c>
      <c r="B54" s="338" t="s">
        <v>31</v>
      </c>
      <c r="C54" s="338"/>
      <c r="D54" s="12">
        <f>D40</f>
        <v>975.44999999999982</v>
      </c>
      <c r="E54" s="56"/>
      <c r="F54" s="53"/>
      <c r="G54" s="53"/>
      <c r="H54" s="42"/>
      <c r="I54" s="45"/>
      <c r="J54" s="45"/>
      <c r="K54" s="45"/>
      <c r="L54" s="45"/>
      <c r="M54" s="45"/>
    </row>
    <row r="55" spans="1:13" x14ac:dyDescent="0.2">
      <c r="A55" s="140" t="s">
        <v>43</v>
      </c>
      <c r="B55" s="338" t="s">
        <v>44</v>
      </c>
      <c r="C55" s="338"/>
      <c r="D55" s="12">
        <f>D49</f>
        <v>618.15</v>
      </c>
      <c r="E55" s="56"/>
      <c r="F55" s="53"/>
      <c r="G55" s="53"/>
      <c r="H55" s="42"/>
      <c r="I55" s="45"/>
      <c r="J55" s="45"/>
      <c r="K55" s="45"/>
      <c r="L55" s="45"/>
      <c r="M55" s="45"/>
    </row>
    <row r="56" spans="1:13" x14ac:dyDescent="0.2">
      <c r="A56" s="291" t="s">
        <v>119</v>
      </c>
      <c r="B56" s="291"/>
      <c r="C56" s="291"/>
      <c r="D56" s="115">
        <f>SUM(D53:D55)</f>
        <v>2298.6899999999996</v>
      </c>
      <c r="E56" s="56"/>
      <c r="F56" s="53"/>
      <c r="G56" s="53"/>
      <c r="H56" s="42"/>
      <c r="I56" s="45"/>
      <c r="J56" s="45"/>
      <c r="K56" s="45"/>
      <c r="L56" s="45"/>
      <c r="M56" s="45"/>
    </row>
    <row r="57" spans="1:13" x14ac:dyDescent="0.2">
      <c r="A57" s="325"/>
      <c r="B57" s="325"/>
      <c r="C57" s="325"/>
      <c r="D57" s="325"/>
      <c r="E57" s="56"/>
      <c r="F57" s="53"/>
      <c r="G57" s="53"/>
      <c r="H57" s="42"/>
      <c r="I57" s="45"/>
      <c r="J57" s="45"/>
      <c r="K57" s="45"/>
      <c r="L57" s="45"/>
      <c r="M57" s="45"/>
    </row>
    <row r="58" spans="1:13" x14ac:dyDescent="0.2">
      <c r="A58" s="135"/>
      <c r="B58" s="135"/>
      <c r="C58" s="135"/>
      <c r="D58" s="135"/>
      <c r="E58" s="56"/>
      <c r="F58" s="53"/>
      <c r="G58" s="53"/>
      <c r="H58" s="42"/>
      <c r="I58" s="45"/>
      <c r="J58" s="45"/>
      <c r="K58" s="45"/>
      <c r="L58" s="45"/>
      <c r="M58" s="45"/>
    </row>
    <row r="59" spans="1:13" x14ac:dyDescent="0.2">
      <c r="A59" s="292" t="s">
        <v>133</v>
      </c>
      <c r="B59" s="292"/>
      <c r="C59" s="292"/>
      <c r="D59" s="292"/>
      <c r="E59" s="56"/>
      <c r="F59" s="53"/>
      <c r="G59" s="53"/>
      <c r="H59" s="42"/>
      <c r="I59" s="45"/>
      <c r="J59" s="45"/>
      <c r="K59" s="45"/>
      <c r="L59" s="45"/>
      <c r="M59" s="45"/>
    </row>
    <row r="60" spans="1:13" x14ac:dyDescent="0.2">
      <c r="A60" s="136">
        <v>3</v>
      </c>
      <c r="B60" s="136" t="s">
        <v>120</v>
      </c>
      <c r="C60" s="136" t="s">
        <v>1</v>
      </c>
      <c r="D60" s="136" t="s">
        <v>62</v>
      </c>
      <c r="E60" s="61"/>
      <c r="F60" s="53"/>
      <c r="G60" s="53"/>
      <c r="H60" s="42"/>
      <c r="I60" s="45"/>
      <c r="J60" s="45"/>
      <c r="K60" s="45"/>
      <c r="L60" s="45"/>
      <c r="M60" s="45"/>
    </row>
    <row r="61" spans="1:13" x14ac:dyDescent="0.2">
      <c r="A61" s="140" t="s">
        <v>4</v>
      </c>
      <c r="B61" s="142" t="s">
        <v>47</v>
      </c>
      <c r="C61" s="11">
        <f>((1/12)*5%)</f>
        <v>4.1666666666666666E-3</v>
      </c>
      <c r="D61" s="12">
        <f>TRUNC(($D$18*C61),2)</f>
        <v>11.04</v>
      </c>
      <c r="E61" s="56" t="s">
        <v>132</v>
      </c>
      <c r="F61" s="53"/>
      <c r="G61" s="53"/>
      <c r="H61" s="42"/>
      <c r="I61" s="45"/>
      <c r="J61" s="47"/>
      <c r="K61" s="45"/>
      <c r="L61" s="45"/>
      <c r="M61" s="45"/>
    </row>
    <row r="62" spans="1:13" x14ac:dyDescent="0.2">
      <c r="A62" s="140" t="s">
        <v>5</v>
      </c>
      <c r="B62" s="142" t="s">
        <v>46</v>
      </c>
      <c r="C62" s="11">
        <f>0.08*C61</f>
        <v>3.3333333333333332E-4</v>
      </c>
      <c r="D62" s="12">
        <f>TRUNC((C62*D18),2)</f>
        <v>0.88</v>
      </c>
      <c r="E62" s="56" t="s">
        <v>59</v>
      </c>
      <c r="F62" s="53"/>
      <c r="G62" s="53"/>
      <c r="H62" s="42"/>
      <c r="I62" s="45"/>
      <c r="J62" s="48"/>
      <c r="K62" s="45"/>
      <c r="L62" s="45"/>
      <c r="M62" s="45"/>
    </row>
    <row r="63" spans="1:13" x14ac:dyDescent="0.2">
      <c r="A63" s="140" t="s">
        <v>6</v>
      </c>
      <c r="B63" s="142" t="s">
        <v>175</v>
      </c>
      <c r="C63" s="11">
        <f>8%*(40%)*90%*(1+C28)</f>
        <v>2.8800000000000003E-2</v>
      </c>
      <c r="D63" s="12">
        <f>TRUNC((C63*D18),2)</f>
        <v>76.34</v>
      </c>
      <c r="E63" s="56" t="s">
        <v>169</v>
      </c>
      <c r="F63" s="53"/>
      <c r="G63" s="53"/>
      <c r="H63" s="42"/>
      <c r="I63" s="45"/>
      <c r="J63" s="48"/>
      <c r="K63" s="45"/>
      <c r="L63" s="45"/>
      <c r="M63" s="45"/>
    </row>
    <row r="64" spans="1:13" x14ac:dyDescent="0.2">
      <c r="A64" s="140" t="s">
        <v>7</v>
      </c>
      <c r="B64" s="142" t="s">
        <v>45</v>
      </c>
      <c r="C64" s="11">
        <f>((1/30)*7)/12</f>
        <v>1.9444444444444445E-2</v>
      </c>
      <c r="D64" s="12">
        <f>TRUNC(($D$18*C64),2)</f>
        <v>51.54</v>
      </c>
      <c r="E64" s="56" t="s">
        <v>60</v>
      </c>
      <c r="F64" s="53"/>
      <c r="G64" s="53"/>
      <c r="H64" s="42"/>
      <c r="I64" s="45"/>
      <c r="J64" s="49"/>
      <c r="K64" s="45"/>
      <c r="L64" s="45"/>
      <c r="M64" s="45"/>
    </row>
    <row r="65" spans="1:13" x14ac:dyDescent="0.2">
      <c r="A65" s="140" t="s">
        <v>8</v>
      </c>
      <c r="B65" s="142" t="s">
        <v>48</v>
      </c>
      <c r="C65" s="11">
        <f>C40*C64</f>
        <v>7.1555555555555565E-3</v>
      </c>
      <c r="D65" s="12">
        <f>TRUNC(($D$18*C65),2)</f>
        <v>18.96</v>
      </c>
      <c r="E65" s="59" t="s">
        <v>61</v>
      </c>
      <c r="F65" s="62"/>
      <c r="G65" s="53"/>
      <c r="H65" s="42"/>
      <c r="I65" s="45"/>
      <c r="J65" s="49"/>
      <c r="K65" s="45"/>
      <c r="L65" s="45"/>
      <c r="M65" s="45"/>
    </row>
    <row r="66" spans="1:13" ht="12.75" customHeight="1" x14ac:dyDescent="0.2">
      <c r="A66" s="140" t="s">
        <v>9</v>
      </c>
      <c r="B66" s="142" t="s">
        <v>176</v>
      </c>
      <c r="C66" s="11">
        <f>(8%*(40%))*C65</f>
        <v>2.2897777777777781E-4</v>
      </c>
      <c r="D66" s="12">
        <f>TRUNC((C66*(D18+D28)),2)</f>
        <v>0.76</v>
      </c>
      <c r="E66" s="317" t="s">
        <v>170</v>
      </c>
      <c r="F66" s="317"/>
      <c r="G66" s="317"/>
      <c r="H66" s="317"/>
      <c r="I66" s="317"/>
      <c r="J66" s="48"/>
      <c r="K66" s="45"/>
      <c r="L66" s="45"/>
      <c r="M66" s="45"/>
    </row>
    <row r="67" spans="1:13" x14ac:dyDescent="0.2">
      <c r="A67" s="291" t="s">
        <v>119</v>
      </c>
      <c r="B67" s="291"/>
      <c r="C67" s="70">
        <f>TRUNC(SUM(C61:C66),4)</f>
        <v>6.0100000000000001E-2</v>
      </c>
      <c r="D67" s="115">
        <f>SUM(D61:D66)</f>
        <v>159.52000000000001</v>
      </c>
      <c r="E67" s="56"/>
      <c r="F67" s="53"/>
      <c r="G67" s="53"/>
      <c r="H67" s="42"/>
      <c r="I67" s="45"/>
      <c r="J67" s="45"/>
      <c r="K67" s="45"/>
      <c r="L67" s="45"/>
      <c r="M67" s="45"/>
    </row>
    <row r="68" spans="1:13" x14ac:dyDescent="0.2">
      <c r="A68" s="318"/>
      <c r="B68" s="318"/>
      <c r="C68" s="318"/>
      <c r="D68" s="318"/>
      <c r="E68" s="56"/>
      <c r="F68" s="53"/>
      <c r="G68" s="53"/>
      <c r="H68" s="42"/>
      <c r="I68" s="45"/>
      <c r="J68" s="45"/>
      <c r="K68" s="45"/>
      <c r="L68" s="45"/>
      <c r="M68" s="45"/>
    </row>
    <row r="69" spans="1:13" x14ac:dyDescent="0.2">
      <c r="A69" s="135"/>
      <c r="B69" s="135"/>
      <c r="C69" s="135"/>
      <c r="D69" s="135"/>
      <c r="E69" s="56"/>
      <c r="F69" s="53"/>
      <c r="G69" s="53"/>
      <c r="H69" s="42"/>
      <c r="I69" s="45"/>
      <c r="J69" s="45"/>
      <c r="K69" s="45"/>
      <c r="L69" s="45"/>
      <c r="M69" s="45"/>
    </row>
    <row r="70" spans="1:13" x14ac:dyDescent="0.2">
      <c r="A70" s="292" t="s">
        <v>134</v>
      </c>
      <c r="B70" s="292"/>
      <c r="C70" s="292"/>
      <c r="D70" s="292"/>
      <c r="E70" s="56"/>
      <c r="F70" s="53"/>
      <c r="G70" s="53"/>
      <c r="H70" s="42"/>
      <c r="I70" s="45"/>
      <c r="J70" s="45"/>
      <c r="K70" s="45"/>
      <c r="L70" s="45"/>
      <c r="M70" s="45"/>
    </row>
    <row r="71" spans="1:13" x14ac:dyDescent="0.2">
      <c r="A71" s="314" t="s">
        <v>163</v>
      </c>
      <c r="B71" s="315"/>
      <c r="C71" s="315"/>
      <c r="D71" s="316"/>
      <c r="E71" s="56"/>
      <c r="F71" s="53"/>
      <c r="G71" s="53"/>
      <c r="H71" s="42"/>
      <c r="I71" s="45"/>
      <c r="J71" s="45"/>
      <c r="K71" s="45"/>
      <c r="L71" s="45"/>
      <c r="M71" s="45"/>
    </row>
    <row r="72" spans="1:13" x14ac:dyDescent="0.2">
      <c r="A72" s="136" t="s">
        <v>13</v>
      </c>
      <c r="B72" s="136" t="s">
        <v>164</v>
      </c>
      <c r="C72" s="136" t="s">
        <v>1</v>
      </c>
      <c r="D72" s="136" t="s">
        <v>62</v>
      </c>
      <c r="E72" s="56"/>
      <c r="F72" s="53"/>
      <c r="G72" s="53"/>
      <c r="H72" s="42"/>
      <c r="I72" s="50"/>
      <c r="J72" s="45"/>
      <c r="K72" s="45"/>
      <c r="L72" s="45"/>
      <c r="M72" s="45"/>
    </row>
    <row r="73" spans="1:13" x14ac:dyDescent="0.2">
      <c r="A73" s="140" t="s">
        <v>4</v>
      </c>
      <c r="B73" s="142" t="s">
        <v>171</v>
      </c>
      <c r="C73" s="11">
        <f>1/12</f>
        <v>8.3333333333333329E-2</v>
      </c>
      <c r="D73" s="12">
        <f>TRUNC(($D$18*C73),2)</f>
        <v>220.89</v>
      </c>
      <c r="E73" s="56"/>
      <c r="F73" s="53"/>
      <c r="G73" s="53"/>
      <c r="H73" s="42"/>
      <c r="I73" s="50"/>
      <c r="J73" s="45"/>
      <c r="K73" s="45"/>
      <c r="L73" s="45"/>
      <c r="M73" s="45"/>
    </row>
    <row r="74" spans="1:13" x14ac:dyDescent="0.2">
      <c r="A74" s="140" t="s">
        <v>5</v>
      </c>
      <c r="B74" s="142" t="s">
        <v>151</v>
      </c>
      <c r="C74" s="11">
        <f>5.96/30/12</f>
        <v>1.6555555555555556E-2</v>
      </c>
      <c r="D74" s="12">
        <f>TRUNC(($D$18*C74),2)</f>
        <v>43.88</v>
      </c>
      <c r="E74" s="59" t="s">
        <v>172</v>
      </c>
      <c r="F74" s="53"/>
      <c r="G74" s="53"/>
      <c r="H74" s="42"/>
      <c r="I74" s="50"/>
      <c r="J74" s="45"/>
      <c r="K74" s="45"/>
      <c r="L74" s="45"/>
      <c r="M74" s="45"/>
    </row>
    <row r="75" spans="1:13" x14ac:dyDescent="0.2">
      <c r="A75" s="140" t="s">
        <v>6</v>
      </c>
      <c r="B75" s="142" t="s">
        <v>152</v>
      </c>
      <c r="C75" s="11">
        <f>(1/30/12)*5*1.5%</f>
        <v>2.0833333333333335E-4</v>
      </c>
      <c r="D75" s="12">
        <f>TRUNC(($D$18*C75),2)</f>
        <v>0.55000000000000004</v>
      </c>
      <c r="E75" s="59" t="s">
        <v>135</v>
      </c>
      <c r="F75" s="53"/>
      <c r="G75" s="53"/>
      <c r="H75" s="42"/>
      <c r="I75" s="45"/>
      <c r="J75" s="45"/>
      <c r="K75" s="45"/>
      <c r="L75" s="45"/>
      <c r="M75" s="45"/>
    </row>
    <row r="76" spans="1:13" x14ac:dyDescent="0.2">
      <c r="A76" s="140" t="s">
        <v>7</v>
      </c>
      <c r="B76" s="142" t="s">
        <v>153</v>
      </c>
      <c r="C76" s="11">
        <f>(15/30/12)*8%</f>
        <v>3.3333333333333331E-3</v>
      </c>
      <c r="D76" s="12">
        <f>TRUNC(($D$18*C76),2)</f>
        <v>8.83</v>
      </c>
      <c r="E76" s="59" t="s">
        <v>173</v>
      </c>
      <c r="F76" s="60"/>
      <c r="G76" s="60"/>
      <c r="H76" s="42"/>
      <c r="I76" s="45"/>
      <c r="J76" s="45"/>
      <c r="K76" s="45"/>
      <c r="L76" s="45"/>
      <c r="M76" s="45"/>
    </row>
    <row r="77" spans="1:13" x14ac:dyDescent="0.2">
      <c r="A77" s="140" t="s">
        <v>8</v>
      </c>
      <c r="B77" s="142" t="s">
        <v>154</v>
      </c>
      <c r="C77" s="11">
        <f>(4/12)/12*2%</f>
        <v>5.5555555555555556E-4</v>
      </c>
      <c r="D77" s="12">
        <f>TRUNC(($D$18*C77),2)</f>
        <v>1.47</v>
      </c>
      <c r="E77" s="59" t="s">
        <v>174</v>
      </c>
      <c r="F77" s="63"/>
      <c r="G77" s="53"/>
      <c r="H77" s="42"/>
      <c r="I77" s="45"/>
      <c r="J77" s="45"/>
      <c r="K77" s="45"/>
      <c r="L77" s="45"/>
      <c r="M77" s="45"/>
    </row>
    <row r="78" spans="1:13" x14ac:dyDescent="0.2">
      <c r="A78" s="140" t="s">
        <v>9</v>
      </c>
      <c r="B78" s="142" t="s">
        <v>183</v>
      </c>
      <c r="C78" s="11">
        <v>0</v>
      </c>
      <c r="D78" s="12">
        <f>TRUNC((C78*D18),2)</f>
        <v>0</v>
      </c>
      <c r="E78" s="59" t="s">
        <v>182</v>
      </c>
      <c r="F78" s="64"/>
      <c r="G78" s="60"/>
      <c r="H78" s="44"/>
      <c r="I78" s="45"/>
      <c r="J78" s="45"/>
      <c r="K78" s="45"/>
      <c r="L78" s="45"/>
      <c r="M78" s="45"/>
    </row>
    <row r="79" spans="1:13" x14ac:dyDescent="0.2">
      <c r="A79" s="291" t="s">
        <v>119</v>
      </c>
      <c r="B79" s="291"/>
      <c r="C79" s="70">
        <f>TRUNC(SUM(C73:C78),4)</f>
        <v>0.10390000000000001</v>
      </c>
      <c r="D79" s="115">
        <f>SUM(D73:D78)</f>
        <v>275.62</v>
      </c>
      <c r="E79" s="56"/>
      <c r="F79" s="53"/>
      <c r="G79" s="53"/>
      <c r="H79" s="42"/>
      <c r="I79" s="45"/>
      <c r="J79" s="45"/>
      <c r="K79" s="45"/>
      <c r="L79" s="45"/>
      <c r="M79" s="45"/>
    </row>
    <row r="80" spans="1:13" x14ac:dyDescent="0.2">
      <c r="A80" s="128"/>
      <c r="B80" s="129"/>
      <c r="C80" s="129"/>
      <c r="D80" s="130"/>
      <c r="E80" s="56"/>
      <c r="F80" s="53"/>
      <c r="G80" s="53"/>
      <c r="H80" s="42"/>
      <c r="I80" s="45"/>
      <c r="J80" s="45"/>
      <c r="K80" s="45"/>
      <c r="L80" s="45"/>
      <c r="M80" s="45"/>
    </row>
    <row r="81" spans="1:13" x14ac:dyDescent="0.2">
      <c r="A81" s="314" t="s">
        <v>165</v>
      </c>
      <c r="B81" s="315"/>
      <c r="C81" s="315"/>
      <c r="D81" s="316"/>
      <c r="E81" s="56"/>
      <c r="F81" s="53"/>
      <c r="G81" s="53"/>
      <c r="H81" s="42"/>
      <c r="I81" s="45"/>
      <c r="J81" s="45"/>
      <c r="K81" s="45"/>
      <c r="L81" s="45"/>
      <c r="M81" s="45"/>
    </row>
    <row r="82" spans="1:13" x14ac:dyDescent="0.2">
      <c r="A82" s="136" t="s">
        <v>14</v>
      </c>
      <c r="B82" s="95" t="s">
        <v>166</v>
      </c>
      <c r="C82" s="95" t="s">
        <v>1</v>
      </c>
      <c r="D82" s="136" t="s">
        <v>62</v>
      </c>
      <c r="E82" s="56"/>
      <c r="F82" s="53"/>
      <c r="G82" s="53"/>
      <c r="H82" s="42"/>
      <c r="I82" s="45"/>
      <c r="J82" s="45"/>
      <c r="K82" s="45"/>
      <c r="L82" s="45"/>
      <c r="M82" s="45"/>
    </row>
    <row r="83" spans="1:13" x14ac:dyDescent="0.2">
      <c r="A83" s="140" t="s">
        <v>4</v>
      </c>
      <c r="B83" s="142" t="s">
        <v>167</v>
      </c>
      <c r="C83" s="11">
        <v>0</v>
      </c>
      <c r="D83" s="12">
        <f>TRUNC(($D$18*C83),2)</f>
        <v>0</v>
      </c>
      <c r="E83" s="56"/>
      <c r="F83" s="53"/>
      <c r="G83" s="53"/>
      <c r="H83" s="42"/>
      <c r="I83" s="45"/>
      <c r="J83" s="45"/>
      <c r="K83" s="45"/>
      <c r="L83" s="45"/>
      <c r="M83" s="45"/>
    </row>
    <row r="84" spans="1:13" x14ac:dyDescent="0.2">
      <c r="A84" s="291" t="s">
        <v>119</v>
      </c>
      <c r="B84" s="291"/>
      <c r="C84" s="70">
        <f>TRUNC(SUM(C83),4)</f>
        <v>0</v>
      </c>
      <c r="D84" s="115">
        <f>SUM(D83)</f>
        <v>0</v>
      </c>
      <c r="E84" s="56"/>
      <c r="F84" s="53"/>
      <c r="G84" s="53"/>
      <c r="H84" s="42"/>
      <c r="I84" s="45"/>
      <c r="J84" s="45"/>
      <c r="K84" s="45"/>
      <c r="L84" s="45"/>
      <c r="M84" s="45"/>
    </row>
    <row r="85" spans="1:13" x14ac:dyDescent="0.2">
      <c r="A85" s="137"/>
      <c r="B85" s="138"/>
      <c r="C85" s="138"/>
      <c r="D85" s="139"/>
      <c r="E85" s="56"/>
      <c r="F85" s="53"/>
      <c r="G85" s="53"/>
      <c r="H85" s="42"/>
      <c r="I85" s="45"/>
      <c r="J85" s="45"/>
      <c r="K85" s="45"/>
      <c r="L85" s="45"/>
      <c r="M85" s="45"/>
    </row>
    <row r="86" spans="1:13" x14ac:dyDescent="0.2">
      <c r="A86" s="314" t="s">
        <v>136</v>
      </c>
      <c r="B86" s="315"/>
      <c r="C86" s="315"/>
      <c r="D86" s="316"/>
      <c r="E86" s="56"/>
      <c r="F86" s="53"/>
      <c r="G86" s="53"/>
      <c r="H86" s="42"/>
      <c r="I86" s="45"/>
      <c r="J86" s="45"/>
      <c r="K86" s="45"/>
      <c r="L86" s="45"/>
      <c r="M86" s="45"/>
    </row>
    <row r="87" spans="1:13" x14ac:dyDescent="0.2">
      <c r="A87" s="136">
        <v>4</v>
      </c>
      <c r="B87" s="95" t="s">
        <v>137</v>
      </c>
      <c r="C87" s="95" t="s">
        <v>1</v>
      </c>
      <c r="D87" s="136" t="s">
        <v>62</v>
      </c>
      <c r="E87" s="56"/>
      <c r="F87" s="53"/>
      <c r="G87" s="53"/>
      <c r="H87" s="42"/>
      <c r="I87" s="51"/>
      <c r="J87" s="45"/>
      <c r="K87" s="45"/>
      <c r="L87" s="45"/>
      <c r="M87" s="45"/>
    </row>
    <row r="88" spans="1:13" x14ac:dyDescent="0.2">
      <c r="A88" s="140" t="s">
        <v>13</v>
      </c>
      <c r="B88" s="16" t="s">
        <v>49</v>
      </c>
      <c r="C88" s="11">
        <f>C79</f>
        <v>0.10390000000000001</v>
      </c>
      <c r="D88" s="12">
        <f>D79</f>
        <v>275.62</v>
      </c>
      <c r="E88" s="56"/>
      <c r="F88" s="53"/>
      <c r="G88" s="53"/>
      <c r="H88" s="42"/>
      <c r="I88" s="45"/>
      <c r="J88" s="45"/>
      <c r="K88" s="45"/>
      <c r="L88" s="45"/>
      <c r="M88" s="45"/>
    </row>
    <row r="89" spans="1:13" x14ac:dyDescent="0.2">
      <c r="A89" s="140" t="s">
        <v>14</v>
      </c>
      <c r="B89" s="16" t="s">
        <v>51</v>
      </c>
      <c r="C89" s="11">
        <f>C83</f>
        <v>0</v>
      </c>
      <c r="D89" s="12">
        <f>D84</f>
        <v>0</v>
      </c>
      <c r="E89" s="56"/>
      <c r="F89" s="53"/>
      <c r="G89" s="53"/>
      <c r="H89" s="42"/>
      <c r="I89" s="45"/>
      <c r="J89" s="45"/>
      <c r="K89" s="45"/>
      <c r="L89" s="45"/>
      <c r="M89" s="45"/>
    </row>
    <row r="90" spans="1:13" x14ac:dyDescent="0.2">
      <c r="A90" s="291" t="s">
        <v>119</v>
      </c>
      <c r="B90" s="291"/>
      <c r="C90" s="116">
        <f>SUM(C88:C89)</f>
        <v>0.10390000000000001</v>
      </c>
      <c r="D90" s="115">
        <f>SUM(D88:D89)</f>
        <v>275.62</v>
      </c>
      <c r="E90" s="56"/>
      <c r="F90" s="53"/>
      <c r="G90" s="53"/>
      <c r="H90" s="42"/>
      <c r="I90" s="45"/>
      <c r="J90" s="45"/>
      <c r="K90" s="45"/>
      <c r="L90" s="45"/>
      <c r="M90" s="45"/>
    </row>
    <row r="91" spans="1:13" x14ac:dyDescent="0.2">
      <c r="A91" s="135"/>
      <c r="B91" s="135"/>
      <c r="C91" s="135"/>
      <c r="D91" s="135"/>
      <c r="E91" s="56"/>
      <c r="F91" s="53"/>
      <c r="G91" s="53"/>
      <c r="H91" s="42"/>
      <c r="I91" s="45"/>
      <c r="J91" s="45"/>
      <c r="K91" s="45"/>
      <c r="L91" s="45"/>
      <c r="M91" s="45"/>
    </row>
    <row r="92" spans="1:13" x14ac:dyDescent="0.2">
      <c r="A92" s="135"/>
      <c r="B92" s="135"/>
      <c r="C92" s="135"/>
      <c r="D92" s="135"/>
      <c r="E92" s="56"/>
      <c r="F92" s="53"/>
      <c r="G92" s="53"/>
      <c r="H92" s="42"/>
      <c r="I92" s="45"/>
      <c r="J92" s="45"/>
      <c r="K92" s="45"/>
      <c r="L92" s="45"/>
      <c r="M92" s="45"/>
    </row>
    <row r="93" spans="1:13" x14ac:dyDescent="0.2">
      <c r="A93" s="292" t="s">
        <v>138</v>
      </c>
      <c r="B93" s="292"/>
      <c r="C93" s="292"/>
      <c r="D93" s="292"/>
      <c r="E93" s="56"/>
      <c r="F93" s="53"/>
      <c r="G93" s="53"/>
      <c r="H93" s="42"/>
      <c r="I93" s="45"/>
      <c r="J93" s="45"/>
      <c r="K93" s="45"/>
      <c r="L93" s="45"/>
      <c r="M93" s="45"/>
    </row>
    <row r="94" spans="1:13" x14ac:dyDescent="0.2">
      <c r="A94" s="136">
        <v>5</v>
      </c>
      <c r="B94" s="136" t="s">
        <v>121</v>
      </c>
      <c r="C94" s="136"/>
      <c r="D94" s="136" t="s">
        <v>62</v>
      </c>
      <c r="E94" s="56"/>
      <c r="F94" s="53"/>
      <c r="G94" s="53"/>
      <c r="H94" s="42"/>
      <c r="I94" s="45"/>
      <c r="J94" s="45"/>
      <c r="K94" s="45"/>
      <c r="L94" s="45"/>
      <c r="M94" s="45"/>
    </row>
    <row r="95" spans="1:13" x14ac:dyDescent="0.2">
      <c r="A95" s="140" t="s">
        <v>4</v>
      </c>
      <c r="B95" s="41" t="s">
        <v>52</v>
      </c>
      <c r="C95" s="69"/>
      <c r="D95" s="12">
        <f>Uniformes!E13</f>
        <v>105.7</v>
      </c>
      <c r="E95" s="56"/>
      <c r="F95" s="53"/>
      <c r="G95" s="53"/>
      <c r="H95" s="42"/>
      <c r="I95" s="45"/>
      <c r="J95" s="45"/>
      <c r="K95" s="45"/>
      <c r="L95" s="45"/>
      <c r="M95" s="45"/>
    </row>
    <row r="96" spans="1:13" x14ac:dyDescent="0.2">
      <c r="A96" s="140" t="s">
        <v>5</v>
      </c>
      <c r="B96" s="41" t="s">
        <v>290</v>
      </c>
      <c r="C96" s="69"/>
      <c r="D96" s="12">
        <f>Equipamentos!K13</f>
        <v>9.8995138888888885</v>
      </c>
      <c r="E96" s="56"/>
      <c r="F96" s="53"/>
      <c r="G96" s="53"/>
      <c r="H96" s="42"/>
      <c r="I96" s="45"/>
      <c r="J96" s="45"/>
      <c r="K96" s="45"/>
      <c r="L96" s="45"/>
      <c r="M96" s="45"/>
    </row>
    <row r="97" spans="1:13" x14ac:dyDescent="0.2">
      <c r="A97" s="140" t="s">
        <v>6</v>
      </c>
      <c r="B97" s="41" t="s">
        <v>12</v>
      </c>
      <c r="C97" s="69"/>
      <c r="D97" s="12">
        <f>Equipamentos!D58</f>
        <v>59.444594017094005</v>
      </c>
      <c r="E97" s="56"/>
      <c r="F97" s="53"/>
      <c r="G97" s="53"/>
      <c r="H97" s="42"/>
      <c r="I97" s="45"/>
      <c r="J97" s="45"/>
      <c r="K97" s="45"/>
      <c r="L97" s="45"/>
      <c r="M97" s="45"/>
    </row>
    <row r="98" spans="1:13" x14ac:dyDescent="0.2">
      <c r="A98" s="140" t="s">
        <v>7</v>
      </c>
      <c r="B98" s="41" t="s">
        <v>219</v>
      </c>
      <c r="C98" s="69"/>
      <c r="D98" s="12">
        <f>Uniformes!E28</f>
        <v>40.89</v>
      </c>
      <c r="E98" s="56"/>
      <c r="F98" s="53"/>
      <c r="G98" s="53"/>
      <c r="H98" s="42"/>
      <c r="I98" s="45"/>
      <c r="J98" s="45"/>
      <c r="K98" s="45"/>
      <c r="L98" s="45"/>
      <c r="M98" s="45"/>
    </row>
    <row r="99" spans="1:13" x14ac:dyDescent="0.2">
      <c r="A99" s="291" t="s">
        <v>119</v>
      </c>
      <c r="B99" s="291"/>
      <c r="C99" s="70"/>
      <c r="D99" s="115">
        <f>SUM(D95:D98)</f>
        <v>215.9341079059829</v>
      </c>
      <c r="E99" s="56"/>
      <c r="F99" s="53"/>
      <c r="G99" s="53"/>
      <c r="H99" s="42"/>
      <c r="I99" s="45"/>
      <c r="J99" s="45"/>
      <c r="K99" s="45"/>
      <c r="L99" s="45"/>
      <c r="M99" s="45"/>
    </row>
    <row r="100" spans="1:13" x14ac:dyDescent="0.2">
      <c r="A100" s="135"/>
      <c r="B100" s="135"/>
      <c r="C100" s="131"/>
      <c r="D100" s="132"/>
      <c r="E100" s="56"/>
      <c r="F100" s="53"/>
      <c r="G100" s="53"/>
      <c r="H100" s="42"/>
      <c r="I100" s="45"/>
      <c r="J100" s="45"/>
      <c r="K100" s="45"/>
      <c r="L100" s="45"/>
      <c r="M100" s="45"/>
    </row>
    <row r="101" spans="1:13" x14ac:dyDescent="0.2">
      <c r="A101" s="135"/>
      <c r="B101" s="135"/>
      <c r="C101" s="135"/>
      <c r="D101" s="135"/>
      <c r="E101" s="56"/>
      <c r="F101" s="53"/>
      <c r="G101" s="53"/>
      <c r="H101" s="42"/>
      <c r="I101" s="45"/>
      <c r="J101" s="45"/>
      <c r="K101" s="45"/>
      <c r="L101" s="45"/>
      <c r="M101" s="45"/>
    </row>
    <row r="102" spans="1:13" x14ac:dyDescent="0.2">
      <c r="A102" s="292" t="s">
        <v>139</v>
      </c>
      <c r="B102" s="292"/>
      <c r="C102" s="292"/>
      <c r="D102" s="292"/>
      <c r="E102" s="56"/>
      <c r="F102" s="53"/>
      <c r="G102" s="53"/>
      <c r="H102" s="42"/>
      <c r="I102" s="45"/>
      <c r="J102" s="45"/>
      <c r="K102" s="45"/>
      <c r="L102" s="45"/>
      <c r="M102" s="45"/>
    </row>
    <row r="103" spans="1:13" x14ac:dyDescent="0.2">
      <c r="A103" s="136">
        <v>6</v>
      </c>
      <c r="B103" s="136" t="s">
        <v>122</v>
      </c>
      <c r="C103" s="136" t="s">
        <v>1</v>
      </c>
      <c r="D103" s="136" t="s">
        <v>62</v>
      </c>
      <c r="E103" s="56"/>
      <c r="F103" s="53"/>
      <c r="G103" s="53"/>
      <c r="H103" s="42"/>
      <c r="I103" s="45"/>
      <c r="J103" s="45"/>
      <c r="K103" s="45"/>
      <c r="L103" s="45"/>
      <c r="M103" s="45"/>
    </row>
    <row r="104" spans="1:13" x14ac:dyDescent="0.2">
      <c r="A104" s="140" t="s">
        <v>4</v>
      </c>
      <c r="B104" s="142" t="s">
        <v>15</v>
      </c>
      <c r="C104" s="78">
        <v>0.05</v>
      </c>
      <c r="D104" s="12">
        <f>TRUNC(C104*D121,2)</f>
        <v>280.02</v>
      </c>
      <c r="E104" s="65" t="s">
        <v>123</v>
      </c>
      <c r="F104" s="53"/>
      <c r="G104" s="53"/>
      <c r="H104" s="42"/>
      <c r="I104" s="45"/>
      <c r="J104" s="45"/>
      <c r="K104" s="45"/>
      <c r="L104" s="45"/>
      <c r="M104" s="45"/>
    </row>
    <row r="105" spans="1:13" x14ac:dyDescent="0.2">
      <c r="A105" s="140" t="s">
        <v>5</v>
      </c>
      <c r="B105" s="142" t="s">
        <v>3</v>
      </c>
      <c r="C105" s="78">
        <v>0.1</v>
      </c>
      <c r="D105" s="12">
        <f>TRUNC(C105*(D104+D121),2)</f>
        <v>588.04999999999995</v>
      </c>
      <c r="E105" s="65" t="s">
        <v>124</v>
      </c>
      <c r="F105" s="53"/>
      <c r="G105" s="53"/>
      <c r="H105" s="42"/>
      <c r="I105" s="45"/>
      <c r="J105" s="45"/>
      <c r="K105" s="45"/>
      <c r="L105" s="45"/>
      <c r="M105" s="45"/>
    </row>
    <row r="106" spans="1:13" x14ac:dyDescent="0.2">
      <c r="A106" s="140" t="s">
        <v>6</v>
      </c>
      <c r="B106" s="142" t="s">
        <v>23</v>
      </c>
      <c r="C106" s="181">
        <f>1-(C107+C108+C109)</f>
        <v>0.85749999999999993</v>
      </c>
      <c r="D106" s="17">
        <f>TRUNC(((D121+D104+D105)/C106),2)</f>
        <v>7543.57</v>
      </c>
      <c r="E106" s="56"/>
      <c r="F106" s="53"/>
      <c r="G106" s="53"/>
      <c r="H106" s="42"/>
      <c r="I106" s="45"/>
      <c r="J106" s="45"/>
      <c r="K106" s="45"/>
      <c r="L106" s="45"/>
      <c r="M106" s="45"/>
    </row>
    <row r="107" spans="1:13" x14ac:dyDescent="0.2">
      <c r="A107" s="140" t="s">
        <v>24</v>
      </c>
      <c r="B107" s="142" t="s">
        <v>20</v>
      </c>
      <c r="C107" s="79">
        <v>1.6500000000000001E-2</v>
      </c>
      <c r="D107" s="12">
        <f>TRUNC(C107*D106,2)</f>
        <v>124.46</v>
      </c>
      <c r="E107" s="56"/>
      <c r="F107" s="53"/>
      <c r="G107" s="53"/>
      <c r="H107" s="42"/>
      <c r="I107" s="45"/>
      <c r="J107" s="45"/>
      <c r="K107" s="45"/>
      <c r="L107" s="45"/>
      <c r="M107" s="45"/>
    </row>
    <row r="108" spans="1:13" x14ac:dyDescent="0.2">
      <c r="A108" s="140" t="s">
        <v>25</v>
      </c>
      <c r="B108" s="142" t="s">
        <v>21</v>
      </c>
      <c r="C108" s="79">
        <v>7.5999999999999998E-2</v>
      </c>
      <c r="D108" s="12">
        <f>TRUNC(C108*D106,2)</f>
        <v>573.30999999999995</v>
      </c>
      <c r="E108" s="56"/>
      <c r="F108" s="53"/>
      <c r="G108" s="53"/>
      <c r="H108" s="42"/>
      <c r="I108" s="45"/>
      <c r="J108" s="45"/>
      <c r="K108" s="45"/>
      <c r="L108" s="45"/>
      <c r="M108" s="45"/>
    </row>
    <row r="109" spans="1:13" x14ac:dyDescent="0.2">
      <c r="A109" s="140" t="s">
        <v>26</v>
      </c>
      <c r="B109" s="142" t="s">
        <v>22</v>
      </c>
      <c r="C109" s="79">
        <v>0.05</v>
      </c>
      <c r="D109" s="12">
        <f>TRUNC(C109*D106,2)</f>
        <v>377.17</v>
      </c>
      <c r="E109" s="56"/>
      <c r="F109" s="53"/>
      <c r="G109" s="53"/>
      <c r="H109" s="42"/>
      <c r="I109" s="45"/>
      <c r="J109" s="45"/>
      <c r="K109" s="45"/>
      <c r="L109" s="45"/>
      <c r="M109" s="45"/>
    </row>
    <row r="110" spans="1:13" x14ac:dyDescent="0.2">
      <c r="A110" s="291" t="s">
        <v>119</v>
      </c>
      <c r="B110" s="291"/>
      <c r="C110" s="117"/>
      <c r="D110" s="115">
        <f>SUM(D104:D109)-D106</f>
        <v>1943.0099999999984</v>
      </c>
      <c r="E110" s="123"/>
      <c r="F110" s="53"/>
      <c r="G110" s="53"/>
      <c r="H110" s="42"/>
      <c r="I110" s="45"/>
      <c r="J110" s="45"/>
      <c r="K110" s="45"/>
      <c r="L110" s="45"/>
      <c r="M110" s="45"/>
    </row>
    <row r="111" spans="1:13" x14ac:dyDescent="0.2">
      <c r="A111" s="18"/>
      <c r="B111" s="18"/>
      <c r="C111" s="18"/>
      <c r="D111" s="133"/>
      <c r="E111" s="53"/>
      <c r="F111" s="53"/>
      <c r="G111" s="53"/>
      <c r="H111" s="42"/>
      <c r="I111" s="45"/>
      <c r="J111" s="45"/>
      <c r="K111" s="45"/>
      <c r="L111" s="45"/>
      <c r="M111" s="45"/>
    </row>
    <row r="112" spans="1:13" x14ac:dyDescent="0.2">
      <c r="A112" s="301" t="s">
        <v>185</v>
      </c>
      <c r="B112" s="301"/>
      <c r="C112" s="301"/>
      <c r="D112" s="301"/>
      <c r="E112" s="53"/>
      <c r="F112" s="66"/>
      <c r="G112" s="53"/>
      <c r="H112" s="42"/>
      <c r="I112" s="45"/>
      <c r="J112" s="45"/>
      <c r="K112" s="45"/>
      <c r="L112" s="45"/>
      <c r="M112" s="45"/>
    </row>
    <row r="113" spans="1:13" x14ac:dyDescent="0.2">
      <c r="A113" s="134"/>
      <c r="B113" s="134"/>
      <c r="C113" s="134"/>
      <c r="D113" s="134"/>
      <c r="E113" s="53"/>
      <c r="F113" s="66"/>
      <c r="G113" s="53"/>
      <c r="H113" s="42"/>
      <c r="I113" s="45"/>
      <c r="J113" s="45"/>
      <c r="K113" s="45"/>
      <c r="L113" s="45"/>
      <c r="M113" s="45"/>
    </row>
    <row r="114" spans="1:13" x14ac:dyDescent="0.2">
      <c r="A114" s="292" t="s">
        <v>184</v>
      </c>
      <c r="B114" s="292"/>
      <c r="C114" s="292"/>
      <c r="D114" s="292"/>
      <c r="E114" s="53"/>
      <c r="F114" s="66"/>
      <c r="G114" s="53"/>
      <c r="H114" s="42"/>
      <c r="I114" s="45"/>
      <c r="J114" s="45"/>
      <c r="K114" s="45"/>
      <c r="L114" s="45"/>
      <c r="M114" s="45"/>
    </row>
    <row r="115" spans="1:13" x14ac:dyDescent="0.2">
      <c r="A115" s="96"/>
      <c r="B115" s="97" t="s">
        <v>141</v>
      </c>
      <c r="C115" s="136"/>
      <c r="D115" s="136" t="s">
        <v>62</v>
      </c>
      <c r="E115" s="53"/>
      <c r="F115" s="53"/>
      <c r="G115" s="53"/>
      <c r="H115" s="42"/>
      <c r="I115" s="45"/>
      <c r="J115" s="45"/>
      <c r="K115" s="45"/>
      <c r="L115" s="45"/>
      <c r="M115" s="45"/>
    </row>
    <row r="116" spans="1:13" x14ac:dyDescent="0.2">
      <c r="A116" s="14" t="s">
        <v>4</v>
      </c>
      <c r="B116" s="16" t="s">
        <v>143</v>
      </c>
      <c r="C116" s="68"/>
      <c r="D116" s="12">
        <f>D18</f>
        <v>2650.78</v>
      </c>
      <c r="E116" s="53"/>
      <c r="F116" s="53"/>
      <c r="G116" s="53"/>
      <c r="H116" s="42"/>
      <c r="I116" s="45"/>
      <c r="J116" s="45"/>
      <c r="K116" s="45"/>
      <c r="L116" s="45"/>
      <c r="M116" s="45"/>
    </row>
    <row r="117" spans="1:13" x14ac:dyDescent="0.2">
      <c r="A117" s="14" t="s">
        <v>5</v>
      </c>
      <c r="B117" s="16" t="s">
        <v>144</v>
      </c>
      <c r="C117" s="68"/>
      <c r="D117" s="12">
        <f>D56</f>
        <v>2298.6899999999996</v>
      </c>
      <c r="E117" s="53"/>
      <c r="F117" s="53"/>
      <c r="G117" s="53"/>
      <c r="H117" s="42"/>
      <c r="I117" s="45"/>
      <c r="J117" s="45"/>
      <c r="K117" s="45"/>
      <c r="L117" s="45"/>
      <c r="M117" s="45"/>
    </row>
    <row r="118" spans="1:13" x14ac:dyDescent="0.2">
      <c r="A118" s="14" t="s">
        <v>6</v>
      </c>
      <c r="B118" s="16" t="s">
        <v>145</v>
      </c>
      <c r="C118" s="68"/>
      <c r="D118" s="12">
        <f>D67</f>
        <v>159.52000000000001</v>
      </c>
      <c r="E118" s="53"/>
      <c r="F118" s="66"/>
      <c r="G118" s="53"/>
      <c r="H118" s="42"/>
      <c r="I118" s="45"/>
      <c r="J118" s="45"/>
      <c r="K118" s="45"/>
      <c r="L118" s="45"/>
      <c r="M118" s="45"/>
    </row>
    <row r="119" spans="1:13" x14ac:dyDescent="0.2">
      <c r="A119" s="14" t="s">
        <v>7</v>
      </c>
      <c r="B119" s="16" t="s">
        <v>50</v>
      </c>
      <c r="C119" s="68"/>
      <c r="D119" s="12">
        <f>D90</f>
        <v>275.62</v>
      </c>
      <c r="E119" s="53"/>
      <c r="F119" s="66"/>
      <c r="G119" s="53"/>
      <c r="H119" s="42"/>
      <c r="I119" s="45"/>
      <c r="J119" s="45"/>
      <c r="K119" s="45"/>
      <c r="L119" s="45"/>
      <c r="M119" s="45"/>
    </row>
    <row r="120" spans="1:13" x14ac:dyDescent="0.2">
      <c r="A120" s="14" t="s">
        <v>8</v>
      </c>
      <c r="B120" s="16" t="s">
        <v>146</v>
      </c>
      <c r="C120" s="68"/>
      <c r="D120" s="12">
        <f>D99</f>
        <v>215.9341079059829</v>
      </c>
      <c r="E120" s="53"/>
      <c r="F120" s="53"/>
      <c r="G120" s="53"/>
      <c r="H120" s="42"/>
      <c r="I120" s="45"/>
      <c r="J120" s="45"/>
      <c r="K120" s="45"/>
      <c r="L120" s="45"/>
      <c r="M120" s="45"/>
    </row>
    <row r="121" spans="1:13" x14ac:dyDescent="0.2">
      <c r="A121" s="321" t="s">
        <v>53</v>
      </c>
      <c r="B121" s="322"/>
      <c r="C121" s="136"/>
      <c r="D121" s="13">
        <f>SUM(D116:D120)</f>
        <v>5600.5441079059829</v>
      </c>
      <c r="E121" s="53"/>
      <c r="F121" s="63"/>
      <c r="G121" s="53"/>
      <c r="H121" s="42"/>
      <c r="I121" s="45"/>
      <c r="J121" s="45"/>
      <c r="K121" s="45"/>
      <c r="L121" s="45"/>
      <c r="M121" s="45"/>
    </row>
    <row r="122" spans="1:13" x14ac:dyDescent="0.2">
      <c r="A122" s="14" t="s">
        <v>9</v>
      </c>
      <c r="B122" s="16" t="s">
        <v>147</v>
      </c>
      <c r="C122" s="68"/>
      <c r="D122" s="12">
        <f>D110</f>
        <v>1943.0099999999984</v>
      </c>
      <c r="E122" s="53"/>
      <c r="F122" s="53"/>
      <c r="G122" s="53"/>
      <c r="H122" s="42"/>
      <c r="I122" s="45"/>
      <c r="J122" s="45"/>
      <c r="K122" s="45"/>
      <c r="L122" s="45"/>
      <c r="M122" s="45"/>
    </row>
    <row r="123" spans="1:13" x14ac:dyDescent="0.2">
      <c r="A123" s="336" t="s">
        <v>142</v>
      </c>
      <c r="B123" s="339"/>
      <c r="C123" s="136"/>
      <c r="D123" s="118">
        <f>SUM(D121:D122)</f>
        <v>7543.5541079059813</v>
      </c>
      <c r="E123" s="53"/>
      <c r="F123" s="146"/>
      <c r="G123" s="53"/>
      <c r="H123" s="42"/>
      <c r="I123" s="45"/>
      <c r="J123" s="45"/>
      <c r="K123" s="45"/>
      <c r="L123" s="45"/>
      <c r="M123" s="45"/>
    </row>
    <row r="124" spans="1:13" x14ac:dyDescent="0.2">
      <c r="D124" s="2"/>
      <c r="E124" s="52"/>
      <c r="F124" s="52"/>
      <c r="G124" s="52"/>
      <c r="H124" s="45"/>
      <c r="I124" s="45"/>
      <c r="J124" s="45"/>
      <c r="K124" s="45"/>
      <c r="L124" s="45"/>
      <c r="M124" s="45"/>
    </row>
    <row r="125" spans="1:13" x14ac:dyDescent="0.2">
      <c r="A125" s="301" t="s">
        <v>311</v>
      </c>
      <c r="B125" s="301"/>
      <c r="C125" s="301"/>
      <c r="D125" s="301"/>
      <c r="E125" s="52"/>
      <c r="F125" s="52"/>
      <c r="G125" s="52"/>
      <c r="H125" s="45"/>
      <c r="I125" s="45"/>
      <c r="J125" s="45"/>
      <c r="K125" s="45"/>
      <c r="L125" s="45"/>
      <c r="M125" s="45"/>
    </row>
    <row r="126" spans="1:13" x14ac:dyDescent="0.2">
      <c r="A126" s="3"/>
      <c r="B126" s="3"/>
      <c r="E126" s="52"/>
      <c r="F126" s="52"/>
      <c r="G126" s="52"/>
      <c r="H126" s="45"/>
      <c r="I126" s="45"/>
      <c r="J126" s="45"/>
      <c r="K126" s="45"/>
      <c r="L126" s="45"/>
      <c r="M126" s="45"/>
    </row>
    <row r="127" spans="1:13" x14ac:dyDescent="0.2">
      <c r="A127" s="182" t="s">
        <v>309</v>
      </c>
      <c r="B127" s="183"/>
      <c r="C127" s="184"/>
      <c r="D127" s="185"/>
      <c r="E127" s="52"/>
      <c r="F127" s="147"/>
      <c r="G127" s="52"/>
      <c r="H127" s="45"/>
      <c r="I127" s="45"/>
      <c r="J127" s="45"/>
      <c r="K127" s="45"/>
      <c r="L127" s="45"/>
      <c r="M127" s="45"/>
    </row>
    <row r="128" spans="1:13" x14ac:dyDescent="0.2">
      <c r="A128" s="310" t="s">
        <v>299</v>
      </c>
      <c r="B128" s="310"/>
      <c r="C128" s="310"/>
      <c r="D128" s="186">
        <f>D123</f>
        <v>7543.5541079059813</v>
      </c>
    </row>
    <row r="129" spans="1:4" x14ac:dyDescent="0.2">
      <c r="A129" s="311" t="s">
        <v>300</v>
      </c>
      <c r="B129" s="311"/>
      <c r="C129" s="311"/>
      <c r="D129" s="186">
        <f>D28+D67+D79</f>
        <v>1140.23</v>
      </c>
    </row>
    <row r="130" spans="1:4" x14ac:dyDescent="0.2">
      <c r="A130" s="312" t="s">
        <v>15</v>
      </c>
      <c r="B130" s="312"/>
      <c r="C130" s="187">
        <f>C104</f>
        <v>0.05</v>
      </c>
      <c r="D130" s="186">
        <f>ROUND(D129*C130,2)</f>
        <v>57.01</v>
      </c>
    </row>
    <row r="131" spans="1:4" x14ac:dyDescent="0.2">
      <c r="A131" s="312" t="s">
        <v>3</v>
      </c>
      <c r="B131" s="312"/>
      <c r="C131" s="187">
        <f>C105</f>
        <v>0.1</v>
      </c>
      <c r="D131" s="186">
        <f>ROUND((D129+D130)*C131,2)</f>
        <v>119.72</v>
      </c>
    </row>
    <row r="132" spans="1:4" x14ac:dyDescent="0.2">
      <c r="A132" s="312" t="s">
        <v>301</v>
      </c>
      <c r="B132" s="312"/>
      <c r="C132" s="188">
        <f>C107+C108+C109</f>
        <v>0.14250000000000002</v>
      </c>
      <c r="D132" s="186">
        <f>ROUND((D129+D130+D131)/(1-C132)-(D129+D130+D131),2)</f>
        <v>218.85</v>
      </c>
    </row>
    <row r="133" spans="1:4" x14ac:dyDescent="0.2">
      <c r="A133" s="302" t="s">
        <v>302</v>
      </c>
      <c r="B133" s="302"/>
      <c r="C133" s="302"/>
      <c r="D133" s="189">
        <f>SUM(D129:D132)</f>
        <v>1535.81</v>
      </c>
    </row>
    <row r="134" spans="1:4" x14ac:dyDescent="0.2">
      <c r="A134" s="303" t="s">
        <v>303</v>
      </c>
      <c r="B134" s="303"/>
      <c r="C134" s="303"/>
      <c r="D134" s="190">
        <f>D128-D133</f>
        <v>6007.7441079059809</v>
      </c>
    </row>
    <row r="136" spans="1:4" ht="36.75" customHeight="1" x14ac:dyDescent="0.2">
      <c r="A136" s="304" t="s">
        <v>304</v>
      </c>
      <c r="B136" s="305"/>
      <c r="C136" s="305"/>
      <c r="D136" s="306"/>
    </row>
    <row r="137" spans="1:4" x14ac:dyDescent="0.2">
      <c r="A137" s="195"/>
      <c r="B137" s="195"/>
      <c r="C137" s="195"/>
      <c r="D137" s="195"/>
    </row>
    <row r="139" spans="1:4" x14ac:dyDescent="0.2">
      <c r="A139" s="307" t="s">
        <v>305</v>
      </c>
      <c r="B139" s="308"/>
      <c r="C139" s="309"/>
      <c r="D139" s="191" t="s">
        <v>62</v>
      </c>
    </row>
    <row r="140" spans="1:4" ht="13.5" thickBot="1" x14ac:dyDescent="0.25">
      <c r="A140" s="293" t="s">
        <v>306</v>
      </c>
      <c r="B140" s="294"/>
      <c r="C140" s="294"/>
      <c r="D140" s="33">
        <f>ROUND(((D$18+D$28+D$40+D$67)+((D$18+D$28+D$40+D$67)*$C$104)+((D$18+D$28+D$40+D$67)*(1+$C$104)*$C$105)/(1-$C$106))/220,2)</f>
        <v>36.47</v>
      </c>
    </row>
    <row r="141" spans="1:4" ht="22.5" x14ac:dyDescent="0.2">
      <c r="A141" s="293" t="s">
        <v>312</v>
      </c>
      <c r="B141" s="294"/>
      <c r="C141" s="192" t="s">
        <v>307</v>
      </c>
      <c r="D141" s="297">
        <f>ROUND(D140*(1+C142),2)</f>
        <v>54.71</v>
      </c>
    </row>
    <row r="142" spans="1:4" ht="13.5" thickBot="1" x14ac:dyDescent="0.25">
      <c r="A142" s="295"/>
      <c r="B142" s="296"/>
      <c r="C142" s="222">
        <v>0.5</v>
      </c>
      <c r="D142" s="298"/>
    </row>
    <row r="143" spans="1:4" x14ac:dyDescent="0.2">
      <c r="A143" s="299" t="s">
        <v>308</v>
      </c>
      <c r="B143" s="299"/>
      <c r="C143" s="300"/>
      <c r="D143" s="194">
        <f>D141*8*4</f>
        <v>1750.72</v>
      </c>
    </row>
    <row r="144" spans="1:4" x14ac:dyDescent="0.2">
      <c r="A144" s="193" t="s">
        <v>321</v>
      </c>
      <c r="B144" s="193"/>
      <c r="C144" s="193"/>
      <c r="D144" s="193"/>
    </row>
  </sheetData>
  <mergeCells count="58">
    <mergeCell ref="A2:D2"/>
    <mergeCell ref="A5:B6"/>
    <mergeCell ref="C5:D6"/>
    <mergeCell ref="A8:D8"/>
    <mergeCell ref="A10:D10"/>
    <mergeCell ref="A30:D30"/>
    <mergeCell ref="A40:B40"/>
    <mergeCell ref="A41:D41"/>
    <mergeCell ref="A42:D42"/>
    <mergeCell ref="A18:C18"/>
    <mergeCell ref="A21:D21"/>
    <mergeCell ref="A22:D22"/>
    <mergeCell ref="A23:D23"/>
    <mergeCell ref="A28:B28"/>
    <mergeCell ref="A29:D29"/>
    <mergeCell ref="E44:I44"/>
    <mergeCell ref="A49:C49"/>
    <mergeCell ref="A70:D70"/>
    <mergeCell ref="A51:D51"/>
    <mergeCell ref="B52:C52"/>
    <mergeCell ref="B53:C53"/>
    <mergeCell ref="B54:C54"/>
    <mergeCell ref="B55:C55"/>
    <mergeCell ref="A56:C56"/>
    <mergeCell ref="A57:D57"/>
    <mergeCell ref="A59:D59"/>
    <mergeCell ref="E66:I66"/>
    <mergeCell ref="A67:B67"/>
    <mergeCell ref="A68:D68"/>
    <mergeCell ref="A50:D50"/>
    <mergeCell ref="A114:D114"/>
    <mergeCell ref="A71:D71"/>
    <mergeCell ref="A79:B79"/>
    <mergeCell ref="A81:D81"/>
    <mergeCell ref="A84:B84"/>
    <mergeCell ref="A86:D86"/>
    <mergeCell ref="A90:B90"/>
    <mergeCell ref="A93:D93"/>
    <mergeCell ref="A99:B99"/>
    <mergeCell ref="A102:D102"/>
    <mergeCell ref="A110:B110"/>
    <mergeCell ref="A112:D112"/>
    <mergeCell ref="A130:B130"/>
    <mergeCell ref="A131:B131"/>
    <mergeCell ref="A132:B132"/>
    <mergeCell ref="A121:B121"/>
    <mergeCell ref="A123:B123"/>
    <mergeCell ref="A125:D125"/>
    <mergeCell ref="A128:C128"/>
    <mergeCell ref="A129:C129"/>
    <mergeCell ref="A141:B142"/>
    <mergeCell ref="D141:D142"/>
    <mergeCell ref="A143:C143"/>
    <mergeCell ref="A133:C133"/>
    <mergeCell ref="A134:C134"/>
    <mergeCell ref="A136:D136"/>
    <mergeCell ref="A139:C139"/>
    <mergeCell ref="A140:C140"/>
  </mergeCells>
  <conditionalFormatting sqref="C142">
    <cfRule type="cellIs" dxfId="1" priority="1" operator="greaterThan">
      <formula>0</formula>
    </cfRule>
  </conditionalFormatting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2" manualBreakCount="2">
    <brk id="58" max="3" man="1"/>
    <brk id="124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M144"/>
  <sheetViews>
    <sheetView showGridLines="0" view="pageBreakPreview" topLeftCell="A121" zoomScaleNormal="90" zoomScaleSheetLayoutView="100" workbookViewId="0"/>
  </sheetViews>
  <sheetFormatPr defaultColWidth="9.140625"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5" bestFit="1" customWidth="1"/>
    <col min="6" max="6" width="10.42578125" style="5" customWidth="1"/>
    <col min="7" max="7" width="9.140625" style="5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08"/>
    </row>
    <row r="2" spans="1:13" x14ac:dyDescent="0.2">
      <c r="A2" s="318" t="s">
        <v>63</v>
      </c>
      <c r="B2" s="318"/>
      <c r="C2" s="318"/>
      <c r="D2" s="318"/>
      <c r="E2" s="53"/>
      <c r="F2" s="53"/>
      <c r="G2" s="53"/>
      <c r="H2" s="42"/>
      <c r="I2" s="45"/>
      <c r="J2" s="45"/>
      <c r="K2" s="45"/>
      <c r="L2" s="45"/>
      <c r="M2" s="45"/>
    </row>
    <row r="3" spans="1:13" x14ac:dyDescent="0.2">
      <c r="A3" s="113"/>
      <c r="B3" s="113"/>
      <c r="C3" s="113"/>
      <c r="D3" s="113"/>
      <c r="E3" s="53"/>
      <c r="F3" s="53"/>
      <c r="G3" s="53"/>
      <c r="H3" s="42"/>
      <c r="I3" s="45"/>
      <c r="J3" s="45"/>
      <c r="K3" s="45"/>
      <c r="L3" s="45"/>
      <c r="M3" s="45"/>
    </row>
    <row r="4" spans="1:13" x14ac:dyDescent="0.2">
      <c r="A4" s="109"/>
      <c r="B4" s="109"/>
      <c r="C4" s="109"/>
      <c r="D4" s="109"/>
      <c r="E4" s="53"/>
      <c r="F4" s="53"/>
      <c r="G4" s="53"/>
      <c r="H4" s="42"/>
      <c r="I4" s="45"/>
      <c r="J4" s="45"/>
      <c r="K4" s="45"/>
      <c r="L4" s="45"/>
      <c r="M4" s="45"/>
    </row>
    <row r="5" spans="1:13" x14ac:dyDescent="0.2">
      <c r="A5" s="319" t="s">
        <v>177</v>
      </c>
      <c r="B5" s="319"/>
      <c r="C5" s="340" t="s">
        <v>200</v>
      </c>
      <c r="D5" s="341"/>
      <c r="E5" s="53"/>
      <c r="F5" s="53"/>
      <c r="G5" s="53"/>
      <c r="H5" s="42"/>
      <c r="I5" s="45"/>
      <c r="J5" s="45"/>
      <c r="K5" s="45"/>
      <c r="L5" s="45"/>
      <c r="M5" s="45"/>
    </row>
    <row r="6" spans="1:13" x14ac:dyDescent="0.2">
      <c r="A6" s="319"/>
      <c r="B6" s="319"/>
      <c r="C6" s="342"/>
      <c r="D6" s="343"/>
      <c r="E6" s="53"/>
      <c r="F6" s="53"/>
      <c r="G6" s="53"/>
      <c r="H6" s="42"/>
      <c r="I6" s="45"/>
      <c r="J6" s="45"/>
      <c r="K6" s="45"/>
      <c r="L6" s="45"/>
      <c r="M6" s="45"/>
    </row>
    <row r="7" spans="1:13" s="4" customFormat="1" x14ac:dyDescent="0.2">
      <c r="A7" s="145"/>
      <c r="B7" s="145"/>
      <c r="C7" s="18"/>
      <c r="D7" s="18"/>
      <c r="E7" s="60"/>
      <c r="F7" s="60"/>
      <c r="G7" s="60"/>
      <c r="H7" s="44"/>
      <c r="I7" s="46"/>
      <c r="J7" s="46"/>
      <c r="K7" s="46"/>
      <c r="L7" s="46"/>
      <c r="M7" s="46"/>
    </row>
    <row r="8" spans="1:13" x14ac:dyDescent="0.2">
      <c r="A8" s="301" t="s">
        <v>140</v>
      </c>
      <c r="B8" s="301"/>
      <c r="C8" s="301"/>
      <c r="D8" s="301"/>
      <c r="E8" s="53"/>
      <c r="F8" s="53"/>
      <c r="G8" s="53"/>
      <c r="H8" s="42"/>
      <c r="I8" s="45"/>
      <c r="J8" s="45"/>
      <c r="K8" s="45"/>
      <c r="L8" s="45"/>
      <c r="M8" s="45"/>
    </row>
    <row r="9" spans="1:13" x14ac:dyDescent="0.2">
      <c r="A9" s="112"/>
      <c r="B9" s="112"/>
      <c r="C9" s="112"/>
      <c r="D9" s="112"/>
      <c r="E9" s="53"/>
      <c r="F9" s="53"/>
      <c r="G9" s="53"/>
      <c r="H9" s="42"/>
      <c r="I9" s="45"/>
      <c r="J9" s="45"/>
      <c r="K9" s="45"/>
      <c r="L9" s="45"/>
      <c r="M9" s="45"/>
    </row>
    <row r="10" spans="1:13" x14ac:dyDescent="0.2">
      <c r="A10" s="292" t="s">
        <v>126</v>
      </c>
      <c r="B10" s="292"/>
      <c r="C10" s="292"/>
      <c r="D10" s="292"/>
      <c r="E10" s="53"/>
      <c r="F10" s="53"/>
      <c r="G10" s="53"/>
      <c r="H10" s="42"/>
      <c r="I10" s="45"/>
      <c r="J10" s="45"/>
      <c r="K10" s="45"/>
      <c r="L10" s="45"/>
      <c r="M10" s="45"/>
    </row>
    <row r="11" spans="1:13" x14ac:dyDescent="0.2">
      <c r="A11" s="136">
        <v>1</v>
      </c>
      <c r="B11" s="136" t="s">
        <v>118</v>
      </c>
      <c r="C11" s="136" t="s">
        <v>1</v>
      </c>
      <c r="D11" s="136" t="s">
        <v>62</v>
      </c>
      <c r="E11" s="53"/>
      <c r="F11" s="53"/>
      <c r="G11" s="53"/>
      <c r="H11" s="42"/>
      <c r="I11" s="45"/>
      <c r="J11" s="45"/>
      <c r="K11" s="45"/>
      <c r="L11" s="45"/>
      <c r="M11" s="45"/>
    </row>
    <row r="12" spans="1:13" x14ac:dyDescent="0.2">
      <c r="A12" s="144" t="s">
        <v>4</v>
      </c>
      <c r="B12" s="142" t="s">
        <v>17</v>
      </c>
      <c r="C12" s="119"/>
      <c r="D12" s="12">
        <v>2650.78</v>
      </c>
      <c r="E12" s="53"/>
      <c r="F12" s="53"/>
      <c r="G12" s="53"/>
      <c r="H12" s="42"/>
      <c r="I12" s="45"/>
      <c r="J12" s="45"/>
      <c r="K12" s="45"/>
      <c r="L12" s="45"/>
      <c r="M12" s="45"/>
    </row>
    <row r="13" spans="1:13" x14ac:dyDescent="0.2">
      <c r="A13" s="144" t="s">
        <v>5</v>
      </c>
      <c r="B13" s="142" t="s">
        <v>27</v>
      </c>
      <c r="C13" s="8"/>
      <c r="D13" s="7">
        <v>0</v>
      </c>
      <c r="E13" s="53" t="s">
        <v>178</v>
      </c>
      <c r="F13" s="53"/>
      <c r="G13" s="53"/>
      <c r="H13" s="42"/>
      <c r="I13" s="45"/>
      <c r="J13" s="45"/>
      <c r="K13" s="45"/>
      <c r="L13" s="45"/>
      <c r="M13" s="45"/>
    </row>
    <row r="14" spans="1:13" x14ac:dyDescent="0.2">
      <c r="A14" s="144" t="s">
        <v>6</v>
      </c>
      <c r="B14" s="6" t="s">
        <v>28</v>
      </c>
      <c r="C14" s="8"/>
      <c r="D14" s="7">
        <f>D13*C14</f>
        <v>0</v>
      </c>
      <c r="E14" s="53" t="s">
        <v>179</v>
      </c>
      <c r="F14" s="53"/>
      <c r="G14" s="53"/>
      <c r="H14" s="42"/>
      <c r="I14" s="45"/>
      <c r="J14" s="45"/>
      <c r="K14" s="45"/>
      <c r="L14" s="45"/>
      <c r="M14" s="45"/>
    </row>
    <row r="15" spans="1:13" x14ac:dyDescent="0.2">
      <c r="A15" s="144" t="s">
        <v>7</v>
      </c>
      <c r="B15" s="6" t="s">
        <v>0</v>
      </c>
      <c r="C15" s="8"/>
      <c r="D15" s="7">
        <v>0</v>
      </c>
      <c r="E15" s="53" t="s">
        <v>180</v>
      </c>
      <c r="F15" s="53"/>
      <c r="G15" s="53"/>
      <c r="H15" s="42"/>
      <c r="I15" s="45"/>
      <c r="J15" s="45"/>
      <c r="K15" s="45"/>
      <c r="L15" s="45"/>
      <c r="M15" s="45"/>
    </row>
    <row r="16" spans="1:13" x14ac:dyDescent="0.2">
      <c r="A16" s="140" t="s">
        <v>8</v>
      </c>
      <c r="B16" s="6" t="s">
        <v>29</v>
      </c>
      <c r="C16" s="9"/>
      <c r="D16" s="7">
        <v>0</v>
      </c>
      <c r="E16" s="120" t="s">
        <v>181</v>
      </c>
      <c r="F16" s="53"/>
      <c r="G16" s="54"/>
      <c r="H16" s="43"/>
      <c r="I16" s="45"/>
      <c r="J16" s="45"/>
      <c r="K16" s="45"/>
      <c r="L16" s="45"/>
      <c r="M16" s="45"/>
    </row>
    <row r="17" spans="1:13" x14ac:dyDescent="0.2">
      <c r="A17" s="140" t="s">
        <v>10</v>
      </c>
      <c r="B17" s="6" t="s">
        <v>2</v>
      </c>
      <c r="C17" s="8"/>
      <c r="D17" s="7"/>
      <c r="E17" s="53"/>
      <c r="F17" s="53"/>
      <c r="G17" s="55"/>
      <c r="H17" s="42"/>
      <c r="I17" s="45"/>
      <c r="J17" s="45"/>
      <c r="K17" s="45"/>
      <c r="L17" s="45"/>
      <c r="M17" s="45"/>
    </row>
    <row r="18" spans="1:13" x14ac:dyDescent="0.2">
      <c r="A18" s="291" t="s">
        <v>119</v>
      </c>
      <c r="B18" s="291"/>
      <c r="C18" s="291"/>
      <c r="D18" s="111">
        <f>SUM(D12:D17)</f>
        <v>2650.78</v>
      </c>
      <c r="E18" s="53"/>
      <c r="F18" s="53"/>
      <c r="G18" s="53"/>
      <c r="H18" s="42"/>
      <c r="I18" s="45"/>
      <c r="J18" s="45"/>
      <c r="K18" s="45"/>
      <c r="L18" s="45"/>
      <c r="M18" s="45"/>
    </row>
    <row r="19" spans="1:13" x14ac:dyDescent="0.2">
      <c r="A19" s="143"/>
      <c r="B19" s="135"/>
      <c r="C19" s="135"/>
      <c r="D19" s="125"/>
      <c r="E19" s="53"/>
      <c r="F19" s="53"/>
      <c r="G19" s="53"/>
      <c r="H19" s="42"/>
      <c r="I19" s="45"/>
      <c r="J19" s="45"/>
      <c r="K19" s="45"/>
      <c r="L19" s="45"/>
      <c r="M19" s="45"/>
    </row>
    <row r="20" spans="1:13" x14ac:dyDescent="0.2">
      <c r="A20" s="84"/>
      <c r="B20" s="10"/>
      <c r="C20" s="10"/>
      <c r="D20" s="124"/>
      <c r="E20" s="53"/>
      <c r="F20" s="53"/>
      <c r="G20" s="53"/>
      <c r="H20" s="42"/>
      <c r="I20" s="45"/>
      <c r="J20" s="45"/>
      <c r="K20" s="45"/>
      <c r="L20" s="45"/>
      <c r="M20" s="45"/>
    </row>
    <row r="21" spans="1:13" x14ac:dyDescent="0.2">
      <c r="A21" s="292" t="s">
        <v>127</v>
      </c>
      <c r="B21" s="292"/>
      <c r="C21" s="292"/>
      <c r="D21" s="292"/>
      <c r="E21" s="56"/>
      <c r="F21" s="53"/>
      <c r="G21" s="55"/>
      <c r="H21" s="43"/>
      <c r="I21" s="45"/>
      <c r="J21" s="45"/>
      <c r="K21" s="45"/>
      <c r="L21" s="45"/>
      <c r="M21" s="45"/>
    </row>
    <row r="22" spans="1:13" x14ac:dyDescent="0.2">
      <c r="A22" s="321"/>
      <c r="B22" s="322"/>
      <c r="C22" s="322"/>
      <c r="D22" s="323"/>
      <c r="E22" s="56"/>
      <c r="F22" s="53"/>
      <c r="G22" s="55"/>
      <c r="H22" s="43"/>
      <c r="I22" s="45"/>
      <c r="J22" s="45"/>
      <c r="K22" s="45"/>
      <c r="L22" s="45"/>
      <c r="M22" s="45"/>
    </row>
    <row r="23" spans="1:13" x14ac:dyDescent="0.2">
      <c r="A23" s="330" t="s">
        <v>39</v>
      </c>
      <c r="B23" s="330"/>
      <c r="C23" s="330"/>
      <c r="D23" s="330"/>
      <c r="E23" s="56"/>
      <c r="F23" s="53"/>
      <c r="G23" s="55"/>
      <c r="H23" s="43"/>
      <c r="I23" s="45"/>
      <c r="J23" s="45"/>
      <c r="K23" s="45"/>
      <c r="L23" s="45"/>
      <c r="M23" s="45"/>
    </row>
    <row r="24" spans="1:13" x14ac:dyDescent="0.2">
      <c r="A24" s="136" t="s">
        <v>41</v>
      </c>
      <c r="B24" s="136" t="s">
        <v>30</v>
      </c>
      <c r="C24" s="136" t="s">
        <v>1</v>
      </c>
      <c r="D24" s="136" t="s">
        <v>62</v>
      </c>
      <c r="E24" s="56"/>
      <c r="F24" s="53"/>
      <c r="G24" s="53"/>
      <c r="H24" s="42"/>
      <c r="I24" s="45"/>
      <c r="J24" s="45"/>
      <c r="K24" s="45"/>
      <c r="L24" s="45"/>
      <c r="M24" s="45"/>
    </row>
    <row r="25" spans="1:13" x14ac:dyDescent="0.2">
      <c r="A25" s="140" t="s">
        <v>4</v>
      </c>
      <c r="B25" s="142" t="s">
        <v>64</v>
      </c>
      <c r="C25" s="11">
        <f>1/12</f>
        <v>8.3333333333333329E-2</v>
      </c>
      <c r="D25" s="12">
        <f>TRUNC((C25*D18),2)</f>
        <v>220.89</v>
      </c>
      <c r="E25" s="56" t="s">
        <v>56</v>
      </c>
      <c r="F25" s="53"/>
      <c r="G25" s="53"/>
      <c r="H25" s="43"/>
      <c r="I25" s="45"/>
      <c r="J25" s="45"/>
      <c r="K25" s="45"/>
      <c r="L25" s="45"/>
      <c r="M25" s="45"/>
    </row>
    <row r="26" spans="1:13" x14ac:dyDescent="0.2">
      <c r="A26" s="140" t="s">
        <v>5</v>
      </c>
      <c r="B26" s="142" t="s">
        <v>125</v>
      </c>
      <c r="C26" s="11">
        <f>(1/12)+(1/3/12)</f>
        <v>0.1111111111111111</v>
      </c>
      <c r="D26" s="12">
        <f>TRUNC((C26*D18),2)</f>
        <v>294.52999999999997</v>
      </c>
      <c r="E26" s="56" t="s">
        <v>56</v>
      </c>
      <c r="F26" s="53"/>
      <c r="G26" s="53"/>
      <c r="H26" s="43"/>
      <c r="I26" s="45"/>
      <c r="J26" s="45"/>
      <c r="K26" s="45"/>
      <c r="L26" s="45"/>
      <c r="M26" s="45"/>
    </row>
    <row r="27" spans="1:13" x14ac:dyDescent="0.2">
      <c r="A27" s="176" t="s">
        <v>6</v>
      </c>
      <c r="B27" s="177" t="s">
        <v>310</v>
      </c>
      <c r="C27" s="11">
        <f>C40</f>
        <v>0.36800000000000005</v>
      </c>
      <c r="D27" s="12">
        <f>TRUNC((C27*(D25+D26)),2)</f>
        <v>189.67</v>
      </c>
      <c r="E27" s="56"/>
      <c r="F27" s="53"/>
      <c r="G27" s="53"/>
      <c r="H27" s="43"/>
      <c r="I27" s="45"/>
      <c r="J27" s="45"/>
      <c r="K27" s="45"/>
      <c r="L27" s="45"/>
      <c r="M27" s="45"/>
    </row>
    <row r="28" spans="1:13" x14ac:dyDescent="0.2">
      <c r="A28" s="291" t="s">
        <v>119</v>
      </c>
      <c r="B28" s="291"/>
      <c r="C28" s="70"/>
      <c r="D28" s="115">
        <f>SUM(D25:D27)</f>
        <v>705.08999999999992</v>
      </c>
      <c r="E28" s="56"/>
      <c r="F28" s="53"/>
      <c r="G28" s="53"/>
      <c r="H28" s="43"/>
      <c r="I28" s="45"/>
      <c r="J28" s="45"/>
      <c r="K28" s="45"/>
      <c r="L28" s="45"/>
      <c r="M28" s="45"/>
    </row>
    <row r="29" spans="1:13" x14ac:dyDescent="0.2">
      <c r="A29" s="324"/>
      <c r="B29" s="325"/>
      <c r="C29" s="325"/>
      <c r="D29" s="326"/>
      <c r="E29" s="56"/>
      <c r="F29" s="53"/>
      <c r="G29" s="53"/>
      <c r="H29" s="43"/>
      <c r="I29" s="45"/>
      <c r="J29" s="45"/>
      <c r="K29" s="45"/>
      <c r="L29" s="45"/>
      <c r="M29" s="45"/>
    </row>
    <row r="30" spans="1:13" ht="30" customHeight="1" x14ac:dyDescent="0.2">
      <c r="A30" s="331" t="s">
        <v>128</v>
      </c>
      <c r="B30" s="332"/>
      <c r="C30" s="332"/>
      <c r="D30" s="333"/>
      <c r="E30" s="57"/>
      <c r="F30" s="58"/>
      <c r="G30" s="53"/>
      <c r="H30" s="42"/>
      <c r="I30" s="45"/>
      <c r="J30" s="45"/>
      <c r="K30" s="45"/>
      <c r="L30" s="45"/>
      <c r="M30" s="45"/>
    </row>
    <row r="31" spans="1:13" x14ac:dyDescent="0.2">
      <c r="A31" s="136" t="s">
        <v>42</v>
      </c>
      <c r="B31" s="141" t="s">
        <v>129</v>
      </c>
      <c r="C31" s="136" t="s">
        <v>1</v>
      </c>
      <c r="D31" s="136" t="s">
        <v>62</v>
      </c>
      <c r="E31" s="56"/>
      <c r="F31" s="53"/>
      <c r="G31" s="53"/>
      <c r="H31" s="43"/>
      <c r="I31" s="45"/>
      <c r="J31" s="45"/>
      <c r="K31" s="45"/>
      <c r="L31" s="45"/>
      <c r="M31" s="45"/>
    </row>
    <row r="32" spans="1:13" x14ac:dyDescent="0.2">
      <c r="A32" s="140" t="s">
        <v>4</v>
      </c>
      <c r="B32" s="142" t="s">
        <v>33</v>
      </c>
      <c r="C32" s="11">
        <v>0.2</v>
      </c>
      <c r="D32" s="12">
        <f t="shared" ref="D32:D39" si="0">TRUNC(($D$18)*C32,2)</f>
        <v>530.15</v>
      </c>
      <c r="E32" s="56" t="s">
        <v>56</v>
      </c>
      <c r="F32" s="53"/>
      <c r="G32" s="53"/>
      <c r="H32" s="42"/>
      <c r="I32" s="45"/>
      <c r="J32" s="45"/>
      <c r="K32" s="45"/>
      <c r="L32" s="45"/>
      <c r="M32" s="45"/>
    </row>
    <row r="33" spans="1:13" x14ac:dyDescent="0.2">
      <c r="A33" s="140" t="s">
        <v>5</v>
      </c>
      <c r="B33" s="142" t="s">
        <v>34</v>
      </c>
      <c r="C33" s="11">
        <v>2.5000000000000001E-2</v>
      </c>
      <c r="D33" s="12">
        <f t="shared" si="0"/>
        <v>66.260000000000005</v>
      </c>
      <c r="E33" s="56" t="s">
        <v>57</v>
      </c>
      <c r="F33" s="53"/>
      <c r="G33" s="53"/>
      <c r="H33" s="42"/>
      <c r="I33" s="45"/>
      <c r="J33" s="45"/>
      <c r="K33" s="45"/>
      <c r="L33" s="45"/>
      <c r="M33" s="45"/>
    </row>
    <row r="34" spans="1:13" x14ac:dyDescent="0.2">
      <c r="A34" s="140" t="s">
        <v>6</v>
      </c>
      <c r="B34" s="142" t="s">
        <v>148</v>
      </c>
      <c r="C34" s="11">
        <f>3*1%</f>
        <v>0.03</v>
      </c>
      <c r="D34" s="12">
        <f t="shared" si="0"/>
        <v>79.52</v>
      </c>
      <c r="E34" s="56" t="s">
        <v>150</v>
      </c>
      <c r="F34" s="53"/>
      <c r="G34" s="53"/>
      <c r="H34" s="42"/>
      <c r="I34" s="45"/>
      <c r="J34" s="45"/>
      <c r="K34" s="45"/>
      <c r="L34" s="45"/>
      <c r="M34" s="45"/>
    </row>
    <row r="35" spans="1:13" x14ac:dyDescent="0.2">
      <c r="A35" s="140" t="s">
        <v>7</v>
      </c>
      <c r="B35" s="142" t="s">
        <v>32</v>
      </c>
      <c r="C35" s="11">
        <v>1.4999999999999999E-2</v>
      </c>
      <c r="D35" s="12">
        <f t="shared" si="0"/>
        <v>39.76</v>
      </c>
      <c r="E35" s="56" t="s">
        <v>57</v>
      </c>
      <c r="F35" s="53"/>
      <c r="G35" s="53"/>
      <c r="H35" s="42"/>
      <c r="I35" s="45"/>
      <c r="J35" s="45"/>
      <c r="K35" s="45"/>
      <c r="L35" s="45"/>
      <c r="M35" s="45"/>
    </row>
    <row r="36" spans="1:13" x14ac:dyDescent="0.2">
      <c r="A36" s="140" t="s">
        <v>8</v>
      </c>
      <c r="B36" s="142" t="s">
        <v>35</v>
      </c>
      <c r="C36" s="11">
        <v>0.01</v>
      </c>
      <c r="D36" s="12">
        <f t="shared" si="0"/>
        <v>26.5</v>
      </c>
      <c r="E36" s="56" t="s">
        <v>57</v>
      </c>
      <c r="F36" s="53"/>
      <c r="G36" s="53"/>
      <c r="H36" s="42"/>
      <c r="I36" s="45"/>
      <c r="J36" s="45"/>
      <c r="K36" s="45"/>
      <c r="L36" s="45"/>
      <c r="M36" s="45"/>
    </row>
    <row r="37" spans="1:13" x14ac:dyDescent="0.2">
      <c r="A37" s="140" t="s">
        <v>9</v>
      </c>
      <c r="B37" s="142" t="s">
        <v>36</v>
      </c>
      <c r="C37" s="11">
        <v>6.0000000000000001E-3</v>
      </c>
      <c r="D37" s="12">
        <f t="shared" si="0"/>
        <v>15.9</v>
      </c>
      <c r="E37" s="56" t="s">
        <v>57</v>
      </c>
      <c r="F37" s="53"/>
      <c r="G37" s="53"/>
      <c r="H37" s="42"/>
      <c r="I37" s="45"/>
      <c r="J37" s="45"/>
      <c r="K37" s="45"/>
      <c r="L37" s="45"/>
      <c r="M37" s="45"/>
    </row>
    <row r="38" spans="1:13" x14ac:dyDescent="0.2">
      <c r="A38" s="140" t="s">
        <v>10</v>
      </c>
      <c r="B38" s="142" t="s">
        <v>37</v>
      </c>
      <c r="C38" s="11">
        <v>2E-3</v>
      </c>
      <c r="D38" s="12">
        <f t="shared" si="0"/>
        <v>5.3</v>
      </c>
      <c r="E38" s="56" t="s">
        <v>57</v>
      </c>
      <c r="F38" s="53"/>
      <c r="G38" s="53"/>
      <c r="H38" s="42"/>
      <c r="I38" s="45"/>
      <c r="J38" s="45"/>
      <c r="K38" s="45"/>
      <c r="L38" s="45"/>
      <c r="M38" s="45"/>
    </row>
    <row r="39" spans="1:13" x14ac:dyDescent="0.2">
      <c r="A39" s="140" t="s">
        <v>11</v>
      </c>
      <c r="B39" s="142" t="s">
        <v>38</v>
      </c>
      <c r="C39" s="11">
        <v>0.08</v>
      </c>
      <c r="D39" s="12">
        <f t="shared" si="0"/>
        <v>212.06</v>
      </c>
      <c r="E39" s="56" t="s">
        <v>56</v>
      </c>
      <c r="F39" s="53"/>
      <c r="G39" s="53"/>
      <c r="H39" s="42"/>
      <c r="I39" s="45"/>
      <c r="J39" s="45"/>
      <c r="K39" s="45"/>
      <c r="L39" s="45"/>
      <c r="M39" s="45"/>
    </row>
    <row r="40" spans="1:13" x14ac:dyDescent="0.2">
      <c r="A40" s="334" t="s">
        <v>119</v>
      </c>
      <c r="B40" s="334"/>
      <c r="C40" s="126">
        <f>SUM(C32:C39)</f>
        <v>0.36800000000000005</v>
      </c>
      <c r="D40" s="127">
        <f>SUM(D32:D39)</f>
        <v>975.44999999999982</v>
      </c>
      <c r="E40" s="56"/>
      <c r="F40" s="53"/>
      <c r="G40" s="53"/>
      <c r="H40" s="42"/>
      <c r="I40" s="45"/>
      <c r="J40" s="45"/>
      <c r="K40" s="45"/>
      <c r="L40" s="45"/>
      <c r="M40" s="45"/>
    </row>
    <row r="41" spans="1:13" x14ac:dyDescent="0.2">
      <c r="A41" s="327"/>
      <c r="B41" s="328"/>
      <c r="C41" s="328"/>
      <c r="D41" s="329"/>
      <c r="E41" s="56"/>
      <c r="F41" s="53"/>
      <c r="G41" s="53"/>
      <c r="H41" s="42"/>
      <c r="I41" s="49"/>
      <c r="J41" s="45"/>
      <c r="K41" s="45"/>
      <c r="L41" s="45"/>
      <c r="M41" s="45"/>
    </row>
    <row r="42" spans="1:13" x14ac:dyDescent="0.2">
      <c r="A42" s="331" t="s">
        <v>40</v>
      </c>
      <c r="B42" s="332"/>
      <c r="C42" s="332"/>
      <c r="D42" s="333"/>
      <c r="E42" s="56"/>
      <c r="F42" s="53"/>
      <c r="G42" s="53"/>
      <c r="H42" s="42"/>
      <c r="I42" s="45"/>
      <c r="J42" s="45"/>
      <c r="K42" s="45"/>
      <c r="L42" s="45"/>
      <c r="M42" s="45"/>
    </row>
    <row r="43" spans="1:13" s="4" customFormat="1" x14ac:dyDescent="0.2">
      <c r="A43" s="136" t="s">
        <v>43</v>
      </c>
      <c r="B43" s="141" t="s">
        <v>44</v>
      </c>
      <c r="C43" s="136"/>
      <c r="D43" s="136" t="s">
        <v>62</v>
      </c>
      <c r="E43" s="59"/>
      <c r="F43" s="60"/>
      <c r="G43" s="60"/>
      <c r="H43" s="44"/>
      <c r="I43" s="46"/>
      <c r="J43" s="46"/>
      <c r="K43" s="46"/>
      <c r="L43" s="46"/>
      <c r="M43" s="46"/>
    </row>
    <row r="44" spans="1:13" x14ac:dyDescent="0.2">
      <c r="A44" s="140" t="s">
        <v>4</v>
      </c>
      <c r="B44" s="41" t="s">
        <v>54</v>
      </c>
      <c r="C44" s="69"/>
      <c r="D44" s="15">
        <f>TRUNC((8.55*2*22)-(D12*6%),2)</f>
        <v>217.15</v>
      </c>
      <c r="E44" s="313" t="s">
        <v>160</v>
      </c>
      <c r="F44" s="313"/>
      <c r="G44" s="313"/>
      <c r="H44" s="313"/>
      <c r="I44" s="313"/>
      <c r="J44" s="45"/>
      <c r="K44" s="45"/>
      <c r="L44" s="45"/>
      <c r="M44" s="45"/>
    </row>
    <row r="45" spans="1:13" ht="12.75" customHeight="1" x14ac:dyDescent="0.2">
      <c r="A45" s="140" t="s">
        <v>5</v>
      </c>
      <c r="B45" s="41" t="s">
        <v>55</v>
      </c>
      <c r="C45" s="69"/>
      <c r="D45" s="15">
        <f>TRUNC((15*22),2)</f>
        <v>330</v>
      </c>
      <c r="E45" s="121" t="s">
        <v>58</v>
      </c>
      <c r="F45" s="122"/>
      <c r="G45" s="122"/>
      <c r="H45" s="122"/>
      <c r="I45" s="122"/>
      <c r="J45" s="45"/>
      <c r="K45" s="45"/>
      <c r="L45" s="45"/>
      <c r="M45" s="45"/>
    </row>
    <row r="46" spans="1:13" x14ac:dyDescent="0.2">
      <c r="A46" s="140" t="s">
        <v>6</v>
      </c>
      <c r="B46" s="41" t="s">
        <v>205</v>
      </c>
      <c r="C46" s="69"/>
      <c r="D46" s="15">
        <f>3*22</f>
        <v>66</v>
      </c>
      <c r="E46" s="56"/>
      <c r="F46" s="53"/>
      <c r="G46" s="53"/>
      <c r="H46" s="42"/>
      <c r="I46" s="45"/>
      <c r="J46" s="45"/>
      <c r="K46" s="45"/>
      <c r="L46" s="45"/>
      <c r="M46" s="45"/>
    </row>
    <row r="47" spans="1:13" s="77" customFormat="1" x14ac:dyDescent="0.2">
      <c r="A47" s="140" t="s">
        <v>7</v>
      </c>
      <c r="B47" s="41" t="s">
        <v>203</v>
      </c>
      <c r="C47" s="69"/>
      <c r="D47" s="15">
        <v>5</v>
      </c>
      <c r="E47" s="56"/>
      <c r="F47" s="53"/>
      <c r="G47" s="53"/>
      <c r="H47" s="42"/>
      <c r="I47" s="45"/>
      <c r="J47" s="45"/>
      <c r="K47" s="45"/>
      <c r="L47" s="45"/>
      <c r="M47" s="45"/>
    </row>
    <row r="48" spans="1:13" s="77" customFormat="1" x14ac:dyDescent="0.2">
      <c r="A48" s="140" t="s">
        <v>8</v>
      </c>
      <c r="B48" s="41" t="s">
        <v>2</v>
      </c>
      <c r="C48" s="69"/>
      <c r="D48" s="15">
        <v>0</v>
      </c>
      <c r="E48" s="56"/>
      <c r="F48" s="53"/>
      <c r="G48" s="53"/>
      <c r="H48" s="42"/>
      <c r="I48" s="45"/>
      <c r="J48" s="45"/>
      <c r="K48" s="45"/>
      <c r="L48" s="45"/>
      <c r="M48" s="45"/>
    </row>
    <row r="49" spans="1:13" x14ac:dyDescent="0.2">
      <c r="A49" s="334" t="s">
        <v>119</v>
      </c>
      <c r="B49" s="334"/>
      <c r="C49" s="334"/>
      <c r="D49" s="127">
        <f>SUM(D44:D48)</f>
        <v>618.15</v>
      </c>
      <c r="E49" s="56"/>
      <c r="F49" s="53"/>
      <c r="G49" s="53"/>
      <c r="H49" s="42"/>
      <c r="I49" s="45"/>
      <c r="J49" s="45"/>
      <c r="K49" s="45"/>
      <c r="L49" s="45"/>
      <c r="M49" s="45"/>
    </row>
    <row r="50" spans="1:13" x14ac:dyDescent="0.2">
      <c r="A50" s="324"/>
      <c r="B50" s="325"/>
      <c r="C50" s="325"/>
      <c r="D50" s="326"/>
      <c r="E50" s="56"/>
      <c r="F50" s="53"/>
      <c r="G50" s="53"/>
      <c r="H50" s="42"/>
      <c r="I50" s="45"/>
      <c r="J50" s="45"/>
      <c r="K50" s="45"/>
      <c r="L50" s="45"/>
      <c r="M50" s="45"/>
    </row>
    <row r="51" spans="1:13" x14ac:dyDescent="0.2">
      <c r="A51" s="335" t="s">
        <v>131</v>
      </c>
      <c r="B51" s="335"/>
      <c r="C51" s="335"/>
      <c r="D51" s="335"/>
      <c r="E51" s="56"/>
      <c r="F51" s="53"/>
      <c r="G51" s="53"/>
      <c r="H51" s="42"/>
      <c r="I51" s="45"/>
      <c r="J51" s="45"/>
      <c r="K51" s="45"/>
      <c r="L51" s="45"/>
      <c r="M51" s="45"/>
    </row>
    <row r="52" spans="1:13" x14ac:dyDescent="0.2">
      <c r="A52" s="136">
        <v>2</v>
      </c>
      <c r="B52" s="336" t="s">
        <v>130</v>
      </c>
      <c r="C52" s="337"/>
      <c r="D52" s="136" t="s">
        <v>62</v>
      </c>
      <c r="E52" s="56"/>
      <c r="F52" s="53"/>
      <c r="G52" s="53"/>
      <c r="H52" s="42"/>
      <c r="I52" s="45"/>
      <c r="J52" s="45"/>
      <c r="K52" s="45"/>
      <c r="L52" s="45"/>
      <c r="M52" s="45"/>
    </row>
    <row r="53" spans="1:13" x14ac:dyDescent="0.2">
      <c r="A53" s="140" t="s">
        <v>41</v>
      </c>
      <c r="B53" s="338" t="s">
        <v>30</v>
      </c>
      <c r="C53" s="338"/>
      <c r="D53" s="12">
        <f>D28</f>
        <v>705.08999999999992</v>
      </c>
      <c r="E53" s="56"/>
      <c r="F53" s="53"/>
      <c r="G53" s="53"/>
      <c r="H53" s="42"/>
      <c r="I53" s="45"/>
      <c r="J53" s="45"/>
      <c r="K53" s="45"/>
      <c r="L53" s="45"/>
      <c r="M53" s="45"/>
    </row>
    <row r="54" spans="1:13" x14ac:dyDescent="0.2">
      <c r="A54" s="140" t="s">
        <v>42</v>
      </c>
      <c r="B54" s="338" t="s">
        <v>31</v>
      </c>
      <c r="C54" s="338"/>
      <c r="D54" s="12">
        <f>D40</f>
        <v>975.44999999999982</v>
      </c>
      <c r="E54" s="56"/>
      <c r="F54" s="53"/>
      <c r="G54" s="53"/>
      <c r="H54" s="42"/>
      <c r="I54" s="45"/>
      <c r="J54" s="45"/>
      <c r="K54" s="45"/>
      <c r="L54" s="45"/>
      <c r="M54" s="45"/>
    </row>
    <row r="55" spans="1:13" x14ac:dyDescent="0.2">
      <c r="A55" s="140" t="s">
        <v>43</v>
      </c>
      <c r="B55" s="338" t="s">
        <v>44</v>
      </c>
      <c r="C55" s="338"/>
      <c r="D55" s="12">
        <f>D49</f>
        <v>618.15</v>
      </c>
      <c r="E55" s="56"/>
      <c r="F55" s="53"/>
      <c r="G55" s="53"/>
      <c r="H55" s="42"/>
      <c r="I55" s="45"/>
      <c r="J55" s="45"/>
      <c r="K55" s="45"/>
      <c r="L55" s="45"/>
      <c r="M55" s="45"/>
    </row>
    <row r="56" spans="1:13" x14ac:dyDescent="0.2">
      <c r="A56" s="291" t="s">
        <v>119</v>
      </c>
      <c r="B56" s="291"/>
      <c r="C56" s="291"/>
      <c r="D56" s="115">
        <f>SUM(D53:D55)</f>
        <v>2298.6899999999996</v>
      </c>
      <c r="E56" s="56"/>
      <c r="F56" s="53"/>
      <c r="G56" s="53"/>
      <c r="H56" s="42"/>
      <c r="I56" s="45"/>
      <c r="J56" s="45"/>
      <c r="K56" s="45"/>
      <c r="L56" s="45"/>
      <c r="M56" s="45"/>
    </row>
    <row r="57" spans="1:13" x14ac:dyDescent="0.2">
      <c r="A57" s="325"/>
      <c r="B57" s="325"/>
      <c r="C57" s="325"/>
      <c r="D57" s="325"/>
      <c r="E57" s="56"/>
      <c r="F57" s="53"/>
      <c r="G57" s="53"/>
      <c r="H57" s="42"/>
      <c r="I57" s="45"/>
      <c r="J57" s="45"/>
      <c r="K57" s="45"/>
      <c r="L57" s="45"/>
      <c r="M57" s="45"/>
    </row>
    <row r="58" spans="1:13" x14ac:dyDescent="0.2">
      <c r="A58" s="135"/>
      <c r="B58" s="135"/>
      <c r="C58" s="135"/>
      <c r="D58" s="135"/>
      <c r="E58" s="56"/>
      <c r="F58" s="53"/>
      <c r="G58" s="53"/>
      <c r="H58" s="42"/>
      <c r="I58" s="45"/>
      <c r="J58" s="45"/>
      <c r="K58" s="45"/>
      <c r="L58" s="45"/>
      <c r="M58" s="45"/>
    </row>
    <row r="59" spans="1:13" x14ac:dyDescent="0.2">
      <c r="A59" s="292" t="s">
        <v>133</v>
      </c>
      <c r="B59" s="292"/>
      <c r="C59" s="292"/>
      <c r="D59" s="292"/>
      <c r="E59" s="56"/>
      <c r="F59" s="53"/>
      <c r="G59" s="53"/>
      <c r="H59" s="42"/>
      <c r="I59" s="45"/>
      <c r="J59" s="45"/>
      <c r="K59" s="45"/>
      <c r="L59" s="45"/>
      <c r="M59" s="45"/>
    </row>
    <row r="60" spans="1:13" x14ac:dyDescent="0.2">
      <c r="A60" s="136">
        <v>3</v>
      </c>
      <c r="B60" s="136" t="s">
        <v>120</v>
      </c>
      <c r="C60" s="136" t="s">
        <v>1</v>
      </c>
      <c r="D60" s="136" t="s">
        <v>62</v>
      </c>
      <c r="E60" s="61"/>
      <c r="F60" s="53"/>
      <c r="G60" s="53"/>
      <c r="H60" s="42"/>
      <c r="I60" s="45"/>
      <c r="J60" s="45"/>
      <c r="K60" s="45"/>
      <c r="L60" s="45"/>
      <c r="M60" s="45"/>
    </row>
    <row r="61" spans="1:13" x14ac:dyDescent="0.2">
      <c r="A61" s="140" t="s">
        <v>4</v>
      </c>
      <c r="B61" s="142" t="s">
        <v>47</v>
      </c>
      <c r="C61" s="11">
        <f>((1/12)*5%)</f>
        <v>4.1666666666666666E-3</v>
      </c>
      <c r="D61" s="12">
        <f>TRUNC(($D$18*C61),2)</f>
        <v>11.04</v>
      </c>
      <c r="E61" s="56" t="s">
        <v>132</v>
      </c>
      <c r="F61" s="53"/>
      <c r="G61" s="53"/>
      <c r="H61" s="42"/>
      <c r="I61" s="45"/>
      <c r="J61" s="47"/>
      <c r="K61" s="45"/>
      <c r="L61" s="45"/>
      <c r="M61" s="45"/>
    </row>
    <row r="62" spans="1:13" x14ac:dyDescent="0.2">
      <c r="A62" s="140" t="s">
        <v>5</v>
      </c>
      <c r="B62" s="142" t="s">
        <v>46</v>
      </c>
      <c r="C62" s="11">
        <f>0.08*C61</f>
        <v>3.3333333333333332E-4</v>
      </c>
      <c r="D62" s="12">
        <f>TRUNC((C62*D18),2)</f>
        <v>0.88</v>
      </c>
      <c r="E62" s="56" t="s">
        <v>59</v>
      </c>
      <c r="F62" s="53"/>
      <c r="G62" s="53"/>
      <c r="H62" s="42"/>
      <c r="I62" s="45"/>
      <c r="J62" s="48"/>
      <c r="K62" s="45"/>
      <c r="L62" s="45"/>
      <c r="M62" s="45"/>
    </row>
    <row r="63" spans="1:13" x14ac:dyDescent="0.2">
      <c r="A63" s="140" t="s">
        <v>6</v>
      </c>
      <c r="B63" s="142" t="s">
        <v>175</v>
      </c>
      <c r="C63" s="11">
        <f>8%*(40%)*90%*(1+C28)</f>
        <v>2.8800000000000003E-2</v>
      </c>
      <c r="D63" s="12">
        <f>TRUNC((C63*D18),2)</f>
        <v>76.34</v>
      </c>
      <c r="E63" s="56" t="s">
        <v>169</v>
      </c>
      <c r="F63" s="53"/>
      <c r="G63" s="53"/>
      <c r="H63" s="42"/>
      <c r="I63" s="45"/>
      <c r="J63" s="48"/>
      <c r="K63" s="45"/>
      <c r="L63" s="45"/>
      <c r="M63" s="45"/>
    </row>
    <row r="64" spans="1:13" x14ac:dyDescent="0.2">
      <c r="A64" s="140" t="s">
        <v>7</v>
      </c>
      <c r="B64" s="142" t="s">
        <v>45</v>
      </c>
      <c r="C64" s="11">
        <f>((1/30)*7)/12</f>
        <v>1.9444444444444445E-2</v>
      </c>
      <c r="D64" s="12">
        <f>TRUNC(($D$18*C64),2)</f>
        <v>51.54</v>
      </c>
      <c r="E64" s="56" t="s">
        <v>60</v>
      </c>
      <c r="F64" s="53"/>
      <c r="G64" s="53"/>
      <c r="H64" s="42"/>
      <c r="I64" s="45"/>
      <c r="J64" s="49"/>
      <c r="K64" s="45"/>
      <c r="L64" s="45"/>
      <c r="M64" s="45"/>
    </row>
    <row r="65" spans="1:13" x14ac:dyDescent="0.2">
      <c r="A65" s="140" t="s">
        <v>8</v>
      </c>
      <c r="B65" s="142" t="s">
        <v>48</v>
      </c>
      <c r="C65" s="11">
        <f>C40*C64</f>
        <v>7.1555555555555565E-3</v>
      </c>
      <c r="D65" s="12">
        <f>TRUNC(($D$18*C65),2)</f>
        <v>18.96</v>
      </c>
      <c r="E65" s="59" t="s">
        <v>61</v>
      </c>
      <c r="F65" s="62"/>
      <c r="G65" s="53"/>
      <c r="H65" s="42"/>
      <c r="I65" s="45"/>
      <c r="J65" s="49"/>
      <c r="K65" s="45"/>
      <c r="L65" s="45"/>
      <c r="M65" s="45"/>
    </row>
    <row r="66" spans="1:13" ht="12.75" customHeight="1" x14ac:dyDescent="0.2">
      <c r="A66" s="140" t="s">
        <v>9</v>
      </c>
      <c r="B66" s="142" t="s">
        <v>176</v>
      </c>
      <c r="C66" s="11">
        <f>(8%*(40%))*C65</f>
        <v>2.2897777777777781E-4</v>
      </c>
      <c r="D66" s="12">
        <f>TRUNC((C66*(D18+D28)),2)</f>
        <v>0.76</v>
      </c>
      <c r="E66" s="317" t="s">
        <v>170</v>
      </c>
      <c r="F66" s="317"/>
      <c r="G66" s="317"/>
      <c r="H66" s="317"/>
      <c r="I66" s="317"/>
      <c r="J66" s="48"/>
      <c r="K66" s="45"/>
      <c r="L66" s="45"/>
      <c r="M66" s="45"/>
    </row>
    <row r="67" spans="1:13" x14ac:dyDescent="0.2">
      <c r="A67" s="291" t="s">
        <v>119</v>
      </c>
      <c r="B67" s="291"/>
      <c r="C67" s="70">
        <f>TRUNC(SUM(C61:C66),4)</f>
        <v>6.0100000000000001E-2</v>
      </c>
      <c r="D67" s="115">
        <f>SUM(D61:D66)</f>
        <v>159.52000000000001</v>
      </c>
      <c r="E67" s="56"/>
      <c r="F67" s="53"/>
      <c r="G67" s="53"/>
      <c r="H67" s="42"/>
      <c r="I67" s="45"/>
      <c r="J67" s="45"/>
      <c r="K67" s="45"/>
      <c r="L67" s="45"/>
      <c r="M67" s="45"/>
    </row>
    <row r="68" spans="1:13" x14ac:dyDescent="0.2">
      <c r="A68" s="318"/>
      <c r="B68" s="318"/>
      <c r="C68" s="318"/>
      <c r="D68" s="318"/>
      <c r="E68" s="56"/>
      <c r="F68" s="53"/>
      <c r="G68" s="53"/>
      <c r="H68" s="42"/>
      <c r="I68" s="45"/>
      <c r="J68" s="45"/>
      <c r="K68" s="45"/>
      <c r="L68" s="45"/>
      <c r="M68" s="45"/>
    </row>
    <row r="69" spans="1:13" x14ac:dyDescent="0.2">
      <c r="A69" s="135"/>
      <c r="B69" s="135"/>
      <c r="C69" s="135"/>
      <c r="D69" s="135"/>
      <c r="E69" s="56"/>
      <c r="F69" s="53"/>
      <c r="G69" s="53"/>
      <c r="H69" s="42"/>
      <c r="I69" s="45"/>
      <c r="J69" s="45"/>
      <c r="K69" s="45"/>
      <c r="L69" s="45"/>
      <c r="M69" s="45"/>
    </row>
    <row r="70" spans="1:13" x14ac:dyDescent="0.2">
      <c r="A70" s="292" t="s">
        <v>134</v>
      </c>
      <c r="B70" s="292"/>
      <c r="C70" s="292"/>
      <c r="D70" s="292"/>
      <c r="E70" s="56"/>
      <c r="F70" s="53"/>
      <c r="G70" s="53"/>
      <c r="H70" s="42"/>
      <c r="I70" s="45"/>
      <c r="J70" s="45"/>
      <c r="K70" s="45"/>
      <c r="L70" s="45"/>
      <c r="M70" s="45"/>
    </row>
    <row r="71" spans="1:13" x14ac:dyDescent="0.2">
      <c r="A71" s="314" t="s">
        <v>163</v>
      </c>
      <c r="B71" s="315"/>
      <c r="C71" s="315"/>
      <c r="D71" s="316"/>
      <c r="E71" s="56"/>
      <c r="F71" s="53"/>
      <c r="G71" s="53"/>
      <c r="H71" s="42"/>
      <c r="I71" s="45"/>
      <c r="J71" s="45"/>
      <c r="K71" s="45"/>
      <c r="L71" s="45"/>
      <c r="M71" s="45"/>
    </row>
    <row r="72" spans="1:13" x14ac:dyDescent="0.2">
      <c r="A72" s="136" t="s">
        <v>13</v>
      </c>
      <c r="B72" s="136" t="s">
        <v>164</v>
      </c>
      <c r="C72" s="136" t="s">
        <v>1</v>
      </c>
      <c r="D72" s="136" t="s">
        <v>62</v>
      </c>
      <c r="E72" s="56"/>
      <c r="F72" s="53"/>
      <c r="G72" s="53"/>
      <c r="H72" s="42"/>
      <c r="I72" s="50"/>
      <c r="J72" s="45"/>
      <c r="K72" s="45"/>
      <c r="L72" s="45"/>
      <c r="M72" s="45"/>
    </row>
    <row r="73" spans="1:13" x14ac:dyDescent="0.2">
      <c r="A73" s="140" t="s">
        <v>4</v>
      </c>
      <c r="B73" s="142" t="s">
        <v>171</v>
      </c>
      <c r="C73" s="11">
        <f>1/12</f>
        <v>8.3333333333333329E-2</v>
      </c>
      <c r="D73" s="12">
        <f>TRUNC(($D$18*C73),2)</f>
        <v>220.89</v>
      </c>
      <c r="E73" s="56"/>
      <c r="F73" s="53"/>
      <c r="G73" s="53"/>
      <c r="H73" s="42"/>
      <c r="I73" s="50"/>
      <c r="J73" s="45"/>
      <c r="K73" s="45"/>
      <c r="L73" s="45"/>
      <c r="M73" s="45"/>
    </row>
    <row r="74" spans="1:13" x14ac:dyDescent="0.2">
      <c r="A74" s="140" t="s">
        <v>5</v>
      </c>
      <c r="B74" s="142" t="s">
        <v>151</v>
      </c>
      <c r="C74" s="11">
        <f>5.96/30/12</f>
        <v>1.6555555555555556E-2</v>
      </c>
      <c r="D74" s="12">
        <f>TRUNC(($D$18*C74),2)</f>
        <v>43.88</v>
      </c>
      <c r="E74" s="59" t="s">
        <v>172</v>
      </c>
      <c r="F74" s="53"/>
      <c r="G74" s="53"/>
      <c r="H74" s="42"/>
      <c r="I74" s="50"/>
      <c r="J74" s="45"/>
      <c r="K74" s="45"/>
      <c r="L74" s="45"/>
      <c r="M74" s="45"/>
    </row>
    <row r="75" spans="1:13" x14ac:dyDescent="0.2">
      <c r="A75" s="140" t="s">
        <v>6</v>
      </c>
      <c r="B75" s="142" t="s">
        <v>152</v>
      </c>
      <c r="C75" s="11">
        <f>(1/30/12)*5*1.5%</f>
        <v>2.0833333333333335E-4</v>
      </c>
      <c r="D75" s="12">
        <f>TRUNC(($D$18*C75),2)</f>
        <v>0.55000000000000004</v>
      </c>
      <c r="E75" s="59" t="s">
        <v>135</v>
      </c>
      <c r="F75" s="53"/>
      <c r="G75" s="53"/>
      <c r="H75" s="42"/>
      <c r="I75" s="45"/>
      <c r="J75" s="45"/>
      <c r="K75" s="45"/>
      <c r="L75" s="45"/>
      <c r="M75" s="45"/>
    </row>
    <row r="76" spans="1:13" x14ac:dyDescent="0.2">
      <c r="A76" s="140" t="s">
        <v>7</v>
      </c>
      <c r="B76" s="142" t="s">
        <v>153</v>
      </c>
      <c r="C76" s="11">
        <f>(15/30/12)*8%</f>
        <v>3.3333333333333331E-3</v>
      </c>
      <c r="D76" s="12">
        <f>TRUNC(($D$18*C76),2)</f>
        <v>8.83</v>
      </c>
      <c r="E76" s="59" t="s">
        <v>173</v>
      </c>
      <c r="F76" s="60"/>
      <c r="G76" s="60"/>
      <c r="H76" s="42"/>
      <c r="I76" s="45"/>
      <c r="J76" s="45"/>
      <c r="K76" s="45"/>
      <c r="L76" s="45"/>
      <c r="M76" s="45"/>
    </row>
    <row r="77" spans="1:13" x14ac:dyDescent="0.2">
      <c r="A77" s="140" t="s">
        <v>8</v>
      </c>
      <c r="B77" s="142" t="s">
        <v>154</v>
      </c>
      <c r="C77" s="11">
        <f>(4/12)/12*2%</f>
        <v>5.5555555555555556E-4</v>
      </c>
      <c r="D77" s="12">
        <f>TRUNC(($D$18*C77),2)</f>
        <v>1.47</v>
      </c>
      <c r="E77" s="59" t="s">
        <v>174</v>
      </c>
      <c r="F77" s="63"/>
      <c r="G77" s="53"/>
      <c r="H77" s="42"/>
      <c r="I77" s="45"/>
      <c r="J77" s="45"/>
      <c r="K77" s="45"/>
      <c r="L77" s="45"/>
      <c r="M77" s="45"/>
    </row>
    <row r="78" spans="1:13" x14ac:dyDescent="0.2">
      <c r="A78" s="140" t="s">
        <v>9</v>
      </c>
      <c r="B78" s="142" t="s">
        <v>183</v>
      </c>
      <c r="C78" s="11">
        <v>0</v>
      </c>
      <c r="D78" s="12">
        <f>TRUNC((C78*D18),2)</f>
        <v>0</v>
      </c>
      <c r="E78" s="59" t="s">
        <v>182</v>
      </c>
      <c r="F78" s="64"/>
      <c r="G78" s="60"/>
      <c r="H78" s="44"/>
      <c r="I78" s="45"/>
      <c r="J78" s="45"/>
      <c r="K78" s="45"/>
      <c r="L78" s="45"/>
      <c r="M78" s="45"/>
    </row>
    <row r="79" spans="1:13" x14ac:dyDescent="0.2">
      <c r="A79" s="291" t="s">
        <v>119</v>
      </c>
      <c r="B79" s="291"/>
      <c r="C79" s="70">
        <f>TRUNC(SUM(C73:C78),4)</f>
        <v>0.10390000000000001</v>
      </c>
      <c r="D79" s="115">
        <f>SUM(D73:D78)</f>
        <v>275.62</v>
      </c>
      <c r="E79" s="56"/>
      <c r="F79" s="53"/>
      <c r="G79" s="53"/>
      <c r="H79" s="42"/>
      <c r="I79" s="45"/>
      <c r="J79" s="45"/>
      <c r="K79" s="45"/>
      <c r="L79" s="45"/>
      <c r="M79" s="45"/>
    </row>
    <row r="80" spans="1:13" x14ac:dyDescent="0.2">
      <c r="A80" s="128"/>
      <c r="B80" s="129"/>
      <c r="C80" s="129"/>
      <c r="D80" s="130"/>
      <c r="E80" s="56"/>
      <c r="F80" s="53"/>
      <c r="G80" s="53"/>
      <c r="H80" s="42"/>
      <c r="I80" s="45"/>
      <c r="J80" s="45"/>
      <c r="K80" s="45"/>
      <c r="L80" s="45"/>
      <c r="M80" s="45"/>
    </row>
    <row r="81" spans="1:13" x14ac:dyDescent="0.2">
      <c r="A81" s="314" t="s">
        <v>165</v>
      </c>
      <c r="B81" s="315"/>
      <c r="C81" s="315"/>
      <c r="D81" s="316"/>
      <c r="E81" s="56"/>
      <c r="F81" s="53"/>
      <c r="G81" s="53"/>
      <c r="H81" s="42"/>
      <c r="I81" s="45"/>
      <c r="J81" s="45"/>
      <c r="K81" s="45"/>
      <c r="L81" s="45"/>
      <c r="M81" s="45"/>
    </row>
    <row r="82" spans="1:13" x14ac:dyDescent="0.2">
      <c r="A82" s="136" t="s">
        <v>14</v>
      </c>
      <c r="B82" s="95" t="s">
        <v>166</v>
      </c>
      <c r="C82" s="95" t="s">
        <v>1</v>
      </c>
      <c r="D82" s="136" t="s">
        <v>62</v>
      </c>
      <c r="E82" s="56"/>
      <c r="F82" s="53"/>
      <c r="G82" s="53"/>
      <c r="H82" s="42"/>
      <c r="I82" s="45"/>
      <c r="J82" s="45"/>
      <c r="K82" s="45"/>
      <c r="L82" s="45"/>
      <c r="M82" s="45"/>
    </row>
    <row r="83" spans="1:13" x14ac:dyDescent="0.2">
      <c r="A83" s="140" t="s">
        <v>4</v>
      </c>
      <c r="B83" s="142" t="s">
        <v>167</v>
      </c>
      <c r="C83" s="11">
        <v>0</v>
      </c>
      <c r="D83" s="12">
        <f>TRUNC(($D$18*C83),2)</f>
        <v>0</v>
      </c>
      <c r="E83" s="56"/>
      <c r="F83" s="53"/>
      <c r="G83" s="53"/>
      <c r="H83" s="42"/>
      <c r="I83" s="45"/>
      <c r="J83" s="45"/>
      <c r="K83" s="45"/>
      <c r="L83" s="45"/>
      <c r="M83" s="45"/>
    </row>
    <row r="84" spans="1:13" x14ac:dyDescent="0.2">
      <c r="A84" s="291" t="s">
        <v>119</v>
      </c>
      <c r="B84" s="291"/>
      <c r="C84" s="70">
        <f>TRUNC(SUM(C83),4)</f>
        <v>0</v>
      </c>
      <c r="D84" s="115">
        <f>SUM(D83)</f>
        <v>0</v>
      </c>
      <c r="E84" s="56"/>
      <c r="F84" s="53"/>
      <c r="G84" s="53"/>
      <c r="H84" s="42"/>
      <c r="I84" s="45"/>
      <c r="J84" s="45"/>
      <c r="K84" s="45"/>
      <c r="L84" s="45"/>
      <c r="M84" s="45"/>
    </row>
    <row r="85" spans="1:13" x14ac:dyDescent="0.2">
      <c r="A85" s="137"/>
      <c r="B85" s="138"/>
      <c r="C85" s="138"/>
      <c r="D85" s="139"/>
      <c r="E85" s="56"/>
      <c r="F85" s="53"/>
      <c r="G85" s="53"/>
      <c r="H85" s="42"/>
      <c r="I85" s="45"/>
      <c r="J85" s="45"/>
      <c r="K85" s="45"/>
      <c r="L85" s="45"/>
      <c r="M85" s="45"/>
    </row>
    <row r="86" spans="1:13" x14ac:dyDescent="0.2">
      <c r="A86" s="314" t="s">
        <v>136</v>
      </c>
      <c r="B86" s="315"/>
      <c r="C86" s="315"/>
      <c r="D86" s="316"/>
      <c r="E86" s="56"/>
      <c r="F86" s="53"/>
      <c r="G86" s="53"/>
      <c r="H86" s="42"/>
      <c r="I86" s="45"/>
      <c r="J86" s="45"/>
      <c r="K86" s="45"/>
      <c r="L86" s="45"/>
      <c r="M86" s="45"/>
    </row>
    <row r="87" spans="1:13" x14ac:dyDescent="0.2">
      <c r="A87" s="136">
        <v>4</v>
      </c>
      <c r="B87" s="95" t="s">
        <v>137</v>
      </c>
      <c r="C87" s="95" t="s">
        <v>1</v>
      </c>
      <c r="D87" s="136" t="s">
        <v>62</v>
      </c>
      <c r="E87" s="56"/>
      <c r="F87" s="53"/>
      <c r="G87" s="53"/>
      <c r="H87" s="42"/>
      <c r="I87" s="51"/>
      <c r="J87" s="45"/>
      <c r="K87" s="45"/>
      <c r="L87" s="45"/>
      <c r="M87" s="45"/>
    </row>
    <row r="88" spans="1:13" x14ac:dyDescent="0.2">
      <c r="A88" s="140" t="s">
        <v>13</v>
      </c>
      <c r="B88" s="16" t="s">
        <v>49</v>
      </c>
      <c r="C88" s="11">
        <f>C79</f>
        <v>0.10390000000000001</v>
      </c>
      <c r="D88" s="12">
        <f>D79</f>
        <v>275.62</v>
      </c>
      <c r="E88" s="56"/>
      <c r="F88" s="53"/>
      <c r="G88" s="53"/>
      <c r="H88" s="42"/>
      <c r="I88" s="45"/>
      <c r="J88" s="45"/>
      <c r="K88" s="45"/>
      <c r="L88" s="45"/>
      <c r="M88" s="45"/>
    </row>
    <row r="89" spans="1:13" x14ac:dyDescent="0.2">
      <c r="A89" s="140" t="s">
        <v>14</v>
      </c>
      <c r="B89" s="16" t="s">
        <v>51</v>
      </c>
      <c r="C89" s="11">
        <f>C83</f>
        <v>0</v>
      </c>
      <c r="D89" s="12">
        <f>D84</f>
        <v>0</v>
      </c>
      <c r="E89" s="56"/>
      <c r="F89" s="53"/>
      <c r="G89" s="53"/>
      <c r="H89" s="42"/>
      <c r="I89" s="45"/>
      <c r="J89" s="45"/>
      <c r="K89" s="45"/>
      <c r="L89" s="45"/>
      <c r="M89" s="45"/>
    </row>
    <row r="90" spans="1:13" x14ac:dyDescent="0.2">
      <c r="A90" s="291" t="s">
        <v>119</v>
      </c>
      <c r="B90" s="291"/>
      <c r="C90" s="116">
        <f>SUM(C88:C89)</f>
        <v>0.10390000000000001</v>
      </c>
      <c r="D90" s="115">
        <f>SUM(D88:D89)</f>
        <v>275.62</v>
      </c>
      <c r="E90" s="56"/>
      <c r="F90" s="53"/>
      <c r="G90" s="53"/>
      <c r="H90" s="42"/>
      <c r="I90" s="45"/>
      <c r="J90" s="45"/>
      <c r="K90" s="45"/>
      <c r="L90" s="45"/>
      <c r="M90" s="45"/>
    </row>
    <row r="91" spans="1:13" x14ac:dyDescent="0.2">
      <c r="A91" s="135"/>
      <c r="B91" s="135"/>
      <c r="C91" s="135"/>
      <c r="D91" s="135"/>
      <c r="E91" s="56"/>
      <c r="F91" s="53"/>
      <c r="G91" s="53"/>
      <c r="H91" s="42"/>
      <c r="I91" s="45"/>
      <c r="J91" s="45"/>
      <c r="K91" s="45"/>
      <c r="L91" s="45"/>
      <c r="M91" s="45"/>
    </row>
    <row r="92" spans="1:13" x14ac:dyDescent="0.2">
      <c r="A92" s="135"/>
      <c r="B92" s="135"/>
      <c r="C92" s="135"/>
      <c r="D92" s="135"/>
      <c r="E92" s="56"/>
      <c r="F92" s="53"/>
      <c r="G92" s="53"/>
      <c r="H92" s="42"/>
      <c r="I92" s="45"/>
      <c r="J92" s="45"/>
      <c r="K92" s="45"/>
      <c r="L92" s="45"/>
      <c r="M92" s="45"/>
    </row>
    <row r="93" spans="1:13" x14ac:dyDescent="0.2">
      <c r="A93" s="292" t="s">
        <v>138</v>
      </c>
      <c r="B93" s="292"/>
      <c r="C93" s="292"/>
      <c r="D93" s="292"/>
      <c r="E93" s="56"/>
      <c r="F93" s="53"/>
      <c r="G93" s="53"/>
      <c r="H93" s="42"/>
      <c r="I93" s="45"/>
      <c r="J93" s="45"/>
      <c r="K93" s="45"/>
      <c r="L93" s="45"/>
      <c r="M93" s="45"/>
    </row>
    <row r="94" spans="1:13" x14ac:dyDescent="0.2">
      <c r="A94" s="136">
        <v>5</v>
      </c>
      <c r="B94" s="136" t="s">
        <v>121</v>
      </c>
      <c r="C94" s="136"/>
      <c r="D94" s="136" t="s">
        <v>62</v>
      </c>
      <c r="E94" s="56"/>
      <c r="F94" s="53"/>
      <c r="G94" s="53"/>
      <c r="H94" s="42"/>
      <c r="I94" s="45"/>
      <c r="J94" s="45"/>
      <c r="K94" s="45"/>
      <c r="L94" s="45"/>
      <c r="M94" s="45"/>
    </row>
    <row r="95" spans="1:13" x14ac:dyDescent="0.2">
      <c r="A95" s="140" t="s">
        <v>4</v>
      </c>
      <c r="B95" s="41" t="s">
        <v>52</v>
      </c>
      <c r="C95" s="69"/>
      <c r="D95" s="12">
        <f>Uniformes!E13</f>
        <v>105.7</v>
      </c>
      <c r="E95" s="56"/>
      <c r="F95" s="53"/>
      <c r="G95" s="53"/>
      <c r="H95" s="42"/>
      <c r="I95" s="45"/>
      <c r="J95" s="45"/>
      <c r="K95" s="45"/>
      <c r="L95" s="45"/>
      <c r="M95" s="45"/>
    </row>
    <row r="96" spans="1:13" x14ac:dyDescent="0.2">
      <c r="A96" s="140" t="s">
        <v>5</v>
      </c>
      <c r="B96" s="41" t="s">
        <v>291</v>
      </c>
      <c r="C96" s="69"/>
      <c r="D96" s="12">
        <f>Equipamentos!K13</f>
        <v>9.8995138888888885</v>
      </c>
      <c r="E96" s="56"/>
      <c r="F96" s="53"/>
      <c r="G96" s="53"/>
      <c r="H96" s="42"/>
      <c r="I96" s="45"/>
      <c r="J96" s="45"/>
      <c r="K96" s="45"/>
      <c r="L96" s="45"/>
      <c r="M96" s="45"/>
    </row>
    <row r="97" spans="1:13" x14ac:dyDescent="0.2">
      <c r="A97" s="140" t="s">
        <v>6</v>
      </c>
      <c r="B97" s="41" t="s">
        <v>12</v>
      </c>
      <c r="C97" s="69"/>
      <c r="D97" s="12">
        <f>Equipamentos!D58</f>
        <v>59.444594017094005</v>
      </c>
      <c r="E97" s="56"/>
      <c r="F97" s="53"/>
      <c r="G97" s="53"/>
      <c r="H97" s="42"/>
      <c r="I97" s="45"/>
      <c r="J97" s="45"/>
      <c r="K97" s="45"/>
      <c r="L97" s="45"/>
      <c r="M97" s="45"/>
    </row>
    <row r="98" spans="1:13" x14ac:dyDescent="0.2">
      <c r="A98" s="140" t="s">
        <v>7</v>
      </c>
      <c r="B98" s="41" t="s">
        <v>219</v>
      </c>
      <c r="C98" s="69"/>
      <c r="D98" s="12">
        <f>Uniformes!E28</f>
        <v>40.89</v>
      </c>
      <c r="E98" s="56"/>
      <c r="F98" s="53"/>
      <c r="G98" s="53"/>
      <c r="H98" s="42"/>
      <c r="I98" s="45"/>
      <c r="J98" s="45"/>
      <c r="K98" s="45"/>
      <c r="L98" s="45"/>
      <c r="M98" s="45"/>
    </row>
    <row r="99" spans="1:13" x14ac:dyDescent="0.2">
      <c r="A99" s="291" t="s">
        <v>119</v>
      </c>
      <c r="B99" s="291"/>
      <c r="C99" s="70"/>
      <c r="D99" s="115">
        <f>SUM(D95:D98)</f>
        <v>215.9341079059829</v>
      </c>
      <c r="E99" s="56"/>
      <c r="F99" s="53"/>
      <c r="G99" s="53"/>
      <c r="H99" s="42"/>
      <c r="I99" s="45"/>
      <c r="J99" s="45"/>
      <c r="K99" s="45"/>
      <c r="L99" s="45"/>
      <c r="M99" s="45"/>
    </row>
    <row r="100" spans="1:13" x14ac:dyDescent="0.2">
      <c r="A100" s="135"/>
      <c r="B100" s="135"/>
      <c r="C100" s="131"/>
      <c r="D100" s="132"/>
      <c r="E100" s="56"/>
      <c r="F100" s="53"/>
      <c r="G100" s="53"/>
      <c r="H100" s="42"/>
      <c r="I100" s="45"/>
      <c r="J100" s="45"/>
      <c r="K100" s="45"/>
      <c r="L100" s="45"/>
      <c r="M100" s="45"/>
    </row>
    <row r="101" spans="1:13" x14ac:dyDescent="0.2">
      <c r="A101" s="135"/>
      <c r="B101" s="135"/>
      <c r="C101" s="135"/>
      <c r="D101" s="135"/>
      <c r="E101" s="56"/>
      <c r="F101" s="53"/>
      <c r="G101" s="53"/>
      <c r="H101" s="42"/>
      <c r="I101" s="45"/>
      <c r="J101" s="45"/>
      <c r="K101" s="45"/>
      <c r="L101" s="45"/>
      <c r="M101" s="45"/>
    </row>
    <row r="102" spans="1:13" x14ac:dyDescent="0.2">
      <c r="A102" s="292" t="s">
        <v>139</v>
      </c>
      <c r="B102" s="292"/>
      <c r="C102" s="292"/>
      <c r="D102" s="292"/>
      <c r="E102" s="56"/>
      <c r="F102" s="53"/>
      <c r="G102" s="53"/>
      <c r="H102" s="42"/>
      <c r="I102" s="45"/>
      <c r="J102" s="45"/>
      <c r="K102" s="45"/>
      <c r="L102" s="45"/>
      <c r="M102" s="45"/>
    </row>
    <row r="103" spans="1:13" x14ac:dyDescent="0.2">
      <c r="A103" s="136">
        <v>6</v>
      </c>
      <c r="B103" s="136" t="s">
        <v>122</v>
      </c>
      <c r="C103" s="136" t="s">
        <v>1</v>
      </c>
      <c r="D103" s="136" t="s">
        <v>62</v>
      </c>
      <c r="E103" s="56"/>
      <c r="F103" s="53"/>
      <c r="G103" s="53"/>
      <c r="H103" s="42"/>
      <c r="I103" s="45"/>
      <c r="J103" s="45"/>
      <c r="K103" s="45"/>
      <c r="L103" s="45"/>
      <c r="M103" s="45"/>
    </row>
    <row r="104" spans="1:13" x14ac:dyDescent="0.2">
      <c r="A104" s="140" t="s">
        <v>4</v>
      </c>
      <c r="B104" s="142" t="s">
        <v>15</v>
      </c>
      <c r="C104" s="78">
        <v>0.05</v>
      </c>
      <c r="D104" s="12">
        <f>TRUNC(C104*D121,2)</f>
        <v>280.02</v>
      </c>
      <c r="E104" s="65" t="s">
        <v>123</v>
      </c>
      <c r="F104" s="53"/>
      <c r="G104" s="53"/>
      <c r="H104" s="42"/>
      <c r="I104" s="45"/>
      <c r="J104" s="45"/>
      <c r="K104" s="45"/>
      <c r="L104" s="45"/>
      <c r="M104" s="45"/>
    </row>
    <row r="105" spans="1:13" x14ac:dyDescent="0.2">
      <c r="A105" s="140" t="s">
        <v>5</v>
      </c>
      <c r="B105" s="142" t="s">
        <v>3</v>
      </c>
      <c r="C105" s="78">
        <v>0.1</v>
      </c>
      <c r="D105" s="12">
        <f>TRUNC(C105*(D104+D121),2)</f>
        <v>588.04999999999995</v>
      </c>
      <c r="E105" s="65" t="s">
        <v>124</v>
      </c>
      <c r="F105" s="53"/>
      <c r="G105" s="53"/>
      <c r="H105" s="42"/>
      <c r="I105" s="45"/>
      <c r="J105" s="45"/>
      <c r="K105" s="45"/>
      <c r="L105" s="45"/>
      <c r="M105" s="45"/>
    </row>
    <row r="106" spans="1:13" x14ac:dyDescent="0.2">
      <c r="A106" s="140" t="s">
        <v>6</v>
      </c>
      <c r="B106" s="142" t="s">
        <v>23</v>
      </c>
      <c r="C106" s="181">
        <f>1-(C107+C108+C109)</f>
        <v>0.85749999999999993</v>
      </c>
      <c r="D106" s="17">
        <f>TRUNC(((D121+D104+D105)/C106),2)</f>
        <v>7543.57</v>
      </c>
      <c r="E106" s="56"/>
      <c r="F106" s="53"/>
      <c r="G106" s="53"/>
      <c r="H106" s="42"/>
      <c r="I106" s="45"/>
      <c r="J106" s="45"/>
      <c r="K106" s="45"/>
      <c r="L106" s="45"/>
      <c r="M106" s="45"/>
    </row>
    <row r="107" spans="1:13" x14ac:dyDescent="0.2">
      <c r="A107" s="140" t="s">
        <v>24</v>
      </c>
      <c r="B107" s="142" t="s">
        <v>20</v>
      </c>
      <c r="C107" s="79">
        <v>1.6500000000000001E-2</v>
      </c>
      <c r="D107" s="12">
        <f>TRUNC(C107*D106,2)</f>
        <v>124.46</v>
      </c>
      <c r="E107" s="56"/>
      <c r="F107" s="53"/>
      <c r="G107" s="53"/>
      <c r="H107" s="42"/>
      <c r="I107" s="45"/>
      <c r="J107" s="45"/>
      <c r="K107" s="45"/>
      <c r="L107" s="45"/>
      <c r="M107" s="45"/>
    </row>
    <row r="108" spans="1:13" x14ac:dyDescent="0.2">
      <c r="A108" s="140" t="s">
        <v>25</v>
      </c>
      <c r="B108" s="142" t="s">
        <v>21</v>
      </c>
      <c r="C108" s="79">
        <v>7.5999999999999998E-2</v>
      </c>
      <c r="D108" s="12">
        <f>TRUNC(C108*D106,2)</f>
        <v>573.30999999999995</v>
      </c>
      <c r="E108" s="56"/>
      <c r="F108" s="53"/>
      <c r="G108" s="53"/>
      <c r="H108" s="42"/>
      <c r="I108" s="45"/>
      <c r="J108" s="45"/>
      <c r="K108" s="45"/>
      <c r="L108" s="45"/>
      <c r="M108" s="45"/>
    </row>
    <row r="109" spans="1:13" x14ac:dyDescent="0.2">
      <c r="A109" s="140" t="s">
        <v>26</v>
      </c>
      <c r="B109" s="142" t="s">
        <v>22</v>
      </c>
      <c r="C109" s="79">
        <v>0.05</v>
      </c>
      <c r="D109" s="12">
        <f>TRUNC(C109*D106,2)</f>
        <v>377.17</v>
      </c>
      <c r="E109" s="56"/>
      <c r="F109" s="53"/>
      <c r="G109" s="53"/>
      <c r="H109" s="42"/>
      <c r="I109" s="45"/>
      <c r="J109" s="45"/>
      <c r="K109" s="45"/>
      <c r="L109" s="45"/>
      <c r="M109" s="45"/>
    </row>
    <row r="110" spans="1:13" x14ac:dyDescent="0.2">
      <c r="A110" s="291" t="s">
        <v>119</v>
      </c>
      <c r="B110" s="291"/>
      <c r="C110" s="117"/>
      <c r="D110" s="115">
        <f>SUM(D104:D109)-D106</f>
        <v>1943.0099999999984</v>
      </c>
      <c r="E110" s="123"/>
      <c r="F110" s="53"/>
      <c r="G110" s="53"/>
      <c r="H110" s="42"/>
      <c r="I110" s="45"/>
      <c r="J110" s="45"/>
      <c r="K110" s="45"/>
      <c r="L110" s="45"/>
      <c r="M110" s="45"/>
    </row>
    <row r="111" spans="1:13" x14ac:dyDescent="0.2">
      <c r="A111" s="18"/>
      <c r="B111" s="18"/>
      <c r="C111" s="18"/>
      <c r="D111" s="133"/>
      <c r="E111" s="53"/>
      <c r="F111" s="53"/>
      <c r="G111" s="53"/>
      <c r="H111" s="42"/>
      <c r="I111" s="45"/>
      <c r="J111" s="45"/>
      <c r="K111" s="45"/>
      <c r="L111" s="45"/>
      <c r="M111" s="45"/>
    </row>
    <row r="112" spans="1:13" x14ac:dyDescent="0.2">
      <c r="A112" s="301" t="s">
        <v>185</v>
      </c>
      <c r="B112" s="301"/>
      <c r="C112" s="301"/>
      <c r="D112" s="301"/>
      <c r="E112" s="53"/>
      <c r="F112" s="66"/>
      <c r="G112" s="53"/>
      <c r="H112" s="42"/>
      <c r="I112" s="45"/>
      <c r="J112" s="45"/>
      <c r="K112" s="45"/>
      <c r="L112" s="45"/>
      <c r="M112" s="45"/>
    </row>
    <row r="113" spans="1:13" x14ac:dyDescent="0.2">
      <c r="A113" s="134"/>
      <c r="B113" s="134"/>
      <c r="C113" s="134"/>
      <c r="D113" s="134"/>
      <c r="E113" s="53"/>
      <c r="F113" s="66"/>
      <c r="G113" s="53"/>
      <c r="H113" s="42"/>
      <c r="I113" s="45"/>
      <c r="J113" s="45"/>
      <c r="K113" s="45"/>
      <c r="L113" s="45"/>
      <c r="M113" s="45"/>
    </row>
    <row r="114" spans="1:13" x14ac:dyDescent="0.2">
      <c r="A114" s="292" t="s">
        <v>184</v>
      </c>
      <c r="B114" s="292"/>
      <c r="C114" s="292"/>
      <c r="D114" s="292"/>
      <c r="E114" s="53"/>
      <c r="F114" s="66"/>
      <c r="G114" s="53"/>
      <c r="H114" s="42"/>
      <c r="I114" s="45"/>
      <c r="J114" s="45"/>
      <c r="K114" s="45"/>
      <c r="L114" s="45"/>
      <c r="M114" s="45"/>
    </row>
    <row r="115" spans="1:13" x14ac:dyDescent="0.2">
      <c r="A115" s="96"/>
      <c r="B115" s="97" t="s">
        <v>141</v>
      </c>
      <c r="C115" s="136"/>
      <c r="D115" s="136" t="s">
        <v>62</v>
      </c>
      <c r="E115" s="53"/>
      <c r="F115" s="53"/>
      <c r="G115" s="53"/>
      <c r="H115" s="42"/>
      <c r="I115" s="45"/>
      <c r="J115" s="45"/>
      <c r="K115" s="45"/>
      <c r="L115" s="45"/>
      <c r="M115" s="45"/>
    </row>
    <row r="116" spans="1:13" x14ac:dyDescent="0.2">
      <c r="A116" s="14" t="s">
        <v>4</v>
      </c>
      <c r="B116" s="16" t="s">
        <v>143</v>
      </c>
      <c r="C116" s="68"/>
      <c r="D116" s="12">
        <f>D18</f>
        <v>2650.78</v>
      </c>
      <c r="E116" s="53"/>
      <c r="F116" s="53"/>
      <c r="G116" s="53"/>
      <c r="H116" s="42"/>
      <c r="I116" s="45"/>
      <c r="J116" s="45"/>
      <c r="K116" s="45"/>
      <c r="L116" s="45"/>
      <c r="M116" s="45"/>
    </row>
    <row r="117" spans="1:13" x14ac:dyDescent="0.2">
      <c r="A117" s="14" t="s">
        <v>5</v>
      </c>
      <c r="B117" s="16" t="s">
        <v>144</v>
      </c>
      <c r="C117" s="68"/>
      <c r="D117" s="12">
        <f>D56</f>
        <v>2298.6899999999996</v>
      </c>
      <c r="E117" s="53"/>
      <c r="F117" s="53"/>
      <c r="G117" s="53"/>
      <c r="H117" s="42"/>
      <c r="I117" s="45"/>
      <c r="J117" s="45"/>
      <c r="K117" s="45"/>
      <c r="L117" s="45"/>
      <c r="M117" s="45"/>
    </row>
    <row r="118" spans="1:13" x14ac:dyDescent="0.2">
      <c r="A118" s="14" t="s">
        <v>6</v>
      </c>
      <c r="B118" s="16" t="s">
        <v>145</v>
      </c>
      <c r="C118" s="68"/>
      <c r="D118" s="12">
        <f>D67</f>
        <v>159.52000000000001</v>
      </c>
      <c r="E118" s="53"/>
      <c r="F118" s="66"/>
      <c r="G118" s="53"/>
      <c r="H118" s="42"/>
      <c r="I118" s="45"/>
      <c r="J118" s="45"/>
      <c r="K118" s="45"/>
      <c r="L118" s="45"/>
      <c r="M118" s="45"/>
    </row>
    <row r="119" spans="1:13" x14ac:dyDescent="0.2">
      <c r="A119" s="14" t="s">
        <v>7</v>
      </c>
      <c r="B119" s="16" t="s">
        <v>50</v>
      </c>
      <c r="C119" s="68"/>
      <c r="D119" s="12">
        <f>D90</f>
        <v>275.62</v>
      </c>
      <c r="E119" s="53"/>
      <c r="F119" s="66"/>
      <c r="G119" s="53"/>
      <c r="H119" s="42"/>
      <c r="I119" s="45"/>
      <c r="J119" s="45"/>
      <c r="K119" s="45"/>
      <c r="L119" s="45"/>
      <c r="M119" s="45"/>
    </row>
    <row r="120" spans="1:13" x14ac:dyDescent="0.2">
      <c r="A120" s="14" t="s">
        <v>8</v>
      </c>
      <c r="B120" s="16" t="s">
        <v>146</v>
      </c>
      <c r="C120" s="68"/>
      <c r="D120" s="12">
        <f>D99</f>
        <v>215.9341079059829</v>
      </c>
      <c r="E120" s="53"/>
      <c r="F120" s="53"/>
      <c r="G120" s="53"/>
      <c r="H120" s="42"/>
      <c r="I120" s="45"/>
      <c r="J120" s="45"/>
      <c r="K120" s="45"/>
      <c r="L120" s="45"/>
      <c r="M120" s="45"/>
    </row>
    <row r="121" spans="1:13" x14ac:dyDescent="0.2">
      <c r="A121" s="321" t="s">
        <v>53</v>
      </c>
      <c r="B121" s="322"/>
      <c r="C121" s="136"/>
      <c r="D121" s="13">
        <f>SUM(D116:D120)</f>
        <v>5600.5441079059829</v>
      </c>
      <c r="E121" s="53"/>
      <c r="F121" s="63"/>
      <c r="G121" s="53"/>
      <c r="H121" s="42"/>
      <c r="I121" s="45"/>
      <c r="J121" s="45"/>
      <c r="K121" s="45"/>
      <c r="L121" s="45"/>
      <c r="M121" s="45"/>
    </row>
    <row r="122" spans="1:13" x14ac:dyDescent="0.2">
      <c r="A122" s="14" t="s">
        <v>9</v>
      </c>
      <c r="B122" s="16" t="s">
        <v>147</v>
      </c>
      <c r="C122" s="68"/>
      <c r="D122" s="12">
        <f>D110</f>
        <v>1943.0099999999984</v>
      </c>
      <c r="E122" s="53"/>
      <c r="F122" s="53"/>
      <c r="G122" s="53"/>
      <c r="H122" s="42"/>
      <c r="I122" s="45"/>
      <c r="J122" s="45"/>
      <c r="K122" s="45"/>
      <c r="L122" s="45"/>
      <c r="M122" s="45"/>
    </row>
    <row r="123" spans="1:13" x14ac:dyDescent="0.2">
      <c r="A123" s="336" t="s">
        <v>142</v>
      </c>
      <c r="B123" s="339"/>
      <c r="C123" s="136"/>
      <c r="D123" s="118">
        <f>SUM(D121:D122)</f>
        <v>7543.5541079059813</v>
      </c>
      <c r="E123" s="53"/>
      <c r="F123" s="146"/>
      <c r="G123" s="53"/>
      <c r="H123" s="42"/>
      <c r="I123" s="45"/>
      <c r="J123" s="45"/>
      <c r="K123" s="45"/>
      <c r="L123" s="45"/>
      <c r="M123" s="45"/>
    </row>
    <row r="124" spans="1:13" x14ac:dyDescent="0.2">
      <c r="D124" s="2"/>
      <c r="E124" s="52"/>
      <c r="F124" s="52"/>
      <c r="G124" s="52"/>
      <c r="H124" s="45"/>
      <c r="I124" s="45"/>
      <c r="J124" s="45"/>
      <c r="K124" s="45"/>
      <c r="L124" s="45"/>
      <c r="M124" s="45"/>
    </row>
    <row r="125" spans="1:13" x14ac:dyDescent="0.2">
      <c r="A125" s="301" t="s">
        <v>311</v>
      </c>
      <c r="B125" s="301"/>
      <c r="C125" s="301"/>
      <c r="D125" s="301"/>
    </row>
    <row r="126" spans="1:13" x14ac:dyDescent="0.2">
      <c r="A126" s="3"/>
      <c r="B126" s="3"/>
    </row>
    <row r="127" spans="1:13" x14ac:dyDescent="0.2">
      <c r="A127" s="182" t="s">
        <v>309</v>
      </c>
      <c r="B127" s="183"/>
      <c r="C127" s="184"/>
      <c r="D127" s="185"/>
    </row>
    <row r="128" spans="1:13" x14ac:dyDescent="0.2">
      <c r="A128" s="310" t="s">
        <v>299</v>
      </c>
      <c r="B128" s="310"/>
      <c r="C128" s="310"/>
      <c r="D128" s="186">
        <f>D123</f>
        <v>7543.5541079059813</v>
      </c>
    </row>
    <row r="129" spans="1:4" x14ac:dyDescent="0.2">
      <c r="A129" s="311" t="s">
        <v>300</v>
      </c>
      <c r="B129" s="311"/>
      <c r="C129" s="311"/>
      <c r="D129" s="186">
        <f>D28+D67+D79</f>
        <v>1140.23</v>
      </c>
    </row>
    <row r="130" spans="1:4" x14ac:dyDescent="0.2">
      <c r="A130" s="312" t="s">
        <v>15</v>
      </c>
      <c r="B130" s="312"/>
      <c r="C130" s="187">
        <f>C104</f>
        <v>0.05</v>
      </c>
      <c r="D130" s="186">
        <f>ROUND(D129*C130,2)</f>
        <v>57.01</v>
      </c>
    </row>
    <row r="131" spans="1:4" x14ac:dyDescent="0.2">
      <c r="A131" s="312" t="s">
        <v>3</v>
      </c>
      <c r="B131" s="312"/>
      <c r="C131" s="187">
        <f>C105</f>
        <v>0.1</v>
      </c>
      <c r="D131" s="186">
        <f>ROUND((D129+D130)*C131,2)</f>
        <v>119.72</v>
      </c>
    </row>
    <row r="132" spans="1:4" x14ac:dyDescent="0.2">
      <c r="A132" s="312" t="s">
        <v>301</v>
      </c>
      <c r="B132" s="312"/>
      <c r="C132" s="188">
        <f>C107+C108+C109</f>
        <v>0.14250000000000002</v>
      </c>
      <c r="D132" s="186">
        <f>ROUND((D129+D130+D131)/(1-C132)-(D129+D130+D131),2)</f>
        <v>218.85</v>
      </c>
    </row>
    <row r="133" spans="1:4" x14ac:dyDescent="0.2">
      <c r="A133" s="302" t="s">
        <v>302</v>
      </c>
      <c r="B133" s="302"/>
      <c r="C133" s="302"/>
      <c r="D133" s="189">
        <f>SUM(D129:D132)</f>
        <v>1535.81</v>
      </c>
    </row>
    <row r="134" spans="1:4" x14ac:dyDescent="0.2">
      <c r="A134" s="303" t="s">
        <v>303</v>
      </c>
      <c r="B134" s="303"/>
      <c r="C134" s="303"/>
      <c r="D134" s="190">
        <f>D128-D133</f>
        <v>6007.7441079059809</v>
      </c>
    </row>
    <row r="136" spans="1:4" ht="37.5" customHeight="1" x14ac:dyDescent="0.2">
      <c r="A136" s="304" t="s">
        <v>304</v>
      </c>
      <c r="B136" s="305"/>
      <c r="C136" s="305"/>
      <c r="D136" s="306"/>
    </row>
    <row r="137" spans="1:4" x14ac:dyDescent="0.2">
      <c r="A137" s="195"/>
      <c r="B137" s="195"/>
      <c r="C137" s="195"/>
      <c r="D137" s="195"/>
    </row>
    <row r="139" spans="1:4" x14ac:dyDescent="0.2">
      <c r="A139" s="307" t="s">
        <v>305</v>
      </c>
      <c r="B139" s="308"/>
      <c r="C139" s="309"/>
      <c r="D139" s="191" t="s">
        <v>62</v>
      </c>
    </row>
    <row r="140" spans="1:4" ht="13.5" thickBot="1" x14ac:dyDescent="0.25">
      <c r="A140" s="293" t="s">
        <v>306</v>
      </c>
      <c r="B140" s="294"/>
      <c r="C140" s="294"/>
      <c r="D140" s="33">
        <f>ROUND(((D$18+D$28+D$40+D$67)+((D$18+D$28+D$40+D$67)*$C$104)+((D$18+D$28+D$40+D$67)*(1+$C$104)*$C$105)/(1-$C$106))/220,2)</f>
        <v>36.47</v>
      </c>
    </row>
    <row r="141" spans="1:4" ht="22.5" x14ac:dyDescent="0.2">
      <c r="A141" s="293" t="s">
        <v>312</v>
      </c>
      <c r="B141" s="294"/>
      <c r="C141" s="192" t="s">
        <v>307</v>
      </c>
      <c r="D141" s="297">
        <f>ROUND(D140*(1+C142),2)</f>
        <v>54.71</v>
      </c>
    </row>
    <row r="142" spans="1:4" ht="13.5" thickBot="1" x14ac:dyDescent="0.25">
      <c r="A142" s="295"/>
      <c r="B142" s="296"/>
      <c r="C142" s="222">
        <v>0.5</v>
      </c>
      <c r="D142" s="298"/>
    </row>
    <row r="143" spans="1:4" x14ac:dyDescent="0.2">
      <c r="A143" s="299" t="s">
        <v>308</v>
      </c>
      <c r="B143" s="299"/>
      <c r="C143" s="300"/>
      <c r="D143" s="194">
        <f>D141*8*4</f>
        <v>1750.72</v>
      </c>
    </row>
    <row r="144" spans="1:4" x14ac:dyDescent="0.2">
      <c r="A144" s="193" t="s">
        <v>321</v>
      </c>
      <c r="B144" s="193"/>
      <c r="C144" s="193"/>
      <c r="D144" s="193"/>
    </row>
  </sheetData>
  <mergeCells count="58">
    <mergeCell ref="A2:D2"/>
    <mergeCell ref="A5:B6"/>
    <mergeCell ref="C5:D6"/>
    <mergeCell ref="A8:D8"/>
    <mergeCell ref="A10:D10"/>
    <mergeCell ref="A30:D30"/>
    <mergeCell ref="A40:B40"/>
    <mergeCell ref="A41:D41"/>
    <mergeCell ref="A42:D42"/>
    <mergeCell ref="A18:C18"/>
    <mergeCell ref="A21:D21"/>
    <mergeCell ref="A22:D22"/>
    <mergeCell ref="A23:D23"/>
    <mergeCell ref="A28:B28"/>
    <mergeCell ref="A29:D29"/>
    <mergeCell ref="E44:I44"/>
    <mergeCell ref="A49:C49"/>
    <mergeCell ref="A70:D70"/>
    <mergeCell ref="A51:D51"/>
    <mergeCell ref="B52:C52"/>
    <mergeCell ref="B53:C53"/>
    <mergeCell ref="B54:C54"/>
    <mergeCell ref="B55:C55"/>
    <mergeCell ref="A56:C56"/>
    <mergeCell ref="A57:D57"/>
    <mergeCell ref="A59:D59"/>
    <mergeCell ref="E66:I66"/>
    <mergeCell ref="A67:B67"/>
    <mergeCell ref="A68:D68"/>
    <mergeCell ref="A50:D50"/>
    <mergeCell ref="A114:D114"/>
    <mergeCell ref="A71:D71"/>
    <mergeCell ref="A79:B79"/>
    <mergeCell ref="A81:D81"/>
    <mergeCell ref="A84:B84"/>
    <mergeCell ref="A86:D86"/>
    <mergeCell ref="A90:B90"/>
    <mergeCell ref="A93:D93"/>
    <mergeCell ref="A99:B99"/>
    <mergeCell ref="A102:D102"/>
    <mergeCell ref="A110:B110"/>
    <mergeCell ref="A112:D112"/>
    <mergeCell ref="A130:B130"/>
    <mergeCell ref="A131:B131"/>
    <mergeCell ref="A121:B121"/>
    <mergeCell ref="A123:B123"/>
    <mergeCell ref="A125:D125"/>
    <mergeCell ref="A128:C128"/>
    <mergeCell ref="A129:C129"/>
    <mergeCell ref="A140:C140"/>
    <mergeCell ref="A141:B142"/>
    <mergeCell ref="D141:D142"/>
    <mergeCell ref="A143:C143"/>
    <mergeCell ref="A132:B132"/>
    <mergeCell ref="A133:C133"/>
    <mergeCell ref="A134:C134"/>
    <mergeCell ref="A136:D136"/>
    <mergeCell ref="A139:C139"/>
  </mergeCells>
  <conditionalFormatting sqref="C142">
    <cfRule type="cellIs" dxfId="0" priority="1" operator="greaterThan">
      <formula>0</formula>
    </cfRule>
  </conditionalFormatting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2" manualBreakCount="2">
    <brk id="58" max="3" man="1"/>
    <brk id="12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1:J28"/>
  <sheetViews>
    <sheetView showGridLines="0" view="pageBreakPreview" topLeftCell="A4" zoomScale="110" zoomScaleNormal="100" zoomScaleSheetLayoutView="110" workbookViewId="0">
      <selection activeCell="B18" sqref="B18:E18"/>
    </sheetView>
  </sheetViews>
  <sheetFormatPr defaultRowHeight="12.75" x14ac:dyDescent="0.2"/>
  <cols>
    <col min="1" max="1" width="2.5703125" customWidth="1"/>
    <col min="2" max="2" width="14.85546875" bestFit="1" customWidth="1"/>
    <col min="3" max="3" width="14.7109375" bestFit="1" customWidth="1"/>
    <col min="4" max="4" width="18.7109375" bestFit="1" customWidth="1"/>
    <col min="5" max="5" width="11.140625" bestFit="1" customWidth="1"/>
    <col min="6" max="6" width="10.7109375" bestFit="1" customWidth="1"/>
    <col min="7" max="7" width="12" bestFit="1" customWidth="1"/>
  </cols>
  <sheetData>
    <row r="1" spans="2:10" x14ac:dyDescent="0.2">
      <c r="B1" s="344"/>
      <c r="C1" s="344"/>
      <c r="D1" s="344"/>
      <c r="E1" s="344"/>
      <c r="F1" s="344"/>
      <c r="G1" s="344"/>
    </row>
    <row r="2" spans="2:10" s="72" customFormat="1" x14ac:dyDescent="0.2">
      <c r="B2" s="85"/>
      <c r="C2" s="85"/>
      <c r="D2" s="85"/>
      <c r="E2" s="85"/>
      <c r="F2" s="85"/>
      <c r="G2" s="85"/>
    </row>
    <row r="3" spans="2:10" x14ac:dyDescent="0.2">
      <c r="B3" s="346" t="s">
        <v>149</v>
      </c>
      <c r="C3" s="346"/>
      <c r="D3" s="346"/>
      <c r="E3" s="346"/>
      <c r="F3" s="81"/>
      <c r="G3" s="81"/>
      <c r="H3" s="81"/>
      <c r="I3" s="81"/>
      <c r="J3" s="81"/>
    </row>
    <row r="4" spans="2:10" x14ac:dyDescent="0.2">
      <c r="F4" s="81"/>
      <c r="G4" s="81"/>
      <c r="H4" s="81"/>
      <c r="I4" s="81"/>
      <c r="J4" s="81"/>
    </row>
    <row r="5" spans="2:10" x14ac:dyDescent="0.2">
      <c r="B5" s="144" t="s">
        <v>16</v>
      </c>
      <c r="C5" s="144" t="s">
        <v>86</v>
      </c>
      <c r="D5" s="144" t="s">
        <v>209</v>
      </c>
      <c r="E5" s="144" t="s">
        <v>210</v>
      </c>
      <c r="F5" s="81"/>
      <c r="G5" s="81"/>
      <c r="H5" s="81"/>
      <c r="I5" s="81"/>
      <c r="J5" s="81"/>
    </row>
    <row r="6" spans="2:10" x14ac:dyDescent="0.2">
      <c r="B6" s="157" t="s">
        <v>211</v>
      </c>
      <c r="C6" s="158">
        <v>2</v>
      </c>
      <c r="D6" s="158">
        <v>71.45</v>
      </c>
      <c r="E6" s="159">
        <f>C6*D6</f>
        <v>142.9</v>
      </c>
      <c r="F6" s="81"/>
      <c r="G6" s="81"/>
      <c r="H6" s="81"/>
      <c r="I6" s="81"/>
      <c r="J6" s="81"/>
    </row>
    <row r="7" spans="2:10" x14ac:dyDescent="0.2">
      <c r="B7" s="158" t="s">
        <v>212</v>
      </c>
      <c r="C7" s="158">
        <v>4</v>
      </c>
      <c r="D7" s="158">
        <v>47.32</v>
      </c>
      <c r="E7" s="159">
        <f>C7*D7</f>
        <v>189.28</v>
      </c>
      <c r="F7" s="81"/>
      <c r="G7" s="81"/>
      <c r="H7" s="81"/>
      <c r="I7" s="81"/>
      <c r="J7" s="81"/>
    </row>
    <row r="8" spans="2:10" x14ac:dyDescent="0.2">
      <c r="B8" s="158" t="s">
        <v>213</v>
      </c>
      <c r="C8" s="158">
        <v>2</v>
      </c>
      <c r="D8" s="158">
        <v>79.45</v>
      </c>
      <c r="E8" s="159">
        <f t="shared" ref="E8:E10" si="0">C8*D8</f>
        <v>158.9</v>
      </c>
      <c r="F8" s="81"/>
      <c r="G8" s="81"/>
      <c r="H8" s="81"/>
      <c r="I8" s="81"/>
      <c r="J8" s="81"/>
    </row>
    <row r="9" spans="2:10" x14ac:dyDescent="0.2">
      <c r="B9" s="158" t="s">
        <v>214</v>
      </c>
      <c r="C9" s="158">
        <v>4</v>
      </c>
      <c r="D9" s="158">
        <v>17.920000000000002</v>
      </c>
      <c r="E9" s="159">
        <f t="shared" si="0"/>
        <v>71.680000000000007</v>
      </c>
      <c r="F9" s="81"/>
      <c r="G9" s="81"/>
      <c r="H9" s="81"/>
      <c r="I9" s="81"/>
      <c r="J9" s="81"/>
    </row>
    <row r="10" spans="2:10" x14ac:dyDescent="0.2">
      <c r="B10" s="158" t="s">
        <v>215</v>
      </c>
      <c r="C10" s="158">
        <v>1</v>
      </c>
      <c r="D10" s="158">
        <v>71.45</v>
      </c>
      <c r="E10" s="159">
        <f t="shared" si="0"/>
        <v>71.45</v>
      </c>
      <c r="F10" s="81"/>
      <c r="G10" s="81"/>
      <c r="H10" s="81"/>
      <c r="I10" s="81"/>
      <c r="J10" s="81"/>
    </row>
    <row r="11" spans="2:10" x14ac:dyDescent="0.2">
      <c r="B11" s="345" t="s">
        <v>216</v>
      </c>
      <c r="C11" s="345"/>
      <c r="D11" s="345"/>
      <c r="E11" s="159">
        <f>SUM(E6:E10)</f>
        <v>634.21</v>
      </c>
      <c r="F11" s="81"/>
      <c r="G11" s="81"/>
      <c r="H11" s="81"/>
      <c r="I11" s="81"/>
      <c r="J11" s="81"/>
    </row>
    <row r="12" spans="2:10" x14ac:dyDescent="0.2">
      <c r="B12" s="345" t="s">
        <v>217</v>
      </c>
      <c r="C12" s="345"/>
      <c r="D12" s="345"/>
      <c r="E12" s="159">
        <f>E11*2</f>
        <v>1268.42</v>
      </c>
      <c r="F12" s="81"/>
      <c r="G12" s="81"/>
      <c r="H12" s="81"/>
      <c r="I12" s="81"/>
      <c r="J12" s="81"/>
    </row>
    <row r="13" spans="2:10" x14ac:dyDescent="0.2">
      <c r="B13" s="345" t="s">
        <v>218</v>
      </c>
      <c r="C13" s="345"/>
      <c r="D13" s="345"/>
      <c r="E13" s="160">
        <f>TRUNC(E12/12,2)</f>
        <v>105.7</v>
      </c>
      <c r="F13" s="81"/>
      <c r="G13" s="81"/>
      <c r="H13" s="81"/>
      <c r="I13" s="81"/>
      <c r="J13" s="81"/>
    </row>
    <row r="14" spans="2:10" x14ac:dyDescent="0.2">
      <c r="D14" s="81"/>
      <c r="E14" s="81"/>
      <c r="F14" s="81"/>
      <c r="G14" s="81"/>
      <c r="H14" s="81"/>
      <c r="I14" s="81"/>
      <c r="J14" s="81"/>
    </row>
    <row r="15" spans="2:10" x14ac:dyDescent="0.2">
      <c r="D15" s="81"/>
      <c r="E15" s="81"/>
      <c r="F15" s="81"/>
      <c r="G15" s="81"/>
      <c r="H15" s="81"/>
      <c r="I15" s="81"/>
      <c r="J15" s="81"/>
    </row>
    <row r="16" spans="2:10" x14ac:dyDescent="0.2">
      <c r="B16" s="347"/>
      <c r="C16" s="347"/>
      <c r="D16" s="347"/>
      <c r="E16" s="347"/>
      <c r="F16" s="81"/>
      <c r="G16" s="81"/>
      <c r="H16" s="81"/>
      <c r="I16" s="81"/>
      <c r="J16" s="81"/>
    </row>
    <row r="17" spans="2:10" x14ac:dyDescent="0.2">
      <c r="D17" s="81"/>
      <c r="F17" s="81"/>
      <c r="G17" s="81"/>
      <c r="H17" s="81"/>
      <c r="I17" s="81"/>
      <c r="J17" s="81"/>
    </row>
    <row r="18" spans="2:10" x14ac:dyDescent="0.2">
      <c r="B18" s="346" t="s">
        <v>226</v>
      </c>
      <c r="C18" s="346"/>
      <c r="D18" s="346"/>
      <c r="E18" s="346"/>
      <c r="F18" s="81"/>
      <c r="G18" s="81"/>
      <c r="H18" s="81"/>
      <c r="I18" s="81"/>
      <c r="J18" s="81"/>
    </row>
    <row r="19" spans="2:10" x14ac:dyDescent="0.2">
      <c r="F19" s="81"/>
      <c r="G19" s="81"/>
      <c r="H19" s="81"/>
      <c r="I19" s="81"/>
      <c r="J19" s="81"/>
    </row>
    <row r="20" spans="2:10" x14ac:dyDescent="0.2">
      <c r="B20" s="144" t="s">
        <v>16</v>
      </c>
      <c r="C20" s="144" t="s">
        <v>86</v>
      </c>
      <c r="D20" s="144" t="s">
        <v>209</v>
      </c>
      <c r="E20" s="144" t="s">
        <v>210</v>
      </c>
      <c r="F20" s="81"/>
      <c r="G20" s="81"/>
      <c r="H20" s="81"/>
      <c r="I20" s="81"/>
      <c r="J20" s="81"/>
    </row>
    <row r="21" spans="2:10" x14ac:dyDescent="0.2">
      <c r="B21" s="158" t="s">
        <v>221</v>
      </c>
      <c r="C21" s="158">
        <v>2</v>
      </c>
      <c r="D21" s="158">
        <v>20.85</v>
      </c>
      <c r="E21" s="161">
        <f t="shared" ref="E21:E25" si="1">C21*D21</f>
        <v>41.7</v>
      </c>
      <c r="F21" s="81"/>
      <c r="G21" s="81"/>
      <c r="H21" s="81"/>
      <c r="I21" s="81"/>
      <c r="J21" s="81"/>
    </row>
    <row r="22" spans="2:10" x14ac:dyDescent="0.2">
      <c r="B22" s="158" t="s">
        <v>223</v>
      </c>
      <c r="C22" s="158">
        <v>2</v>
      </c>
      <c r="D22" s="158">
        <v>3.59</v>
      </c>
      <c r="E22" s="161">
        <f t="shared" si="1"/>
        <v>7.18</v>
      </c>
      <c r="F22" s="81"/>
      <c r="G22" s="81"/>
      <c r="H22" s="81"/>
      <c r="I22" s="81"/>
      <c r="J22" s="81"/>
    </row>
    <row r="23" spans="2:10" x14ac:dyDescent="0.2">
      <c r="B23" s="158" t="s">
        <v>224</v>
      </c>
      <c r="C23" s="158">
        <v>2</v>
      </c>
      <c r="D23" s="158">
        <v>18.64</v>
      </c>
      <c r="E23" s="161">
        <f t="shared" si="1"/>
        <v>37.28</v>
      </c>
      <c r="F23" s="81"/>
      <c r="G23" s="81"/>
      <c r="H23" s="81"/>
      <c r="I23" s="81"/>
      <c r="J23" s="81"/>
    </row>
    <row r="24" spans="2:10" x14ac:dyDescent="0.2">
      <c r="B24" s="158" t="s">
        <v>222</v>
      </c>
      <c r="C24" s="158">
        <v>2</v>
      </c>
      <c r="D24" s="158">
        <v>26.5</v>
      </c>
      <c r="E24" s="161">
        <f t="shared" si="1"/>
        <v>53</v>
      </c>
      <c r="F24" s="81"/>
      <c r="G24" s="81"/>
      <c r="H24" s="81"/>
      <c r="I24" s="81"/>
      <c r="J24" s="81"/>
    </row>
    <row r="25" spans="2:10" x14ac:dyDescent="0.2">
      <c r="B25" s="158" t="s">
        <v>225</v>
      </c>
      <c r="C25" s="158">
        <v>2</v>
      </c>
      <c r="D25" s="158">
        <v>53.11</v>
      </c>
      <c r="E25" s="161">
        <f t="shared" si="1"/>
        <v>106.22</v>
      </c>
      <c r="F25" s="81"/>
      <c r="G25" s="81"/>
      <c r="H25" s="81"/>
      <c r="I25" s="81"/>
      <c r="J25" s="81"/>
    </row>
    <row r="26" spans="2:10" x14ac:dyDescent="0.2">
      <c r="B26" s="345" t="s">
        <v>216</v>
      </c>
      <c r="C26" s="345"/>
      <c r="D26" s="345"/>
      <c r="E26" s="161">
        <f>SUM(E21:E25)</f>
        <v>245.38</v>
      </c>
      <c r="F26" s="81"/>
      <c r="G26" s="81"/>
      <c r="H26" s="81"/>
      <c r="I26" s="81"/>
      <c r="J26" s="81"/>
    </row>
    <row r="27" spans="2:10" x14ac:dyDescent="0.2">
      <c r="B27" s="345" t="s">
        <v>217</v>
      </c>
      <c r="C27" s="345"/>
      <c r="D27" s="345"/>
      <c r="E27" s="161">
        <f>E26*2</f>
        <v>490.76</v>
      </c>
      <c r="F27" s="81"/>
      <c r="G27" s="81"/>
      <c r="H27" s="81"/>
      <c r="I27" s="81"/>
      <c r="J27" s="81"/>
    </row>
    <row r="28" spans="2:10" x14ac:dyDescent="0.2">
      <c r="B28" s="345" t="s">
        <v>218</v>
      </c>
      <c r="C28" s="345"/>
      <c r="D28" s="345"/>
      <c r="E28" s="162">
        <f>TRUNC(E27/12,2)</f>
        <v>40.89</v>
      </c>
    </row>
  </sheetData>
  <mergeCells count="10">
    <mergeCell ref="B1:G1"/>
    <mergeCell ref="B26:D26"/>
    <mergeCell ref="B27:D27"/>
    <mergeCell ref="B28:D28"/>
    <mergeCell ref="B3:E3"/>
    <mergeCell ref="B11:D11"/>
    <mergeCell ref="B12:D12"/>
    <mergeCell ref="B13:D13"/>
    <mergeCell ref="B16:E16"/>
    <mergeCell ref="B18:E1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3:K58"/>
  <sheetViews>
    <sheetView view="pageBreakPreview" topLeftCell="A11" zoomScale="90" zoomScaleNormal="100" zoomScaleSheetLayoutView="90" workbookViewId="0">
      <selection activeCell="M17" sqref="M17"/>
    </sheetView>
  </sheetViews>
  <sheetFormatPr defaultRowHeight="12.75" x14ac:dyDescent="0.2"/>
  <cols>
    <col min="2" max="2" width="29.85546875" customWidth="1"/>
    <col min="3" max="3" width="17.7109375" bestFit="1" customWidth="1"/>
    <col min="4" max="4" width="13" style="164" bestFit="1" customWidth="1"/>
    <col min="9" max="9" width="24.28515625" customWidth="1"/>
    <col min="10" max="10" width="12.5703125" customWidth="1"/>
  </cols>
  <sheetData>
    <row r="3" spans="1:11" x14ac:dyDescent="0.2">
      <c r="A3" s="348" t="s">
        <v>220</v>
      </c>
      <c r="B3" s="348"/>
      <c r="C3" s="348"/>
      <c r="D3" s="348"/>
    </row>
    <row r="4" spans="1:11" x14ac:dyDescent="0.2">
      <c r="A4" s="163"/>
      <c r="B4" s="163"/>
      <c r="C4" s="163"/>
      <c r="D4" s="165"/>
    </row>
    <row r="5" spans="1:11" x14ac:dyDescent="0.2">
      <c r="A5" s="166" t="s">
        <v>285</v>
      </c>
      <c r="B5" s="166" t="s">
        <v>227</v>
      </c>
      <c r="C5" s="166" t="s">
        <v>193</v>
      </c>
      <c r="D5" s="167" t="s">
        <v>286</v>
      </c>
    </row>
    <row r="6" spans="1:11" x14ac:dyDescent="0.2">
      <c r="A6" s="168">
        <v>1</v>
      </c>
      <c r="B6" s="163" t="s">
        <v>228</v>
      </c>
      <c r="C6" s="163" t="s">
        <v>188</v>
      </c>
      <c r="D6" s="165">
        <v>143.43666666666667</v>
      </c>
    </row>
    <row r="7" spans="1:11" x14ac:dyDescent="0.2">
      <c r="A7" s="168">
        <v>2</v>
      </c>
      <c r="B7" s="163" t="s">
        <v>229</v>
      </c>
      <c r="C7" s="163" t="s">
        <v>188</v>
      </c>
      <c r="D7" s="165">
        <v>46.233333333333327</v>
      </c>
    </row>
    <row r="8" spans="1:11" x14ac:dyDescent="0.2">
      <c r="A8" s="168">
        <v>3</v>
      </c>
      <c r="B8" s="163" t="s">
        <v>230</v>
      </c>
      <c r="C8" s="163" t="s">
        <v>188</v>
      </c>
      <c r="D8" s="165">
        <v>362.26333333333332</v>
      </c>
      <c r="F8" s="223" t="s">
        <v>320</v>
      </c>
      <c r="G8" s="223"/>
      <c r="H8" s="223"/>
      <c r="I8" s="71"/>
      <c r="J8" s="71"/>
    </row>
    <row r="9" spans="1:11" ht="22.5" x14ac:dyDescent="0.2">
      <c r="A9" s="168">
        <v>4</v>
      </c>
      <c r="B9" s="163" t="s">
        <v>231</v>
      </c>
      <c r="C9" s="163" t="s">
        <v>188</v>
      </c>
      <c r="D9" s="165">
        <v>230.05333333333331</v>
      </c>
      <c r="F9" s="352" t="s">
        <v>155</v>
      </c>
      <c r="G9" s="353"/>
      <c r="H9" s="155" t="s">
        <v>159</v>
      </c>
      <c r="I9" s="155" t="s">
        <v>86</v>
      </c>
      <c r="J9" s="155" t="s">
        <v>158</v>
      </c>
      <c r="K9" s="155" t="s">
        <v>187</v>
      </c>
    </row>
    <row r="10" spans="1:11" ht="33.75" x14ac:dyDescent="0.2">
      <c r="A10" s="168">
        <v>5</v>
      </c>
      <c r="B10" s="163" t="s">
        <v>232</v>
      </c>
      <c r="C10" s="163" t="s">
        <v>190</v>
      </c>
      <c r="D10" s="165">
        <v>23.28</v>
      </c>
      <c r="F10" s="75">
        <v>1</v>
      </c>
      <c r="G10" s="82" t="s">
        <v>168</v>
      </c>
      <c r="H10" s="89">
        <v>1425.53</v>
      </c>
      <c r="I10" s="83">
        <v>1</v>
      </c>
      <c r="J10" s="224">
        <f>H10*I10</f>
        <v>1425.53</v>
      </c>
      <c r="K10" s="91">
        <f>J10/12</f>
        <v>118.79416666666667</v>
      </c>
    </row>
    <row r="11" spans="1:11" x14ac:dyDescent="0.2">
      <c r="A11" s="168">
        <v>6</v>
      </c>
      <c r="B11" s="163" t="s">
        <v>233</v>
      </c>
      <c r="C11" s="163" t="s">
        <v>188</v>
      </c>
      <c r="D11" s="165">
        <v>296.12333333333333</v>
      </c>
      <c r="F11" s="74"/>
      <c r="G11" s="76"/>
      <c r="H11" s="354" t="s">
        <v>156</v>
      </c>
      <c r="I11" s="355"/>
      <c r="J11" s="90">
        <f>SUM(J10:J10)</f>
        <v>1425.53</v>
      </c>
      <c r="K11" s="80"/>
    </row>
    <row r="12" spans="1:11" x14ac:dyDescent="0.2">
      <c r="A12" s="168">
        <v>7</v>
      </c>
      <c r="B12" s="163" t="s">
        <v>234</v>
      </c>
      <c r="C12" s="163" t="s">
        <v>188</v>
      </c>
      <c r="D12" s="165">
        <v>240.18333333333331</v>
      </c>
      <c r="F12" s="73"/>
      <c r="G12" s="39"/>
      <c r="H12" s="354" t="s">
        <v>157</v>
      </c>
      <c r="I12" s="356"/>
      <c r="J12" s="355"/>
      <c r="K12" s="92">
        <v>12</v>
      </c>
    </row>
    <row r="13" spans="1:11" x14ac:dyDescent="0.2">
      <c r="A13" s="168">
        <v>8</v>
      </c>
      <c r="B13" s="163" t="s">
        <v>235</v>
      </c>
      <c r="C13" s="163" t="s">
        <v>188</v>
      </c>
      <c r="D13" s="165">
        <v>57.866666666666667</v>
      </c>
      <c r="F13" s="73"/>
      <c r="G13" s="39"/>
      <c r="H13" s="354" t="s">
        <v>192</v>
      </c>
      <c r="I13" s="355"/>
      <c r="J13" s="80"/>
      <c r="K13" s="93">
        <f>K10/K12</f>
        <v>9.8995138888888885</v>
      </c>
    </row>
    <row r="14" spans="1:11" x14ac:dyDescent="0.2">
      <c r="A14" s="168">
        <v>9</v>
      </c>
      <c r="B14" s="163" t="s">
        <v>236</v>
      </c>
      <c r="C14" s="163" t="s">
        <v>189</v>
      </c>
      <c r="D14" s="165">
        <v>132.18</v>
      </c>
    </row>
    <row r="15" spans="1:11" x14ac:dyDescent="0.2">
      <c r="A15" s="168">
        <v>10</v>
      </c>
      <c r="B15" s="163" t="s">
        <v>237</v>
      </c>
      <c r="C15" s="163" t="s">
        <v>238</v>
      </c>
      <c r="D15" s="165">
        <v>354.67</v>
      </c>
    </row>
    <row r="16" spans="1:11" x14ac:dyDescent="0.2">
      <c r="A16" s="168">
        <v>11</v>
      </c>
      <c r="B16" s="163" t="s">
        <v>239</v>
      </c>
      <c r="C16" s="163" t="s">
        <v>188</v>
      </c>
      <c r="D16" s="165">
        <v>22.040000000000003</v>
      </c>
      <c r="F16" s="357" t="s">
        <v>292</v>
      </c>
      <c r="G16" s="357"/>
      <c r="H16" s="357"/>
      <c r="I16" s="71"/>
      <c r="J16" s="71"/>
    </row>
    <row r="17" spans="1:11" ht="22.5" x14ac:dyDescent="0.2">
      <c r="A17" s="168">
        <v>12</v>
      </c>
      <c r="B17" s="163" t="s">
        <v>240</v>
      </c>
      <c r="C17" s="163" t="s">
        <v>188</v>
      </c>
      <c r="D17" s="165">
        <v>483.26666666666665</v>
      </c>
      <c r="F17" s="352" t="s">
        <v>155</v>
      </c>
      <c r="G17" s="353"/>
      <c r="H17" s="155" t="s">
        <v>159</v>
      </c>
      <c r="I17" s="155" t="s">
        <v>86</v>
      </c>
      <c r="J17" s="155" t="s">
        <v>158</v>
      </c>
      <c r="K17" s="155" t="s">
        <v>187</v>
      </c>
    </row>
    <row r="18" spans="1:11" ht="33.75" x14ac:dyDescent="0.2">
      <c r="A18" s="168">
        <v>13</v>
      </c>
      <c r="B18" s="163" t="s">
        <v>241</v>
      </c>
      <c r="C18" s="163" t="s">
        <v>189</v>
      </c>
      <c r="D18" s="165">
        <v>228.20000000000002</v>
      </c>
      <c r="F18" s="75">
        <v>1</v>
      </c>
      <c r="G18" s="82" t="s">
        <v>168</v>
      </c>
      <c r="H18" s="89">
        <v>1425.53</v>
      </c>
      <c r="I18" s="83">
        <v>1</v>
      </c>
      <c r="J18" s="224">
        <f>H18*I18</f>
        <v>1425.53</v>
      </c>
      <c r="K18" s="91">
        <f>J18/12</f>
        <v>118.79416666666667</v>
      </c>
    </row>
    <row r="19" spans="1:11" x14ac:dyDescent="0.2">
      <c r="A19" s="168">
        <v>14</v>
      </c>
      <c r="B19" s="163" t="s">
        <v>242</v>
      </c>
      <c r="C19" s="163" t="s">
        <v>243</v>
      </c>
      <c r="D19" s="165">
        <v>147.21</v>
      </c>
      <c r="F19" s="74"/>
      <c r="G19" s="76"/>
      <c r="H19" s="354" t="s">
        <v>156</v>
      </c>
      <c r="I19" s="355"/>
      <c r="J19" s="90">
        <f>SUM(J18:J18)</f>
        <v>1425.53</v>
      </c>
      <c r="K19" s="80"/>
    </row>
    <row r="20" spans="1:11" x14ac:dyDescent="0.2">
      <c r="A20" s="168">
        <v>15</v>
      </c>
      <c r="B20" s="163" t="s">
        <v>244</v>
      </c>
      <c r="C20" s="163" t="s">
        <v>188</v>
      </c>
      <c r="D20" s="165">
        <v>48.763333333333343</v>
      </c>
      <c r="F20" s="73"/>
      <c r="G20" s="39"/>
      <c r="H20" s="354" t="s">
        <v>157</v>
      </c>
      <c r="I20" s="356"/>
      <c r="J20" s="355"/>
      <c r="K20" s="92">
        <v>1</v>
      </c>
    </row>
    <row r="21" spans="1:11" x14ac:dyDescent="0.2">
      <c r="A21" s="168">
        <v>16</v>
      </c>
      <c r="B21" s="163" t="s">
        <v>245</v>
      </c>
      <c r="C21" s="163" t="s">
        <v>188</v>
      </c>
      <c r="D21" s="165">
        <v>242.73000000000002</v>
      </c>
      <c r="F21" s="73"/>
      <c r="G21" s="39"/>
      <c r="H21" s="354" t="s">
        <v>192</v>
      </c>
      <c r="I21" s="355"/>
      <c r="J21" s="80"/>
      <c r="K21" s="93">
        <f>K18/K20</f>
        <v>118.79416666666667</v>
      </c>
    </row>
    <row r="22" spans="1:11" x14ac:dyDescent="0.2">
      <c r="A22" s="168">
        <v>17</v>
      </c>
      <c r="B22" s="163" t="s">
        <v>246</v>
      </c>
      <c r="C22" s="163" t="s">
        <v>189</v>
      </c>
      <c r="D22" s="165">
        <v>30.263333333333332</v>
      </c>
    </row>
    <row r="23" spans="1:11" x14ac:dyDescent="0.2">
      <c r="A23" s="168">
        <v>18</v>
      </c>
      <c r="B23" s="163" t="s">
        <v>247</v>
      </c>
      <c r="C23" s="163" t="s">
        <v>188</v>
      </c>
      <c r="D23" s="165">
        <v>104.31333333333333</v>
      </c>
    </row>
    <row r="24" spans="1:11" x14ac:dyDescent="0.2">
      <c r="A24" s="168">
        <v>19</v>
      </c>
      <c r="B24" s="163" t="s">
        <v>248</v>
      </c>
      <c r="C24" s="163" t="s">
        <v>189</v>
      </c>
      <c r="D24" s="165">
        <v>1092.8</v>
      </c>
    </row>
    <row r="25" spans="1:11" x14ac:dyDescent="0.2">
      <c r="A25" s="168">
        <v>20</v>
      </c>
      <c r="B25" s="163" t="s">
        <v>249</v>
      </c>
      <c r="C25" s="163" t="s">
        <v>191</v>
      </c>
      <c r="D25" s="165">
        <v>208.70666666666668</v>
      </c>
    </row>
    <row r="26" spans="1:11" x14ac:dyDescent="0.2">
      <c r="A26" s="168">
        <v>21</v>
      </c>
      <c r="B26" s="163" t="s">
        <v>250</v>
      </c>
      <c r="C26" s="163" t="s">
        <v>251</v>
      </c>
      <c r="D26" s="165">
        <v>97.816666666666663</v>
      </c>
    </row>
    <row r="27" spans="1:11" x14ac:dyDescent="0.2">
      <c r="A27" s="168">
        <v>22</v>
      </c>
      <c r="B27" s="163" t="s">
        <v>252</v>
      </c>
      <c r="C27" s="163" t="s">
        <v>253</v>
      </c>
      <c r="D27" s="165">
        <v>7.413333333333334</v>
      </c>
    </row>
    <row r="28" spans="1:11" x14ac:dyDescent="0.2">
      <c r="A28" s="168">
        <v>23</v>
      </c>
      <c r="B28" s="163" t="s">
        <v>252</v>
      </c>
      <c r="C28" s="163" t="s">
        <v>238</v>
      </c>
      <c r="D28" s="165">
        <v>57</v>
      </c>
    </row>
    <row r="29" spans="1:11" x14ac:dyDescent="0.2">
      <c r="A29" s="168">
        <v>24</v>
      </c>
      <c r="B29" s="163" t="s">
        <v>254</v>
      </c>
      <c r="C29" s="163" t="s">
        <v>188</v>
      </c>
      <c r="D29" s="165">
        <v>34.169999999999995</v>
      </c>
    </row>
    <row r="30" spans="1:11" x14ac:dyDescent="0.2">
      <c r="A30" s="168">
        <v>25</v>
      </c>
      <c r="B30" s="163" t="s">
        <v>255</v>
      </c>
      <c r="C30" s="163" t="s">
        <v>251</v>
      </c>
      <c r="D30" s="165">
        <v>62.606666666666662</v>
      </c>
    </row>
    <row r="31" spans="1:11" x14ac:dyDescent="0.2">
      <c r="A31" s="168">
        <v>26</v>
      </c>
      <c r="B31" s="163" t="s">
        <v>256</v>
      </c>
      <c r="C31" s="163" t="s">
        <v>257</v>
      </c>
      <c r="D31" s="165">
        <v>214.21333333333337</v>
      </c>
    </row>
    <row r="32" spans="1:11" x14ac:dyDescent="0.2">
      <c r="A32" s="168">
        <v>27</v>
      </c>
      <c r="B32" s="163" t="s">
        <v>258</v>
      </c>
      <c r="C32" s="163" t="s">
        <v>188</v>
      </c>
      <c r="D32" s="165">
        <v>176.94666666666669</v>
      </c>
    </row>
    <row r="33" spans="1:4" x14ac:dyDescent="0.2">
      <c r="A33" s="168">
        <v>28</v>
      </c>
      <c r="B33" s="163" t="s">
        <v>259</v>
      </c>
      <c r="C33" s="163" t="s">
        <v>188</v>
      </c>
      <c r="D33" s="165">
        <v>62.776666666666664</v>
      </c>
    </row>
    <row r="34" spans="1:4" x14ac:dyDescent="0.2">
      <c r="A34" s="168">
        <v>29</v>
      </c>
      <c r="B34" s="163" t="s">
        <v>260</v>
      </c>
      <c r="C34" s="163" t="s">
        <v>251</v>
      </c>
      <c r="D34" s="165">
        <v>248.56666666666669</v>
      </c>
    </row>
    <row r="35" spans="1:4" x14ac:dyDescent="0.2">
      <c r="A35" s="168">
        <v>30</v>
      </c>
      <c r="B35" s="163" t="s">
        <v>261</v>
      </c>
      <c r="C35" s="163" t="s">
        <v>188</v>
      </c>
      <c r="D35" s="165">
        <v>25.983333333333331</v>
      </c>
    </row>
    <row r="36" spans="1:4" x14ac:dyDescent="0.2">
      <c r="A36" s="168">
        <v>31</v>
      </c>
      <c r="B36" s="163" t="s">
        <v>262</v>
      </c>
      <c r="C36" s="163" t="s">
        <v>188</v>
      </c>
      <c r="D36" s="165">
        <v>67.7</v>
      </c>
    </row>
    <row r="37" spans="1:4" x14ac:dyDescent="0.2">
      <c r="A37" s="168">
        <v>32</v>
      </c>
      <c r="B37" s="163" t="s">
        <v>263</v>
      </c>
      <c r="C37" s="163" t="s">
        <v>188</v>
      </c>
      <c r="D37" s="165">
        <v>292.70333333333332</v>
      </c>
    </row>
    <row r="38" spans="1:4" x14ac:dyDescent="0.2">
      <c r="A38" s="168">
        <v>33</v>
      </c>
      <c r="B38" s="163" t="s">
        <v>264</v>
      </c>
      <c r="C38" s="163" t="s">
        <v>188</v>
      </c>
      <c r="D38" s="165">
        <v>52.863333333333337</v>
      </c>
    </row>
    <row r="39" spans="1:4" x14ac:dyDescent="0.2">
      <c r="A39" s="168">
        <v>34</v>
      </c>
      <c r="B39" s="163" t="s">
        <v>265</v>
      </c>
      <c r="C39" s="163" t="s">
        <v>251</v>
      </c>
      <c r="D39" s="165">
        <v>215.45000000000002</v>
      </c>
    </row>
    <row r="40" spans="1:4" x14ac:dyDescent="0.2">
      <c r="A40" s="168">
        <v>35</v>
      </c>
      <c r="B40" s="163" t="s">
        <v>266</v>
      </c>
      <c r="C40" s="163" t="s">
        <v>251</v>
      </c>
      <c r="D40" s="165">
        <v>520.12333333333333</v>
      </c>
    </row>
    <row r="41" spans="1:4" x14ac:dyDescent="0.2">
      <c r="A41" s="168">
        <v>36</v>
      </c>
      <c r="B41" s="163" t="s">
        <v>267</v>
      </c>
      <c r="C41" s="163" t="s">
        <v>188</v>
      </c>
      <c r="D41" s="165">
        <v>360.05666666666667</v>
      </c>
    </row>
    <row r="42" spans="1:4" x14ac:dyDescent="0.2">
      <c r="A42" s="168">
        <v>37</v>
      </c>
      <c r="B42" s="163" t="s">
        <v>268</v>
      </c>
      <c r="C42" s="163" t="s">
        <v>188</v>
      </c>
      <c r="D42" s="165">
        <v>24.310000000000002</v>
      </c>
    </row>
    <row r="43" spans="1:4" x14ac:dyDescent="0.2">
      <c r="A43" s="168">
        <v>38</v>
      </c>
      <c r="B43" s="163" t="s">
        <v>269</v>
      </c>
      <c r="C43" s="163" t="s">
        <v>270</v>
      </c>
      <c r="D43" s="165">
        <v>121.04333333333334</v>
      </c>
    </row>
    <row r="44" spans="1:4" x14ac:dyDescent="0.2">
      <c r="A44" s="168">
        <v>39</v>
      </c>
      <c r="B44" s="163" t="s">
        <v>271</v>
      </c>
      <c r="C44" s="163" t="s">
        <v>188</v>
      </c>
      <c r="D44" s="165">
        <v>34.626666666666665</v>
      </c>
    </row>
    <row r="45" spans="1:4" x14ac:dyDescent="0.2">
      <c r="A45" s="168">
        <v>40</v>
      </c>
      <c r="B45" s="163" t="s">
        <v>272</v>
      </c>
      <c r="C45" s="163" t="s">
        <v>188</v>
      </c>
      <c r="D45" s="165">
        <v>199.43666666666664</v>
      </c>
    </row>
    <row r="46" spans="1:4" x14ac:dyDescent="0.2">
      <c r="A46" s="168">
        <v>41</v>
      </c>
      <c r="B46" s="163" t="s">
        <v>273</v>
      </c>
      <c r="C46" s="163" t="s">
        <v>188</v>
      </c>
      <c r="D46" s="165">
        <v>50.356666666666662</v>
      </c>
    </row>
    <row r="47" spans="1:4" x14ac:dyDescent="0.2">
      <c r="A47" s="168">
        <v>42</v>
      </c>
      <c r="B47" s="163" t="s">
        <v>274</v>
      </c>
      <c r="C47" s="163" t="s">
        <v>188</v>
      </c>
      <c r="D47" s="165">
        <v>300.8533333333333</v>
      </c>
    </row>
    <row r="48" spans="1:4" x14ac:dyDescent="0.2">
      <c r="A48" s="168">
        <v>43</v>
      </c>
      <c r="B48" s="163" t="s">
        <v>275</v>
      </c>
      <c r="C48" s="163" t="s">
        <v>188</v>
      </c>
      <c r="D48" s="165">
        <v>607.10666666666668</v>
      </c>
    </row>
    <row r="49" spans="1:4" x14ac:dyDescent="0.2">
      <c r="A49" s="168">
        <v>44</v>
      </c>
      <c r="B49" s="163" t="s">
        <v>276</v>
      </c>
      <c r="C49" s="163" t="s">
        <v>277</v>
      </c>
      <c r="D49" s="165">
        <v>104.31666666666666</v>
      </c>
    </row>
    <row r="50" spans="1:4" x14ac:dyDescent="0.2">
      <c r="A50" s="168">
        <v>45</v>
      </c>
      <c r="B50" s="163" t="s">
        <v>278</v>
      </c>
      <c r="C50" s="163" t="s">
        <v>188</v>
      </c>
      <c r="D50" s="165">
        <v>424.78666666666669</v>
      </c>
    </row>
    <row r="51" spans="1:4" x14ac:dyDescent="0.2">
      <c r="A51" s="168">
        <v>46</v>
      </c>
      <c r="B51" s="163" t="s">
        <v>279</v>
      </c>
      <c r="C51" s="163" t="s">
        <v>188</v>
      </c>
      <c r="D51" s="165">
        <v>35.96</v>
      </c>
    </row>
    <row r="52" spans="1:4" x14ac:dyDescent="0.2">
      <c r="A52" s="168">
        <v>47</v>
      </c>
      <c r="B52" s="163" t="s">
        <v>280</v>
      </c>
      <c r="C52" s="163" t="s">
        <v>188</v>
      </c>
      <c r="D52" s="165">
        <v>51.85</v>
      </c>
    </row>
    <row r="53" spans="1:4" x14ac:dyDescent="0.2">
      <c r="A53" s="168">
        <v>48</v>
      </c>
      <c r="B53" s="163" t="s">
        <v>281</v>
      </c>
      <c r="C53" s="163" t="s">
        <v>188</v>
      </c>
      <c r="D53" s="165">
        <v>25.84</v>
      </c>
    </row>
    <row r="54" spans="1:4" x14ac:dyDescent="0.2">
      <c r="A54" s="168">
        <v>49</v>
      </c>
      <c r="B54" s="163" t="s">
        <v>282</v>
      </c>
      <c r="C54" s="163" t="s">
        <v>188</v>
      </c>
      <c r="D54" s="165">
        <v>229.89999999999998</v>
      </c>
    </row>
    <row r="55" spans="1:4" x14ac:dyDescent="0.2">
      <c r="A55" s="168">
        <v>50</v>
      </c>
      <c r="B55" s="163" t="s">
        <v>283</v>
      </c>
      <c r="C55" s="163" t="s">
        <v>284</v>
      </c>
      <c r="D55" s="165">
        <v>71.99666666666667</v>
      </c>
    </row>
    <row r="56" spans="1:4" x14ac:dyDescent="0.2">
      <c r="A56" s="349" t="s">
        <v>287</v>
      </c>
      <c r="B56" s="350"/>
      <c r="C56" s="351"/>
      <c r="D56" s="169">
        <v>9273.3566666666648</v>
      </c>
    </row>
    <row r="57" spans="1:4" x14ac:dyDescent="0.2">
      <c r="A57" s="163"/>
      <c r="B57" s="170" t="s">
        <v>288</v>
      </c>
      <c r="C57" s="163"/>
      <c r="D57" s="169">
        <f>D56/12</f>
        <v>772.77972222222206</v>
      </c>
    </row>
    <row r="58" spans="1:4" x14ac:dyDescent="0.2">
      <c r="A58" s="163"/>
      <c r="B58" s="170" t="s">
        <v>289</v>
      </c>
      <c r="C58" s="163"/>
      <c r="D58" s="169">
        <f>D57/13</f>
        <v>59.444594017094005</v>
      </c>
    </row>
  </sheetData>
  <mergeCells count="11">
    <mergeCell ref="A3:D3"/>
    <mergeCell ref="A56:C56"/>
    <mergeCell ref="F9:G9"/>
    <mergeCell ref="H11:I11"/>
    <mergeCell ref="H12:J12"/>
    <mergeCell ref="H13:I13"/>
    <mergeCell ref="F16:H16"/>
    <mergeCell ref="F17:G17"/>
    <mergeCell ref="H19:I19"/>
    <mergeCell ref="H20:J20"/>
    <mergeCell ref="H21:I21"/>
  </mergeCells>
  <pageMargins left="0.511811024" right="0.511811024" top="0.78740157499999996" bottom="0.78740157499999996" header="0.31496062000000002" footer="0.31496062000000002"/>
  <pageSetup paperSize="9" scale="93" orientation="portrait" r:id="rId1"/>
  <colBreaks count="1" manualBreakCount="1">
    <brk id="5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CC"/>
  </sheetPr>
  <dimension ref="B1:G18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2" max="2" width="62.140625" customWidth="1"/>
    <col min="3" max="3" width="12.28515625" bestFit="1" customWidth="1"/>
    <col min="4" max="4" width="16.5703125" bestFit="1" customWidth="1"/>
    <col min="5" max="5" width="14.28515625" bestFit="1" customWidth="1"/>
    <col min="6" max="6" width="18.7109375" bestFit="1" customWidth="1"/>
    <col min="7" max="7" width="20.140625" bestFit="1" customWidth="1"/>
    <col min="8" max="8" width="20.140625" customWidth="1"/>
    <col min="9" max="9" width="15.85546875" bestFit="1" customWidth="1"/>
    <col min="12" max="12" width="8.85546875" customWidth="1"/>
  </cols>
  <sheetData>
    <row r="1" spans="2:7" ht="13.5" thickBot="1" x14ac:dyDescent="0.25"/>
    <row r="2" spans="2:7" x14ac:dyDescent="0.2">
      <c r="B2" s="360" t="s">
        <v>293</v>
      </c>
      <c r="C2" s="361"/>
      <c r="D2" s="361"/>
      <c r="E2" s="361"/>
      <c r="F2" s="362"/>
    </row>
    <row r="3" spans="2:7" ht="24" x14ac:dyDescent="0.25">
      <c r="B3" s="196" t="s">
        <v>161</v>
      </c>
      <c r="C3" s="197" t="s">
        <v>294</v>
      </c>
      <c r="D3" s="198" t="s">
        <v>295</v>
      </c>
      <c r="E3" s="197" t="s">
        <v>317</v>
      </c>
      <c r="F3" s="212" t="s">
        <v>162</v>
      </c>
      <c r="G3" s="171"/>
    </row>
    <row r="4" spans="2:7" x14ac:dyDescent="0.2">
      <c r="B4" s="199" t="s">
        <v>197</v>
      </c>
      <c r="C4" s="200">
        <v>1</v>
      </c>
      <c r="D4" s="201">
        <f>Arquiteto!D123+Arquiteto!D143</f>
        <v>25574.154166666667</v>
      </c>
      <c r="E4" s="201">
        <f>D4*C4</f>
        <v>25574.154166666667</v>
      </c>
      <c r="F4" s="213">
        <f>E4*30</f>
        <v>767224.625</v>
      </c>
      <c r="G4" s="172"/>
    </row>
    <row r="5" spans="2:7" x14ac:dyDescent="0.2">
      <c r="B5" s="363" t="s">
        <v>297</v>
      </c>
      <c r="C5" s="364"/>
      <c r="D5" s="364"/>
      <c r="E5" s="365"/>
      <c r="F5" s="214">
        <f>SUM(F4:F4)</f>
        <v>767224.625</v>
      </c>
      <c r="G5" s="172"/>
    </row>
    <row r="6" spans="2:7" ht="13.5" thickBot="1" x14ac:dyDescent="0.25">
      <c r="B6" s="216"/>
      <c r="C6" s="217"/>
      <c r="D6" s="217"/>
      <c r="E6" s="217"/>
      <c r="F6" s="218"/>
    </row>
    <row r="7" spans="2:7" x14ac:dyDescent="0.2">
      <c r="B7" s="368" t="s">
        <v>314</v>
      </c>
      <c r="C7" s="369"/>
      <c r="D7" s="369"/>
      <c r="E7" s="369"/>
      <c r="F7" s="370"/>
    </row>
    <row r="8" spans="2:7" ht="23.25" x14ac:dyDescent="0.2">
      <c r="B8" s="196" t="s">
        <v>161</v>
      </c>
      <c r="C8" s="197" t="s">
        <v>294</v>
      </c>
      <c r="D8" s="211" t="s">
        <v>295</v>
      </c>
      <c r="E8" s="197" t="s">
        <v>317</v>
      </c>
      <c r="F8" s="212" t="s">
        <v>162</v>
      </c>
    </row>
    <row r="9" spans="2:7" x14ac:dyDescent="0.2">
      <c r="B9" s="202" t="s">
        <v>298</v>
      </c>
      <c r="C9" s="203">
        <v>1</v>
      </c>
      <c r="D9" s="204">
        <f>'Encarregado de Manut'!D123+'Encarregado de Manut'!D143</f>
        <v>11115.324107905984</v>
      </c>
      <c r="E9" s="205">
        <f>D9*C9</f>
        <v>11115.324107905984</v>
      </c>
      <c r="F9" s="215">
        <f>E9*30</f>
        <v>333459.72323717951</v>
      </c>
    </row>
    <row r="10" spans="2:7" x14ac:dyDescent="0.2">
      <c r="B10" s="202" t="s">
        <v>322</v>
      </c>
      <c r="C10" s="203">
        <v>1</v>
      </c>
      <c r="D10" s="204">
        <f>'Manutenção Elétrica'!D123</f>
        <v>7543.5541079059813</v>
      </c>
      <c r="E10" s="205">
        <f>D10*C10</f>
        <v>7543.5541079059813</v>
      </c>
      <c r="F10" s="215">
        <f>E10*30</f>
        <v>226306.62323717945</v>
      </c>
    </row>
    <row r="11" spans="2:7" x14ac:dyDescent="0.2">
      <c r="B11" s="199" t="s">
        <v>323</v>
      </c>
      <c r="C11" s="200">
        <v>1</v>
      </c>
      <c r="D11" s="206">
        <f>'Manutenção Elétrica'!D123+'Manutenção Elétrica'!D143</f>
        <v>9294.2741079059815</v>
      </c>
      <c r="E11" s="207">
        <f>D11*C11</f>
        <v>9294.2741079059815</v>
      </c>
      <c r="F11" s="215">
        <f t="shared" ref="F11:F13" si="0">E11*30</f>
        <v>278828.22323717945</v>
      </c>
    </row>
    <row r="12" spans="2:7" x14ac:dyDescent="0.2">
      <c r="B12" s="208" t="s">
        <v>315</v>
      </c>
      <c r="C12" s="200">
        <v>5</v>
      </c>
      <c r="D12" s="206">
        <f>'Manutenção Predial'!D123</f>
        <v>7543.5541079059813</v>
      </c>
      <c r="E12" s="207">
        <f>D12*C12</f>
        <v>37717.770539529905</v>
      </c>
      <c r="F12" s="215">
        <f t="shared" si="0"/>
        <v>1131533.1161858973</v>
      </c>
    </row>
    <row r="13" spans="2:7" x14ac:dyDescent="0.2">
      <c r="B13" s="208" t="s">
        <v>324</v>
      </c>
      <c r="C13" s="200">
        <v>4</v>
      </c>
      <c r="D13" s="207">
        <f>'Manutenção Predial'!D123+'Manutenção Predial'!D143</f>
        <v>9294.2741079059815</v>
      </c>
      <c r="E13" s="207">
        <f>D13*C13</f>
        <v>37177.096431623926</v>
      </c>
      <c r="F13" s="215">
        <f t="shared" si="0"/>
        <v>1115312.8929487178</v>
      </c>
    </row>
    <row r="14" spans="2:7" x14ac:dyDescent="0.2">
      <c r="B14" s="199" t="s">
        <v>296</v>
      </c>
      <c r="C14" s="200">
        <v>12</v>
      </c>
      <c r="D14" s="207"/>
      <c r="E14" s="207">
        <f>SUM(E9:E13)</f>
        <v>102848.01929487177</v>
      </c>
      <c r="F14" s="215"/>
    </row>
    <row r="15" spans="2:7" ht="13.5" thickBot="1" x14ac:dyDescent="0.25">
      <c r="B15" s="366" t="s">
        <v>297</v>
      </c>
      <c r="C15" s="367"/>
      <c r="D15" s="367"/>
      <c r="E15" s="367"/>
      <c r="F15" s="209">
        <f>SUM(F9:F14)</f>
        <v>3085440.5788461533</v>
      </c>
    </row>
    <row r="16" spans="2:7" ht="13.5" thickBot="1" x14ac:dyDescent="0.25">
      <c r="B16" s="210"/>
      <c r="C16" s="210"/>
      <c r="D16" s="210"/>
      <c r="E16" s="210"/>
      <c r="F16" s="210"/>
    </row>
    <row r="17" spans="2:6" ht="13.5" thickBot="1" x14ac:dyDescent="0.25">
      <c r="B17" s="358" t="s">
        <v>316</v>
      </c>
      <c r="C17" s="359"/>
      <c r="D17" s="359"/>
      <c r="E17" s="359"/>
      <c r="F17" s="219">
        <f>F5+F15</f>
        <v>3852665.2038461533</v>
      </c>
    </row>
    <row r="18" spans="2:6" x14ac:dyDescent="0.2">
      <c r="B18" s="225"/>
      <c r="C18" s="225"/>
      <c r="D18" s="225"/>
      <c r="E18" s="225"/>
      <c r="F18" s="226"/>
    </row>
  </sheetData>
  <mergeCells count="5">
    <mergeCell ref="B17:E17"/>
    <mergeCell ref="B2:F2"/>
    <mergeCell ref="B5:E5"/>
    <mergeCell ref="B15:E15"/>
    <mergeCell ref="B7:F7"/>
  </mergeCells>
  <pageMargins left="0.511811024" right="0.511811024" top="0.78740157499999996" bottom="0.78740157499999996" header="0.31496062000000002" footer="0.31496062000000002"/>
  <pageSetup paperSize="9" scale="7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Proposta</vt:lpstr>
      <vt:lpstr>Capa</vt:lpstr>
      <vt:lpstr>Arquiteto</vt:lpstr>
      <vt:lpstr>Encarregado de Manut</vt:lpstr>
      <vt:lpstr>Manutenção Elétrica</vt:lpstr>
      <vt:lpstr>Manutenção Predial</vt:lpstr>
      <vt:lpstr>Uniformes</vt:lpstr>
      <vt:lpstr>Equipamentos</vt:lpstr>
      <vt:lpstr>Consolidado</vt:lpstr>
      <vt:lpstr>Arquiteto!Area_de_impressao</vt:lpstr>
      <vt:lpstr>Capa!Area_de_impressao</vt:lpstr>
      <vt:lpstr>'Encarregado de Manut'!Area_de_impressao</vt:lpstr>
      <vt:lpstr>Equipamentos!Area_de_impressao</vt:lpstr>
      <vt:lpstr>'Manutenção Elétrica'!Area_de_impressao</vt:lpstr>
      <vt:lpstr>'Manutenção Predial'!Area_de_impressao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</cp:lastModifiedBy>
  <cp:lastPrinted>2021-12-13T21:05:54Z</cp:lastPrinted>
  <dcterms:created xsi:type="dcterms:W3CDTF">2010-12-08T17:56:29Z</dcterms:created>
  <dcterms:modified xsi:type="dcterms:W3CDTF">2022-04-05T17:43:36Z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