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75" windowWidth="22230" windowHeight="4785" tabRatio="707"/>
  </bookViews>
  <sheets>
    <sheet name="Proposta" sheetId="33" r:id="rId1"/>
    <sheet name="Capa" sheetId="29" r:id="rId2"/>
    <sheet name="Motorista Executivo" sheetId="35" r:id="rId3"/>
    <sheet name="Motorista Comercial" sheetId="26" r:id="rId4"/>
    <sheet name="Insumos" sheetId="36" r:id="rId5"/>
    <sheet name="Quadro Resumo" sheetId="30" r:id="rId6"/>
  </sheets>
  <definedNames>
    <definedName name="_xlnm.Print_Area" localSheetId="3">'Motorista Comercial'!$A$1:$D$127</definedName>
    <definedName name="legislacaoDetalhe.asp?ctdCod_411" localSheetId="3">'Motorista Comercial'!$A$1:$G$142</definedName>
    <definedName name="legislacaoDetalhe.asp?ctdCod_411" localSheetId="2">'Motorista Executivo'!$A$1:$G$142</definedName>
    <definedName name="legislacaoDetalhe.asp?ctdCod_411_1" localSheetId="3">'Motorista Comercial'!$A$1:$G$142</definedName>
    <definedName name="legislacaoDetalhe.asp?ctdCod_411_1" localSheetId="2">'Motorista Executivo'!$A$1:$G$142</definedName>
  </definedNames>
  <calcPr calcId="145621"/>
</workbook>
</file>

<file path=xl/calcChain.xml><?xml version="1.0" encoding="utf-8"?>
<calcChain xmlns="http://schemas.openxmlformats.org/spreadsheetml/2006/main">
  <c r="D12" i="33" l="1"/>
  <c r="D13" i="33"/>
  <c r="C18" i="26"/>
  <c r="C19" i="26"/>
  <c r="C33" i="26"/>
  <c r="C18" i="35"/>
  <c r="C19" i="35"/>
  <c r="C32" i="35"/>
  <c r="C33" i="35"/>
  <c r="C12" i="35" l="1"/>
  <c r="C12" i="26"/>
  <c r="F21" i="36" l="1"/>
  <c r="G21" i="36" s="1"/>
  <c r="F20" i="36"/>
  <c r="G20" i="36" s="1"/>
  <c r="F19" i="36"/>
  <c r="G19" i="36" s="1"/>
  <c r="F18" i="36"/>
  <c r="G18" i="36" s="1"/>
  <c r="F17" i="36"/>
  <c r="G17" i="36" s="1"/>
  <c r="A17" i="36"/>
  <c r="A18" i="36" s="1"/>
  <c r="A19" i="36" s="1"/>
  <c r="A20" i="36" s="1"/>
  <c r="A21" i="36" s="1"/>
  <c r="F16" i="36"/>
  <c r="G16" i="36" s="1"/>
  <c r="C27" i="36"/>
  <c r="G22" i="36" l="1"/>
  <c r="C34" i="35"/>
  <c r="C34" i="26"/>
  <c r="C13" i="26"/>
  <c r="C113" i="35" l="1"/>
  <c r="C111" i="35"/>
  <c r="C110" i="35" s="1"/>
  <c r="C108" i="35"/>
  <c r="C107" i="35"/>
  <c r="C99" i="35"/>
  <c r="F87" i="35"/>
  <c r="F84" i="35"/>
  <c r="C75" i="35"/>
  <c r="C74" i="35"/>
  <c r="C73" i="35"/>
  <c r="C71" i="35"/>
  <c r="C72" i="35" s="1"/>
  <c r="C64" i="35"/>
  <c r="C63" i="35"/>
  <c r="C55" i="35"/>
  <c r="C54" i="35"/>
  <c r="C56" i="35" s="1"/>
  <c r="C49" i="35"/>
  <c r="D122" i="35"/>
  <c r="C20" i="35"/>
  <c r="C13" i="35"/>
  <c r="F6" i="36"/>
  <c r="G6" i="36"/>
  <c r="F10" i="36"/>
  <c r="C25" i="35" l="1"/>
  <c r="D121" i="35" s="1"/>
  <c r="D71" i="35"/>
  <c r="D75" i="35"/>
  <c r="D55" i="35"/>
  <c r="D72" i="35"/>
  <c r="D74" i="35"/>
  <c r="D63" i="35"/>
  <c r="D73" i="35"/>
  <c r="D43" i="35"/>
  <c r="D44" i="35"/>
  <c r="D48" i="35"/>
  <c r="D54" i="35"/>
  <c r="D64" i="35"/>
  <c r="D120" i="35"/>
  <c r="C65" i="35"/>
  <c r="C66" i="35" s="1"/>
  <c r="C96" i="35" s="1"/>
  <c r="C77" i="35"/>
  <c r="C97" i="35" s="1"/>
  <c r="C95" i="35"/>
  <c r="D41" i="35"/>
  <c r="D45" i="35"/>
  <c r="C57" i="35"/>
  <c r="C58" i="35" s="1"/>
  <c r="C94" i="35" s="1"/>
  <c r="D42" i="35"/>
  <c r="D46" i="35"/>
  <c r="D47" i="35"/>
  <c r="C76" i="35"/>
  <c r="D76" i="35" s="1"/>
  <c r="F27" i="36"/>
  <c r="G27" i="36" s="1"/>
  <c r="G28" i="36" s="1"/>
  <c r="G10" i="36"/>
  <c r="F9" i="36"/>
  <c r="G9" i="36" s="1"/>
  <c r="F8" i="36"/>
  <c r="G8" i="36" s="1"/>
  <c r="F7" i="36"/>
  <c r="G7" i="36" s="1"/>
  <c r="A7" i="36"/>
  <c r="A8" i="36" s="1"/>
  <c r="A9" i="36" s="1"/>
  <c r="A10" i="36" s="1"/>
  <c r="C20" i="26"/>
  <c r="D65" i="35" l="1"/>
  <c r="D66" i="35" s="1"/>
  <c r="D96" i="35" s="1"/>
  <c r="D77" i="35"/>
  <c r="D97" i="35" s="1"/>
  <c r="D56" i="35"/>
  <c r="D57" i="35" s="1"/>
  <c r="G11" i="36"/>
  <c r="D49" i="35"/>
  <c r="D95" i="35" s="1"/>
  <c r="D58" i="35" l="1"/>
  <c r="D94" i="35" s="1"/>
  <c r="F81" i="35" s="1"/>
  <c r="C83" i="35" l="1"/>
  <c r="D83" i="35" s="1"/>
  <c r="C86" i="35"/>
  <c r="D86" i="35" s="1"/>
  <c r="C84" i="35"/>
  <c r="D84" i="35" s="1"/>
  <c r="C82" i="35"/>
  <c r="G81" i="35"/>
  <c r="C85" i="35"/>
  <c r="D85" i="35" s="1"/>
  <c r="D82" i="35" l="1"/>
  <c r="D87" i="35" s="1"/>
  <c r="C87" i="35"/>
  <c r="D88" i="35" l="1"/>
  <c r="D89" i="35" s="1"/>
  <c r="D98" i="35" s="1"/>
  <c r="D100" i="35" s="1"/>
  <c r="C88" i="35"/>
  <c r="C89" i="35" s="1"/>
  <c r="C98" i="35" l="1"/>
  <c r="C100" i="35" s="1"/>
  <c r="C123" i="35"/>
  <c r="D107" i="35"/>
  <c r="D123" i="35"/>
  <c r="D124" i="35" s="1"/>
  <c r="D102" i="35"/>
  <c r="C113" i="26"/>
  <c r="C111" i="26"/>
  <c r="C108" i="26"/>
  <c r="C107" i="26"/>
  <c r="C99" i="26"/>
  <c r="F87" i="26"/>
  <c r="F84" i="26"/>
  <c r="C75" i="26"/>
  <c r="C74" i="26"/>
  <c r="C73" i="26"/>
  <c r="C71" i="26"/>
  <c r="C72" i="26" s="1"/>
  <c r="C64" i="26"/>
  <c r="C63" i="26"/>
  <c r="C55" i="26"/>
  <c r="C54" i="26"/>
  <c r="C56" i="26" s="1"/>
  <c r="C49" i="26"/>
  <c r="D122" i="26"/>
  <c r="D64" i="26"/>
  <c r="C25" i="26"/>
  <c r="D108" i="35" l="1"/>
  <c r="D110" i="35" s="1"/>
  <c r="C110" i="26"/>
  <c r="C57" i="26"/>
  <c r="D121" i="26"/>
  <c r="D72" i="26"/>
  <c r="C58" i="26"/>
  <c r="C94" i="26" s="1"/>
  <c r="D73" i="26"/>
  <c r="D44" i="26"/>
  <c r="D48" i="26"/>
  <c r="D54" i="26"/>
  <c r="D74" i="26"/>
  <c r="D120" i="26"/>
  <c r="D46" i="26"/>
  <c r="D71" i="26"/>
  <c r="D41" i="26"/>
  <c r="D45" i="26"/>
  <c r="C65" i="26"/>
  <c r="C66" i="26" s="1"/>
  <c r="C96" i="26" s="1"/>
  <c r="C95" i="26"/>
  <c r="D42" i="26"/>
  <c r="D63" i="26"/>
  <c r="D55" i="26"/>
  <c r="D65" i="26"/>
  <c r="D75" i="26"/>
  <c r="D43" i="26"/>
  <c r="D47" i="26"/>
  <c r="C76" i="26"/>
  <c r="D76" i="26" s="1"/>
  <c r="D49" i="26" l="1"/>
  <c r="D113" i="35"/>
  <c r="D111" i="35"/>
  <c r="D115" i="35" s="1"/>
  <c r="C77" i="26"/>
  <c r="D95" i="26"/>
  <c r="D66" i="26"/>
  <c r="D96" i="26" s="1"/>
  <c r="D77" i="26"/>
  <c r="D97" i="26" s="1"/>
  <c r="D56" i="26"/>
  <c r="D125" i="35" l="1"/>
  <c r="D126" i="35" s="1"/>
  <c r="D57" i="26"/>
  <c r="D58" i="26" s="1"/>
  <c r="D94" i="26" s="1"/>
  <c r="C97" i="26"/>
  <c r="E12" i="33" l="1"/>
  <c r="F12" i="33" s="1"/>
  <c r="C5" i="30"/>
  <c r="E5" i="30" s="1"/>
  <c r="G5" i="30" s="1"/>
  <c r="F81" i="26"/>
  <c r="C83" i="26" l="1"/>
  <c r="D83" i="26" s="1"/>
  <c r="C86" i="26"/>
  <c r="D86" i="26" s="1"/>
  <c r="C84" i="26"/>
  <c r="D84" i="26" s="1"/>
  <c r="C82" i="26"/>
  <c r="G81" i="26"/>
  <c r="C85" i="26"/>
  <c r="D85" i="26" s="1"/>
  <c r="D82" i="26" l="1"/>
  <c r="D87" i="26" s="1"/>
  <c r="C87" i="26"/>
  <c r="C88" i="26" l="1"/>
  <c r="C89" i="26" s="1"/>
  <c r="D88" i="26"/>
  <c r="D89" i="26" s="1"/>
  <c r="D98" i="26" s="1"/>
  <c r="D100" i="26" s="1"/>
  <c r="C98" i="26" l="1"/>
  <c r="C100" i="26" s="1"/>
  <c r="C123" i="26"/>
  <c r="D107" i="26"/>
  <c r="D123" i="26"/>
  <c r="D124" i="26" s="1"/>
  <c r="D102" i="26"/>
  <c r="D108" i="26" l="1"/>
  <c r="D110" i="26" s="1"/>
  <c r="D113" i="26" s="1"/>
  <c r="D111" i="26" l="1"/>
  <c r="D115" i="26" l="1"/>
  <c r="D125" i="26" s="1"/>
  <c r="D126" i="26" s="1"/>
  <c r="E13" i="33" l="1"/>
  <c r="F13" i="33" s="1"/>
  <c r="F14" i="33" s="1"/>
  <c r="C6" i="30"/>
  <c r="E6" i="30" s="1"/>
  <c r="G6" i="30" s="1"/>
  <c r="G7" i="30" s="1"/>
</calcChain>
</file>

<file path=xl/connections.xml><?xml version="1.0" encoding="utf-8"?>
<connections xmlns="http://schemas.openxmlformats.org/spreadsheetml/2006/main">
  <connection id="1" name="Conexão21114311" type="4" refreshedVersion="2" background="1" saveData="1">
    <webPr sourceData="1" parsePre="1" consecutive="1" xl2000="1" url="https://www.comprasnet.gov.br/legislacao/legislacaoDetalhe.asp?ctdCod=411"/>
  </connection>
  <connection id="2" name="Conexão211143111" type="4" refreshedVersion="2" background="1" saveData="1">
    <webPr sourceData="1" parsePre="1" consecutive="1" xl2000="1" url="https://www.comprasnet.gov.br/legislacao/legislacaoDetalhe.asp?ctdCod=411"/>
  </connection>
  <connection id="3" name="Conexão224311" type="4" refreshedVersion="2" background="1" saveData="1">
    <webPr sourceData="1" parsePre="1" consecutive="1" xl2000="1" url="https://www.comprasnet.gov.br/legislacao/legislacaoDetalhe.asp?ctdCod=411"/>
  </connection>
  <connection id="4" name="Conexão2243111" type="4" refreshedVersion="2" background="1" saveData="1">
    <webPr sourceData="1" parsePre="1" consecutive="1" xl2000="1" url="https://www.comprasnet.gov.br/legislacao/legislacaoDetalhe.asp?ctdCod=411"/>
  </connection>
</connections>
</file>

<file path=xl/sharedStrings.xml><?xml version="1.0" encoding="utf-8"?>
<sst xmlns="http://schemas.openxmlformats.org/spreadsheetml/2006/main" count="616" uniqueCount="262">
  <si>
    <t>PLANILHA DE CUSTO E FORMAÇÃO DE PREÇOS</t>
  </si>
  <si>
    <t>Exemplo para Explicação dos Cálculos</t>
  </si>
  <si>
    <t xml:space="preserve"> MÓDULO 1 :   COMPOSIÇÃO DA REMUNERAÇÃO</t>
  </si>
  <si>
    <t>Composição da Remuneração</t>
  </si>
  <si>
    <t>Valor (R$)</t>
  </si>
  <si>
    <t>A</t>
  </si>
  <si>
    <t>Salário Base</t>
  </si>
  <si>
    <t>B</t>
  </si>
  <si>
    <t>Adicional  de periculosidade</t>
  </si>
  <si>
    <t>C</t>
  </si>
  <si>
    <t>Adicional  de insalubridade</t>
  </si>
  <si>
    <t>D</t>
  </si>
  <si>
    <t>Adicional noturno</t>
  </si>
  <si>
    <t>E</t>
  </si>
  <si>
    <t>F</t>
  </si>
  <si>
    <t>Adicional de Hora Extra</t>
  </si>
  <si>
    <t>G</t>
  </si>
  <si>
    <t>H</t>
  </si>
  <si>
    <t>Outros (especificar)</t>
  </si>
  <si>
    <t>Total da Remuneração</t>
  </si>
  <si>
    <t>MÓDULO 2:   BENEFÍCIOS MENSAIS E DIÁRIOS</t>
  </si>
  <si>
    <t>Benefícios Mensais e Diários</t>
  </si>
  <si>
    <t xml:space="preserve">Transporte </t>
  </si>
  <si>
    <t>Auxílio alimentação</t>
  </si>
  <si>
    <t>Total de Benefícios mensais e diários</t>
  </si>
  <si>
    <t>MÓDULO 3:   INSUMOS DIVERSOS</t>
  </si>
  <si>
    <t>Insumos Diversos</t>
  </si>
  <si>
    <t>Uniformes/Epis</t>
  </si>
  <si>
    <t>Total de Insumos diversos</t>
  </si>
  <si>
    <t>MÓDULO 4:   ENCARGOS SOCIAIS E TRABALHISTAS</t>
  </si>
  <si>
    <t>Submódulo 4.1 – Encargos previdenciários e FGTS:</t>
  </si>
  <si>
    <t>4.1</t>
  </si>
  <si>
    <t>Encargos previdenciários e FGTS</t>
  </si>
  <si>
    <t>%</t>
  </si>
  <si>
    <t>INSS</t>
  </si>
  <si>
    <t>Salário Educação</t>
  </si>
  <si>
    <t>SEBRAE</t>
  </si>
  <si>
    <t>SESI ou SESC</t>
  </si>
  <si>
    <t>SENAI ou SENAC</t>
  </si>
  <si>
    <t>INCRA</t>
  </si>
  <si>
    <t>FGTS</t>
  </si>
  <si>
    <t>TOTAL</t>
  </si>
  <si>
    <t>Submódulo 4.2 – 13º Salário e Adicional de Férias</t>
  </si>
  <si>
    <t>4.2</t>
  </si>
  <si>
    <t>13º Salário e Adicional de Férias</t>
  </si>
  <si>
    <t xml:space="preserve">13 º Salário </t>
  </si>
  <si>
    <t xml:space="preserve">Adicional de Férias </t>
  </si>
  <si>
    <t>Subtotal</t>
  </si>
  <si>
    <t>Incidência do Submódulo 4.1 sobre 13º Salário e Adicional de Férias</t>
  </si>
  <si>
    <t>Submódulo 4.3 - Afastamento Maternidade</t>
  </si>
  <si>
    <t>4.3</t>
  </si>
  <si>
    <t>Afastamento Maternidade:</t>
  </si>
  <si>
    <t xml:space="preserve">Afastamento maternidade </t>
  </si>
  <si>
    <t>Submódulo 4.4 -  Provisão para Rescisão</t>
  </si>
  <si>
    <t>4.4</t>
  </si>
  <si>
    <t>Provisão para Rescisão</t>
  </si>
  <si>
    <t xml:space="preserve">Aviso prévio indenizado </t>
  </si>
  <si>
    <t>Incidência do FGTS sobre aviso prévio indenizado</t>
  </si>
  <si>
    <t>C1</t>
  </si>
  <si>
    <t>FGTS nas rescisões sem justa causa (40%)</t>
  </si>
  <si>
    <t>C2</t>
  </si>
  <si>
    <t>Contribuição Social nas recisões sem justa causa (10%)</t>
  </si>
  <si>
    <t>Aviso prévio trabalhado  (pago somente no 1º ano de contrato)</t>
  </si>
  <si>
    <t>Incidência do submódulo 4.1 sobre aviso prévio trabalhado</t>
  </si>
  <si>
    <t>Submódulo  4.5  – Custo de Reposição do Profissional Ausente</t>
  </si>
  <si>
    <t>4.5</t>
  </si>
  <si>
    <t>Composição do Custo de Reposição do Profissional Ausente</t>
  </si>
  <si>
    <t>Férias</t>
  </si>
  <si>
    <t xml:space="preserve">Ausência por doença </t>
  </si>
  <si>
    <t>Licença Paternidade</t>
  </si>
  <si>
    <t xml:space="preserve">Ausências legais </t>
  </si>
  <si>
    <t>Ausência por Acidente de trabalho</t>
  </si>
  <si>
    <t>Incidência do submódulo 4.1 sobre o Custo de reposição</t>
  </si>
  <si>
    <t>Quadro - resumo – Módulo 4 - Encargos sociais e trabalhistas</t>
  </si>
  <si>
    <t>Módulo 4 - Encargos sociais e trabalhistas</t>
  </si>
  <si>
    <t>13 º salário + Adicional de férias</t>
  </si>
  <si>
    <t>Afastamento maternidade</t>
  </si>
  <si>
    <t>Custo de rescisão</t>
  </si>
  <si>
    <t>Custo de reposição do profissional ausente</t>
  </si>
  <si>
    <t>4.6</t>
  </si>
  <si>
    <t>SOMA DOS MÓDULOS 1, 2, 3 E 4</t>
  </si>
  <si>
    <t xml:space="preserve"> MÓDULO 5 - CUSTOS INDIRETOS, TRIBUTOS E LUCRO</t>
  </si>
  <si>
    <t>Custos Indiretos, Tributos e Lucro</t>
  </si>
  <si>
    <t>Custos Indiretos</t>
  </si>
  <si>
    <t>Lucro</t>
  </si>
  <si>
    <t>Tributos</t>
  </si>
  <si>
    <t>Base de cálculo dos tributos</t>
  </si>
  <si>
    <t>B1. Tributos Federais - PIS - COFINS</t>
  </si>
  <si>
    <t>B.2  Tributos Estaduais (especificar)</t>
  </si>
  <si>
    <t>B.3   Tributos Municipais - ISS</t>
  </si>
  <si>
    <t>B.4   Outros tributos (especificar)</t>
  </si>
  <si>
    <t>Total</t>
  </si>
  <si>
    <t>Anexo III – B - Quadro-resumo do Custo por Empregado</t>
  </si>
  <si>
    <t>Mão-de-obra vinculada à execução contratual (valor por empregado)</t>
  </si>
  <si>
    <t>(R$)</t>
  </si>
  <si>
    <t>Módulo 1 – Composição da Remuneração</t>
  </si>
  <si>
    <t>Módulo 2 – Benefícios Mensais e Diários</t>
  </si>
  <si>
    <t>Módulo 3 – Insumos Diversos (uniformes, materiais, equip e outros)</t>
  </si>
  <si>
    <t>Módulo 4 – Encargos Sociais e Trabalhistas</t>
  </si>
  <si>
    <t>Subtotal (A + B +C+ D)</t>
  </si>
  <si>
    <t>Módulo 5 – Custos indiretos, tributos e lucro</t>
  </si>
  <si>
    <t>Valor total por empregado</t>
  </si>
  <si>
    <t>Art. 22, Inc I, lei 8212/91</t>
  </si>
  <si>
    <t>Art 15, lei 9424/96; e decreto 3142/99</t>
  </si>
  <si>
    <t>Art. 8º, lei 8029/90 e lei 8154/90</t>
  </si>
  <si>
    <t>Art. 3º, lei 8036/90</t>
  </si>
  <si>
    <t>Decreto 2.318/86</t>
  </si>
  <si>
    <t>Lei 7787/89 e DL 1146/70</t>
  </si>
  <si>
    <t>Art. 15, lei 8030/90 e art 7º. III CF</t>
  </si>
  <si>
    <t>RATxFAP, Anexo V Decreto 3048/99 e Decreto 6957/09</t>
  </si>
  <si>
    <t>1/12*100%, Art 7º VIII, CF</t>
  </si>
  <si>
    <t>Art 7º, XVII, CF</t>
  </si>
  <si>
    <t>((remuneração+1/3)x(meses de licença/meses do ano)/mese do ano)x2% de incidência</t>
  </si>
  <si>
    <t>Lei 8036/90 e 9491/97: 8%(FGTS)x40%(Multa)x100%( estimando que todos demitidos ao final do contrato)</t>
  </si>
  <si>
    <t>Lei Complementar 110/01</t>
  </si>
  <si>
    <t>Art 7º, XXI, CF e 477, 487 e 491 CLT: 1sal/30(dias)*7(aviso previo)/12(meses)*100</t>
  </si>
  <si>
    <t>Não haverá</t>
  </si>
  <si>
    <t>Risco acidente do trabalho - RAT ajustado</t>
  </si>
  <si>
    <t>(soma dos módulos 1, 2, 3 e 4) x Custos Indiretos</t>
  </si>
  <si>
    <t>(soma dos módulos 1, 2, 3, 4 + custos indiretos) x lucro</t>
  </si>
  <si>
    <t xml:space="preserve">Seguro de vida, invalidez </t>
  </si>
  <si>
    <t>Plano de saúde</t>
  </si>
  <si>
    <t>Hora noturna Reduzida</t>
  </si>
  <si>
    <t>(((Sal+Per)/220*1,2ad noturno)-(Sal+Per)/220)*12h*30dias/2escala de trabalho</t>
  </si>
  <si>
    <t>Observar o que diz a CCT e TR</t>
  </si>
  <si>
    <t>Passagem*22-(6%saláriobase)</t>
  </si>
  <si>
    <t>Contrinuição Patronal</t>
  </si>
  <si>
    <t>Equipamentos</t>
  </si>
  <si>
    <t>Dias trabalhados</t>
  </si>
  <si>
    <t>%sal.base VT</t>
  </si>
  <si>
    <t>% VA</t>
  </si>
  <si>
    <t>%mães no ano</t>
  </si>
  <si>
    <t>% Demitidos Aviso Prévio Indenizado</t>
  </si>
  <si>
    <t>% Aviso Prévio Trabalhado</t>
  </si>
  <si>
    <t>PIS</t>
  </si>
  <si>
    <t>Cofins</t>
  </si>
  <si>
    <t>ISS</t>
  </si>
  <si>
    <t>Diária p/ Reposição</t>
  </si>
  <si>
    <t>diária*30/12</t>
  </si>
  <si>
    <t>Faltas no ano</t>
  </si>
  <si>
    <t>% Pais no Ano</t>
  </si>
  <si>
    <t>% Acidentes</t>
  </si>
  <si>
    <t>Art. XIX CF e 10§1º CLT: 5 faltas * diária *1%pais no ano</t>
  </si>
  <si>
    <t>dias de Férias no ano</t>
  </si>
  <si>
    <t>Nº Faltas legais ano</t>
  </si>
  <si>
    <t>% Ausências legais ano</t>
  </si>
  <si>
    <t>3 casamento + 2 nojo + 1 registro filho + 1 justiça</t>
  </si>
  <si>
    <t>3 casamento(5%) + 2 nojo(2%) + 1 registro do filho(2%) + 1 justiça(2%)</t>
  </si>
  <si>
    <t>Art.19 a 23 lei 8213/91: 15dias *diária *8% frequencia ao ano</t>
  </si>
  <si>
    <t>Incidência dos encargos previstos no Submódulo 4.1 sobre Afastamento maternidade</t>
  </si>
  <si>
    <t>(4*remuneração+1/3 sal13º+1/3férias*2%incidência*%submódulo4.1)+(remuneção*1/3*1/3*8%*2%incidencia/12)</t>
  </si>
  <si>
    <t>((módulo2-va-vt)*meses licença*2%incidencia)/12</t>
  </si>
  <si>
    <t>Incidência dos benefícios diários que continuam durante a licença maternidade</t>
  </si>
  <si>
    <t>Art 7º, XXI, CF e 477, 487 e 491 CLT: 1mês/12x5%(frequencia anual estimada)x1,5salarios+1/30*3/12</t>
  </si>
  <si>
    <t>Art. 59 e 64 lei 8213/91: 5 faltas * diária * probabilidade faltas ao ano 5/360</t>
  </si>
  <si>
    <t>% faltas ao ano</t>
  </si>
  <si>
    <t>Input de dados</t>
  </si>
  <si>
    <t>(1h*30dias*(sal+Per)/220*1,2adnoturno)/2</t>
  </si>
  <si>
    <t>Ver Aba Insumos Diversos se houver</t>
  </si>
  <si>
    <t>CAPA  - PLANILHA DE CUSTOS E FORMAÇÃO DE PREÇOS</t>
  </si>
  <si>
    <t xml:space="preserve">Mão de obra </t>
  </si>
  <si>
    <t>(Preencher apenas as células em amarelo)</t>
  </si>
  <si>
    <t>(Deverá ser elaborado um quadro para cada tipo de serviço
)</t>
  </si>
  <si>
    <t>Pregão Nº:</t>
  </si>
  <si>
    <t xml:space="preserve">Mão de obra vinculada à execução contratual </t>
  </si>
  <si>
    <t xml:space="preserve">Dados para composição dos custos referentes a mão de obra </t>
  </si>
  <si>
    <t>Data:</t>
  </si>
  <si>
    <t>às:</t>
  </si>
  <si>
    <t>horas</t>
  </si>
  <si>
    <t xml:space="preserve">Tipo de Serviço (mesmo serviço com características distintas) </t>
  </si>
  <si>
    <t xml:space="preserve">Classificação Brasileira de Ocupações (CBO) </t>
  </si>
  <si>
    <t>DISCRIMINAÇÃO DOS SERVIÇOS (DADOS REFERENTES À CONTRATAÇÃO)</t>
  </si>
  <si>
    <t xml:space="preserve">Salário Normativo da Categoria Profissional </t>
  </si>
  <si>
    <t xml:space="preserve">A </t>
  </si>
  <si>
    <t xml:space="preserve">Data de apresentação da proposta (dia/mês/ano): </t>
  </si>
  <si>
    <t xml:space="preserve">Categoria Profissional (vinculada à execução contratual) </t>
  </si>
  <si>
    <t xml:space="preserve">B </t>
  </si>
  <si>
    <t xml:space="preserve">Município/UF: </t>
  </si>
  <si>
    <t xml:space="preserve">C </t>
  </si>
  <si>
    <t xml:space="preserve">Ano do Acordo, Convenção ou Dissídio Coletivo: </t>
  </si>
  <si>
    <t>Data-Base da Categoria (dia/mês/ano)</t>
  </si>
  <si>
    <t xml:space="preserve">D </t>
  </si>
  <si>
    <t>Número de meses de execução contratual:</t>
  </si>
  <si>
    <t>Tipo de Serviço</t>
  </si>
  <si>
    <t>Unidade de Medida</t>
  </si>
  <si>
    <t>Quantidade total a contratar 
(Em função da unidade de medida)</t>
  </si>
  <si>
    <t xml:space="preserve">Tipo de Serviço (A) </t>
  </si>
  <si>
    <t xml:space="preserve">Valor Proposto por Empregado (B) </t>
  </si>
  <si>
    <t xml:space="preserve">Qtde. de Empregados por Posto (C) </t>
  </si>
  <si>
    <t xml:space="preserve">Valor Proposto por Posto 
(D) = (B x C) </t>
  </si>
  <si>
    <t xml:space="preserve">Qtde. de Postos (E) </t>
  </si>
  <si>
    <t xml:space="preserve">Valor Total do Serviço 
(F) = (D x E) </t>
  </si>
  <si>
    <t>I</t>
  </si>
  <si>
    <t>II</t>
  </si>
  <si>
    <t>Valor Mensal dos Serviços</t>
  </si>
  <si>
    <t>Item</t>
  </si>
  <si>
    <t>Custo Unitário</t>
  </si>
  <si>
    <t>Nº de Mudas por empregado</t>
  </si>
  <si>
    <t>Vida Útil (meses)</t>
  </si>
  <si>
    <t>Custo anual por empregado</t>
  </si>
  <si>
    <t>Custo mensal por empregado</t>
  </si>
  <si>
    <t>Camisa</t>
  </si>
  <si>
    <t>Sapato</t>
  </si>
  <si>
    <t>Cinto</t>
  </si>
  <si>
    <t>Meia</t>
  </si>
  <si>
    <t>Duração (meses)</t>
  </si>
  <si>
    <t>MATERIAIS</t>
  </si>
  <si>
    <t>Qde. mensal por empregado</t>
  </si>
  <si>
    <t>CUSTO TOTAL MENSAL</t>
  </si>
  <si>
    <t>Indicação dos sindicatos, acordos coletivos ou convenções coletivas</t>
  </si>
  <si>
    <t>Validade da Proposta:</t>
  </si>
  <si>
    <t>dias</t>
  </si>
  <si>
    <t>RAZÃO SOCIAL:</t>
  </si>
  <si>
    <t>ENDEREÇO:</t>
  </si>
  <si>
    <t>UF:</t>
  </si>
  <si>
    <t>TELEFONE:</t>
  </si>
  <si>
    <t>(   )</t>
  </si>
  <si>
    <t>EMAIL:</t>
  </si>
  <si>
    <t>Função</t>
  </si>
  <si>
    <t>Quantidade</t>
  </si>
  <si>
    <t>Material</t>
  </si>
  <si>
    <t>Especificação</t>
  </si>
  <si>
    <t>IDENTIFICAÇÃO</t>
  </si>
  <si>
    <t>ITEM/GRUPO</t>
  </si>
  <si>
    <t>DESCRIÇÃO COMPLETA</t>
  </si>
  <si>
    <r>
      <rPr>
        <b/>
        <sz val="9"/>
        <rFont val="Tahoma"/>
        <family val="2"/>
      </rPr>
      <t>QUANTIDADE
/ MESES</t>
    </r>
  </si>
  <si>
    <t>PREÇOS UNITÁRIOS</t>
  </si>
  <si>
    <t>PREÇOS MENSAIS</t>
  </si>
  <si>
    <t>PREÇOS GLOBAIS</t>
  </si>
  <si>
    <t>CUSTOS DECORRENTES DA EXECUÇÃO CONTRATUAL</t>
  </si>
  <si>
    <t>INDICAÇÃO DOS SINDICATOS, ACORDOS, CONVENÇÕES OU DISSÍDIOS COLETIVOS DE TRABALHO</t>
  </si>
  <si>
    <t>PRODUTIVIDADE ADOTADA</t>
  </si>
  <si>
    <t>QUANTIDADE DE PESSOAL</t>
  </si>
  <si>
    <t>RELAÇÃO DOS MATERIAIS E EQUIPAMENTOS</t>
  </si>
  <si>
    <t>OUTRAS INFORMAÇÕES IMPORTANTES</t>
  </si>
  <si>
    <t>PROPOSTA</t>
  </si>
  <si>
    <t xml:space="preserve">CEP: </t>
  </si>
  <si>
    <t>% Plano de Saúde</t>
  </si>
  <si>
    <t>Outros (Plano Odontológico)</t>
  </si>
  <si>
    <t>2/semestre</t>
  </si>
  <si>
    <t>Contribuição Assistencial Laboral</t>
  </si>
  <si>
    <t>Calça Jeans</t>
  </si>
  <si>
    <t>Meia de algodão</t>
  </si>
  <si>
    <t>Terno</t>
  </si>
  <si>
    <t>Gravata</t>
  </si>
  <si>
    <t>Camisa de algodão</t>
  </si>
  <si>
    <t>Smartphone e plano</t>
  </si>
  <si>
    <t>Smartphone + Plano</t>
  </si>
  <si>
    <t>Motorista Comercial</t>
  </si>
  <si>
    <t>Motorista Executivo</t>
  </si>
  <si>
    <t>UNIFORME - MOTORISTA COMERCIAL</t>
  </si>
  <si>
    <t>UNIFORME - MOTORISTA EXECUTIVO</t>
  </si>
  <si>
    <t>Posto de trabalho</t>
  </si>
  <si>
    <t>XX/2017</t>
  </si>
  <si>
    <t>Posto</t>
  </si>
  <si>
    <t>IDENTIFICAÇÃO DO SERVIÇO - MÃO DE OBRA</t>
  </si>
  <si>
    <t>Qte de horas extras</t>
  </si>
  <si>
    <t>((Sal/200 horas do mês)*1,5 valor da hora extra)*44h do mês</t>
  </si>
  <si>
    <t>Outros (combustível, manutenção, lavagem, seguro, DPVAT, IPVA, licenciamento, etc.)</t>
  </si>
  <si>
    <t>QUADRO RESUMO DO VALOR MENSAL DOS SERVIÇOS</t>
  </si>
  <si>
    <t>Veículo executivo</t>
  </si>
  <si>
    <t>Veículo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</si>
</sst>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&quot;R$ &quot;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1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theme="1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b/>
      <sz val="8"/>
      <color rgb="FFFF0000"/>
      <name val="Tahoma"/>
      <family val="2"/>
    </font>
    <font>
      <b/>
      <sz val="9"/>
      <color theme="1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rgb="FF000000"/>
      <name val="Tahoma"/>
      <family val="2"/>
    </font>
    <font>
      <sz val="8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05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5" borderId="20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8" fontId="6" fillId="0" borderId="1" xfId="0" applyNumberFormat="1" applyFont="1" applyBorder="1" applyAlignment="1">
      <alignment vertical="center" wrapText="1"/>
    </xf>
    <xf numFmtId="8" fontId="10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9" fontId="8" fillId="3" borderId="10" xfId="6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 wrapText="1"/>
    </xf>
    <xf numFmtId="9" fontId="8" fillId="3" borderId="12" xfId="6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0" fontId="4" fillId="0" borderId="1" xfId="6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vertical="center"/>
    </xf>
    <xf numFmtId="10" fontId="4" fillId="0" borderId="1" xfId="6" applyNumberFormat="1" applyFont="1" applyFill="1" applyBorder="1" applyAlignment="1">
      <alignment horizontal="center" vertical="center"/>
    </xf>
    <xf numFmtId="10" fontId="5" fillId="0" borderId="1" xfId="6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vertical="center"/>
    </xf>
    <xf numFmtId="10" fontId="4" fillId="0" borderId="1" xfId="0" applyNumberFormat="1" applyFont="1" applyFill="1" applyBorder="1" applyAlignment="1">
      <alignment horizontal="center" vertical="center"/>
    </xf>
    <xf numFmtId="9" fontId="8" fillId="0" borderId="0" xfId="6" applyFont="1" applyAlignment="1">
      <alignment vertical="center" wrapText="1"/>
    </xf>
    <xf numFmtId="0" fontId="4" fillId="0" borderId="0" xfId="0" applyFont="1" applyFill="1" applyAlignment="1">
      <alignment vertical="center"/>
    </xf>
    <xf numFmtId="1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66" fontId="4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10" fontId="8" fillId="0" borderId="0" xfId="6" applyNumberFormat="1" applyFont="1" applyAlignment="1">
      <alignment vertical="center"/>
    </xf>
    <xf numFmtId="10" fontId="8" fillId="0" borderId="0" xfId="6" applyNumberFormat="1" applyFont="1" applyAlignment="1">
      <alignment vertical="center" wrapText="1"/>
    </xf>
    <xf numFmtId="2" fontId="8" fillId="0" borderId="0" xfId="6" applyNumberFormat="1" applyFont="1" applyAlignment="1">
      <alignment vertical="center"/>
    </xf>
    <xf numFmtId="9" fontId="8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vertical="center" wrapText="1"/>
    </xf>
    <xf numFmtId="43" fontId="4" fillId="0" borderId="1" xfId="0" applyNumberFormat="1" applyFont="1" applyBorder="1" applyAlignment="1">
      <alignment vertical="center"/>
    </xf>
    <xf numFmtId="43" fontId="4" fillId="0" borderId="1" xfId="5" applyFont="1" applyBorder="1" applyAlignment="1">
      <alignment vertical="center"/>
    </xf>
    <xf numFmtId="166" fontId="5" fillId="0" borderId="1" xfId="5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4" fontId="6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4" fontId="10" fillId="6" borderId="4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8" fontId="6" fillId="0" borderId="1" xfId="0" applyNumberFormat="1" applyFont="1" applyFill="1" applyBorder="1" applyAlignment="1">
      <alignment vertical="center" wrapText="1"/>
    </xf>
    <xf numFmtId="44" fontId="6" fillId="0" borderId="20" xfId="0" applyNumberFormat="1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19" xfId="0" applyFont="1" applyFill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4" fontId="13" fillId="0" borderId="1" xfId="7" applyFont="1" applyFill="1" applyBorder="1" applyAlignment="1">
      <alignment horizontal="justify" vertical="center" wrapText="1"/>
    </xf>
    <xf numFmtId="44" fontId="4" fillId="0" borderId="1" xfId="7" applyFont="1" applyFill="1" applyBorder="1" applyAlignment="1">
      <alignment horizontal="justify" vertical="center" wrapText="1"/>
    </xf>
    <xf numFmtId="0" fontId="14" fillId="0" borderId="0" xfId="0" applyFont="1" applyAlignment="1">
      <alignment vertical="center"/>
    </xf>
    <xf numFmtId="0" fontId="8" fillId="3" borderId="14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8" fontId="6" fillId="0" borderId="0" xfId="0" applyNumberFormat="1" applyFont="1" applyAlignment="1">
      <alignment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6" fillId="4" borderId="17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 wrapText="1"/>
    </xf>
    <xf numFmtId="166" fontId="4" fillId="0" borderId="1" xfId="6" applyNumberFormat="1" applyFont="1" applyFill="1" applyBorder="1" applyAlignment="1">
      <alignment horizontal="center" vertical="center"/>
    </xf>
    <xf numFmtId="166" fontId="4" fillId="0" borderId="2" xfId="6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4" fillId="0" borderId="2" xfId="0" applyNumberFormat="1" applyFont="1" applyFill="1" applyBorder="1" applyAlignment="1">
      <alignment horizontal="center" vertical="center"/>
    </xf>
    <xf numFmtId="166" fontId="4" fillId="0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8">
    <cellStyle name="Moeda" xfId="7" builtinId="4"/>
    <cellStyle name="Moeda 2" xfId="2"/>
    <cellStyle name="Normal" xfId="0" builtinId="0"/>
    <cellStyle name="Normal 2" xfId="1"/>
    <cellStyle name="Porcentagem" xfId="6" builtinId="5"/>
    <cellStyle name="Porcentagem 2" xfId="3"/>
    <cellStyle name="Vírgula" xfId="5" builtinId="3"/>
    <cellStyle name="Vírgula 2" xfId="4"/>
  </cellStyles>
  <dxfs count="0"/>
  <tableStyles count="0" defaultTableStyle="TableStyleMedium2" defaultPivotStyle="PivotStyleLight16"/>
  <colors>
    <mruColors>
      <color rgb="FFFFFFCC"/>
      <color rgb="FFCCFFCC"/>
      <color rgb="FFDD4F0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legislacaoDetalhe.asp?ctdCod=411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legislacaoDetalhe.asp?ctdCod=411_1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legislacaoDetalhe.asp?ctdCod=411_1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legislacaoDetalhe.asp?ctdCod=411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zoomScale="115" zoomScaleNormal="115" zoomScaleSheetLayoutView="130" workbookViewId="0">
      <selection activeCell="I3" sqref="I3"/>
    </sheetView>
  </sheetViews>
  <sheetFormatPr defaultRowHeight="11.25" x14ac:dyDescent="0.25"/>
  <cols>
    <col min="1" max="1" width="13.28515625" style="21" customWidth="1"/>
    <col min="2" max="2" width="27.7109375" style="21" customWidth="1"/>
    <col min="3" max="5" width="15.28515625" style="21" customWidth="1"/>
    <col min="6" max="6" width="17.5703125" style="21" customWidth="1"/>
    <col min="7" max="16384" width="9.140625" style="21"/>
  </cols>
  <sheetData>
    <row r="1" spans="1:7" ht="18" customHeight="1" thickBot="1" x14ac:dyDescent="0.3">
      <c r="A1" s="122" t="s">
        <v>235</v>
      </c>
      <c r="B1" s="123"/>
      <c r="C1" s="123"/>
      <c r="D1" s="123"/>
      <c r="E1" s="123"/>
      <c r="F1" s="124"/>
    </row>
    <row r="2" spans="1:7" ht="18" customHeight="1" x14ac:dyDescent="0.25">
      <c r="A2" s="125" t="s">
        <v>161</v>
      </c>
      <c r="B2" s="125"/>
      <c r="C2" s="125"/>
      <c r="D2" s="125"/>
      <c r="E2" s="125"/>
      <c r="F2" s="125"/>
      <c r="G2" s="4"/>
    </row>
    <row r="3" spans="1:7" ht="18" customHeight="1" x14ac:dyDescent="0.25"/>
    <row r="4" spans="1:7" ht="18" customHeight="1" x14ac:dyDescent="0.25">
      <c r="A4" s="119" t="s">
        <v>222</v>
      </c>
      <c r="B4" s="120"/>
      <c r="C4" s="120"/>
      <c r="D4" s="120"/>
      <c r="E4" s="120"/>
      <c r="F4" s="121"/>
    </row>
    <row r="5" spans="1:7" ht="18" customHeight="1" x14ac:dyDescent="0.25">
      <c r="A5" s="20" t="s">
        <v>212</v>
      </c>
      <c r="B5" s="126"/>
      <c r="C5" s="127"/>
      <c r="D5" s="127"/>
      <c r="E5" s="127"/>
      <c r="F5" s="128"/>
    </row>
    <row r="6" spans="1:7" ht="18" customHeight="1" x14ac:dyDescent="0.25">
      <c r="A6" s="20" t="s">
        <v>213</v>
      </c>
      <c r="B6" s="126"/>
      <c r="C6" s="127"/>
      <c r="D6" s="128"/>
      <c r="E6" s="26" t="s">
        <v>214</v>
      </c>
      <c r="F6" s="26" t="s">
        <v>236</v>
      </c>
    </row>
    <row r="7" spans="1:7" ht="18" customHeight="1" x14ac:dyDescent="0.25">
      <c r="A7" s="20" t="s">
        <v>215</v>
      </c>
      <c r="B7" s="129" t="s">
        <v>216</v>
      </c>
      <c r="C7" s="130"/>
      <c r="D7" s="130"/>
      <c r="E7" s="130"/>
      <c r="F7" s="131"/>
    </row>
    <row r="8" spans="1:7" ht="18" customHeight="1" x14ac:dyDescent="0.25">
      <c r="A8" s="20" t="s">
        <v>217</v>
      </c>
      <c r="B8" s="126"/>
      <c r="C8" s="127"/>
      <c r="D8" s="127"/>
      <c r="E8" s="127"/>
      <c r="F8" s="128"/>
    </row>
    <row r="9" spans="1:7" ht="18" customHeight="1" x14ac:dyDescent="0.25"/>
    <row r="10" spans="1:7" ht="18" customHeight="1" x14ac:dyDescent="0.25"/>
    <row r="11" spans="1:7" ht="23.25" customHeight="1" x14ac:dyDescent="0.25">
      <c r="A11" s="22" t="s">
        <v>223</v>
      </c>
      <c r="B11" s="22" t="s">
        <v>224</v>
      </c>
      <c r="C11" s="23" t="s">
        <v>225</v>
      </c>
      <c r="D11" s="22" t="s">
        <v>226</v>
      </c>
      <c r="E11" s="22" t="s">
        <v>227</v>
      </c>
      <c r="F11" s="22" t="s">
        <v>228</v>
      </c>
    </row>
    <row r="12" spans="1:7" ht="18" customHeight="1" x14ac:dyDescent="0.25">
      <c r="A12" s="101">
        <v>1</v>
      </c>
      <c r="B12" s="102" t="s">
        <v>260</v>
      </c>
      <c r="C12" s="101">
        <v>6</v>
      </c>
      <c r="D12" s="108">
        <f>'Motorista Executivo'!D126</f>
        <v>12260.126066020293</v>
      </c>
      <c r="E12" s="100">
        <f t="shared" ref="E12:E13" si="0">C12*D12</f>
        <v>73560.756396121753</v>
      </c>
      <c r="F12" s="100">
        <f t="shared" ref="F12:F13" si="1">E12*12</f>
        <v>882729.07675346103</v>
      </c>
    </row>
    <row r="13" spans="1:7" ht="18" customHeight="1" x14ac:dyDescent="0.25">
      <c r="A13" s="101">
        <v>2</v>
      </c>
      <c r="B13" s="102" t="s">
        <v>261</v>
      </c>
      <c r="C13" s="101">
        <v>1</v>
      </c>
      <c r="D13" s="109">
        <f>'Motorista Comercial'!D126</f>
        <v>6977.176713398595</v>
      </c>
      <c r="E13" s="100">
        <f t="shared" si="0"/>
        <v>6977.176713398595</v>
      </c>
      <c r="F13" s="100">
        <f t="shared" si="1"/>
        <v>83726.120560783136</v>
      </c>
    </row>
    <row r="14" spans="1:7" ht="18" customHeight="1" x14ac:dyDescent="0.25">
      <c r="F14" s="104">
        <f>SUM(F12:F13)</f>
        <v>966455.19731424423</v>
      </c>
    </row>
    <row r="15" spans="1:7" ht="18" customHeight="1" x14ac:dyDescent="0.25"/>
    <row r="16" spans="1:7" ht="18" customHeight="1" x14ac:dyDescent="0.25">
      <c r="A16" s="143" t="s">
        <v>229</v>
      </c>
      <c r="B16" s="144"/>
      <c r="C16" s="144"/>
      <c r="D16" s="144"/>
      <c r="E16" s="144"/>
      <c r="F16" s="145"/>
    </row>
    <row r="17" spans="1:6" ht="18" customHeight="1" x14ac:dyDescent="0.25">
      <c r="A17" s="116"/>
      <c r="B17" s="117"/>
      <c r="C17" s="117"/>
      <c r="D17" s="117"/>
      <c r="E17" s="117"/>
      <c r="F17" s="118"/>
    </row>
    <row r="18" spans="1:6" ht="18" customHeight="1" x14ac:dyDescent="0.25"/>
    <row r="19" spans="1:6" ht="18" customHeight="1" x14ac:dyDescent="0.25"/>
    <row r="20" spans="1:6" ht="18" customHeight="1" x14ac:dyDescent="0.25">
      <c r="A20" s="146" t="s">
        <v>230</v>
      </c>
      <c r="B20" s="147"/>
      <c r="C20" s="147"/>
      <c r="D20" s="147"/>
      <c r="E20" s="147"/>
      <c r="F20" s="148"/>
    </row>
    <row r="21" spans="1:6" ht="18" customHeight="1" x14ac:dyDescent="0.25">
      <c r="A21" s="116"/>
      <c r="B21" s="117"/>
      <c r="C21" s="117"/>
      <c r="D21" s="117"/>
      <c r="E21" s="117"/>
      <c r="F21" s="118"/>
    </row>
    <row r="22" spans="1:6" ht="18" customHeight="1" x14ac:dyDescent="0.25"/>
    <row r="23" spans="1:6" ht="18" customHeight="1" x14ac:dyDescent="0.25"/>
    <row r="24" spans="1:6" ht="18" customHeight="1" x14ac:dyDescent="0.25">
      <c r="A24" s="133" t="s">
        <v>231</v>
      </c>
      <c r="B24" s="134"/>
      <c r="C24" s="134"/>
      <c r="D24" s="134"/>
      <c r="E24" s="134"/>
      <c r="F24" s="135"/>
    </row>
    <row r="25" spans="1:6" ht="18" customHeight="1" x14ac:dyDescent="0.25">
      <c r="A25" s="136" t="s">
        <v>252</v>
      </c>
      <c r="B25" s="137"/>
      <c r="C25" s="137"/>
      <c r="D25" s="137"/>
      <c r="E25" s="137"/>
      <c r="F25" s="138"/>
    </row>
    <row r="26" spans="1:6" ht="18" customHeight="1" x14ac:dyDescent="0.25"/>
    <row r="27" spans="1:6" ht="18" customHeight="1" x14ac:dyDescent="0.25"/>
    <row r="28" spans="1:6" ht="18" customHeight="1" x14ac:dyDescent="0.25">
      <c r="A28" s="119" t="s">
        <v>232</v>
      </c>
      <c r="B28" s="120"/>
      <c r="C28" s="121"/>
    </row>
    <row r="29" spans="1:6" ht="18" customHeight="1" x14ac:dyDescent="0.25">
      <c r="A29" s="139" t="s">
        <v>218</v>
      </c>
      <c r="B29" s="140"/>
      <c r="C29" s="27" t="s">
        <v>219</v>
      </c>
    </row>
    <row r="30" spans="1:6" ht="18" customHeight="1" x14ac:dyDescent="0.25">
      <c r="A30" s="141" t="s">
        <v>249</v>
      </c>
      <c r="B30" s="142"/>
      <c r="C30" s="103">
        <v>6</v>
      </c>
    </row>
    <row r="31" spans="1:6" ht="18" customHeight="1" x14ac:dyDescent="0.25">
      <c r="A31" s="141" t="s">
        <v>248</v>
      </c>
      <c r="B31" s="142" t="s">
        <v>248</v>
      </c>
      <c r="C31" s="103">
        <v>1</v>
      </c>
    </row>
    <row r="32" spans="1:6" ht="18" customHeight="1" x14ac:dyDescent="0.25"/>
    <row r="33" spans="1:6" ht="18" customHeight="1" x14ac:dyDescent="0.25"/>
    <row r="34" spans="1:6" ht="18" customHeight="1" x14ac:dyDescent="0.25">
      <c r="A34" s="132" t="s">
        <v>233</v>
      </c>
      <c r="B34" s="132"/>
      <c r="C34" s="132"/>
      <c r="D34" s="132"/>
      <c r="E34" s="132"/>
      <c r="F34" s="132"/>
    </row>
    <row r="35" spans="1:6" ht="18" customHeight="1" x14ac:dyDescent="0.25">
      <c r="A35" s="149" t="s">
        <v>220</v>
      </c>
      <c r="B35" s="149"/>
      <c r="C35" s="25" t="s">
        <v>219</v>
      </c>
      <c r="D35" s="149" t="s">
        <v>221</v>
      </c>
      <c r="E35" s="149"/>
      <c r="F35" s="149"/>
    </row>
    <row r="36" spans="1:6" ht="18" customHeight="1" x14ac:dyDescent="0.25">
      <c r="A36" s="136" t="s">
        <v>247</v>
      </c>
      <c r="B36" s="138"/>
      <c r="C36" s="98">
        <v>2</v>
      </c>
      <c r="D36" s="150"/>
      <c r="E36" s="150"/>
      <c r="F36" s="150"/>
    </row>
    <row r="37" spans="1:6" ht="18" customHeight="1" x14ac:dyDescent="0.25"/>
    <row r="38" spans="1:6" ht="18" customHeight="1" x14ac:dyDescent="0.25"/>
    <row r="39" spans="1:6" ht="18" customHeight="1" x14ac:dyDescent="0.25">
      <c r="A39" s="119" t="s">
        <v>234</v>
      </c>
      <c r="B39" s="120"/>
      <c r="C39" s="120"/>
      <c r="D39" s="120"/>
      <c r="E39" s="120"/>
      <c r="F39" s="121"/>
    </row>
    <row r="40" spans="1:6" ht="18" customHeight="1" x14ac:dyDescent="0.25">
      <c r="A40" s="116"/>
      <c r="B40" s="117"/>
      <c r="C40" s="117"/>
      <c r="D40" s="117"/>
      <c r="E40" s="117"/>
      <c r="F40" s="118"/>
    </row>
    <row r="41" spans="1:6" ht="18" customHeight="1" x14ac:dyDescent="0.25"/>
    <row r="42" spans="1:6" ht="18" customHeight="1" x14ac:dyDescent="0.25"/>
    <row r="43" spans="1:6" ht="18" customHeight="1" x14ac:dyDescent="0.25"/>
    <row r="44" spans="1:6" ht="18" customHeight="1" x14ac:dyDescent="0.25"/>
    <row r="45" spans="1:6" ht="18" customHeight="1" x14ac:dyDescent="0.25"/>
    <row r="46" spans="1:6" ht="12.95" customHeight="1" x14ac:dyDescent="0.25"/>
    <row r="47" spans="1:6" ht="12.95" customHeight="1" x14ac:dyDescent="0.25"/>
    <row r="48" spans="1:6" ht="12.95" customHeight="1" x14ac:dyDescent="0.25"/>
    <row r="49" ht="12.95" customHeight="1" x14ac:dyDescent="0.25"/>
    <row r="50" ht="12.95" customHeight="1" x14ac:dyDescent="0.25"/>
    <row r="51" ht="12.95" customHeight="1" x14ac:dyDescent="0.25"/>
    <row r="52" ht="12.95" customHeight="1" x14ac:dyDescent="0.25"/>
    <row r="53" ht="12.95" customHeight="1" x14ac:dyDescent="0.25"/>
    <row r="54" ht="12.95" customHeight="1" x14ac:dyDescent="0.25"/>
    <row r="55" ht="12.95" customHeight="1" x14ac:dyDescent="0.25"/>
  </sheetData>
  <mergeCells count="24">
    <mergeCell ref="B6:D6"/>
    <mergeCell ref="A16:F16"/>
    <mergeCell ref="A20:F20"/>
    <mergeCell ref="A35:B35"/>
    <mergeCell ref="A36:B36"/>
    <mergeCell ref="D35:F35"/>
    <mergeCell ref="D36:F36"/>
    <mergeCell ref="A30:B30"/>
    <mergeCell ref="A40:F40"/>
    <mergeCell ref="A39:F39"/>
    <mergeCell ref="A1:F1"/>
    <mergeCell ref="A2:F2"/>
    <mergeCell ref="B8:F8"/>
    <mergeCell ref="B7:F7"/>
    <mergeCell ref="A34:F34"/>
    <mergeCell ref="A24:F24"/>
    <mergeCell ref="A28:C28"/>
    <mergeCell ref="A17:F17"/>
    <mergeCell ref="A21:F21"/>
    <mergeCell ref="A25:F25"/>
    <mergeCell ref="A29:B29"/>
    <mergeCell ref="A31:B31"/>
    <mergeCell ref="A4:F4"/>
    <mergeCell ref="B5:F5"/>
  </mergeCells>
  <printOptions horizontalCentered="1"/>
  <pageMargins left="0.9055118110236221" right="0.51181102362204722" top="0.78740157480314965" bottom="0.78740157480314965" header="0.31496062992125984" footer="0.31496062992125984"/>
  <pageSetup paperSize="9" scale="84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"/>
  <sheetViews>
    <sheetView zoomScale="115" zoomScaleNormal="115" workbookViewId="0">
      <selection activeCell="H7" sqref="H7"/>
    </sheetView>
  </sheetViews>
  <sheetFormatPr defaultRowHeight="11.25" x14ac:dyDescent="0.25"/>
  <cols>
    <col min="1" max="1" width="5.7109375" style="4" customWidth="1"/>
    <col min="2" max="2" width="10.5703125" style="4" customWidth="1"/>
    <col min="3" max="3" width="10.7109375" style="4" bestFit="1" customWidth="1"/>
    <col min="4" max="7" width="9.140625" style="4"/>
    <col min="8" max="8" width="19.5703125" style="4" customWidth="1"/>
    <col min="9" max="9" width="5.7109375" style="5" customWidth="1"/>
    <col min="10" max="10" width="5.7109375" style="4" customWidth="1"/>
    <col min="11" max="17" width="9.140625" style="4"/>
    <col min="18" max="18" width="5.7109375" style="4" customWidth="1"/>
    <col min="19" max="16384" width="9.140625" style="4"/>
  </cols>
  <sheetData>
    <row r="1" spans="2:17" ht="20.100000000000001" customHeight="1" x14ac:dyDescent="0.25"/>
    <row r="2" spans="2:17" ht="20.100000000000001" customHeight="1" thickBot="1" x14ac:dyDescent="0.3"/>
    <row r="3" spans="2:17" ht="20.100000000000001" customHeight="1" thickBot="1" x14ac:dyDescent="0.3">
      <c r="B3" s="122" t="s">
        <v>159</v>
      </c>
      <c r="C3" s="123"/>
      <c r="D3" s="123"/>
      <c r="E3" s="123"/>
      <c r="F3" s="123"/>
      <c r="G3" s="123"/>
      <c r="H3" s="124"/>
      <c r="I3" s="6"/>
      <c r="K3" s="7" t="s">
        <v>160</v>
      </c>
    </row>
    <row r="4" spans="2:17" ht="20.100000000000001" customHeight="1" x14ac:dyDescent="0.25">
      <c r="B4" s="151" t="s">
        <v>161</v>
      </c>
      <c r="C4" s="151"/>
      <c r="D4" s="151"/>
      <c r="E4" s="151"/>
      <c r="F4" s="151"/>
      <c r="G4" s="151"/>
      <c r="H4" s="151"/>
      <c r="I4" s="8"/>
      <c r="K4" s="24" t="s">
        <v>162</v>
      </c>
    </row>
    <row r="5" spans="2:17" ht="20.100000000000001" customHeight="1" x14ac:dyDescent="0.25">
      <c r="K5" s="7"/>
    </row>
    <row r="6" spans="2:17" ht="20.100000000000001" customHeight="1" x14ac:dyDescent="0.25">
      <c r="B6" s="9" t="s">
        <v>163</v>
      </c>
      <c r="C6" s="10" t="s">
        <v>253</v>
      </c>
      <c r="K6" s="7" t="s">
        <v>164</v>
      </c>
    </row>
    <row r="7" spans="2:17" ht="20.100000000000001" customHeight="1" x14ac:dyDescent="0.25"/>
    <row r="8" spans="2:17" ht="20.100000000000001" customHeight="1" x14ac:dyDescent="0.25">
      <c r="B8" s="9" t="s">
        <v>166</v>
      </c>
      <c r="C8" s="10"/>
      <c r="D8" s="11" t="s">
        <v>167</v>
      </c>
      <c r="E8" s="12"/>
      <c r="F8" s="9" t="s">
        <v>168</v>
      </c>
      <c r="K8" s="152" t="s">
        <v>165</v>
      </c>
      <c r="L8" s="153"/>
      <c r="M8" s="153"/>
      <c r="N8" s="153"/>
      <c r="O8" s="153"/>
      <c r="P8" s="153"/>
      <c r="Q8" s="154"/>
    </row>
    <row r="9" spans="2:17" ht="20.100000000000001" customHeight="1" x14ac:dyDescent="0.25">
      <c r="K9" s="155">
        <v>1</v>
      </c>
      <c r="L9" s="157" t="s">
        <v>169</v>
      </c>
      <c r="M9" s="158"/>
      <c r="N9" s="158"/>
      <c r="O9" s="158"/>
      <c r="P9" s="158"/>
      <c r="Q9" s="159"/>
    </row>
    <row r="10" spans="2:17" ht="20.100000000000001" customHeight="1" x14ac:dyDescent="0.25">
      <c r="B10" s="13" t="s">
        <v>210</v>
      </c>
      <c r="C10" s="14"/>
      <c r="D10" s="10"/>
      <c r="E10" s="4" t="s">
        <v>211</v>
      </c>
      <c r="K10" s="156"/>
      <c r="L10" s="160"/>
      <c r="M10" s="161"/>
      <c r="N10" s="161"/>
      <c r="O10" s="161"/>
      <c r="P10" s="161"/>
      <c r="Q10" s="162"/>
    </row>
    <row r="11" spans="2:17" ht="20.100000000000001" customHeight="1" x14ac:dyDescent="0.25">
      <c r="K11" s="155">
        <v>2</v>
      </c>
      <c r="L11" s="157" t="s">
        <v>170</v>
      </c>
      <c r="M11" s="158"/>
      <c r="N11" s="158"/>
      <c r="O11" s="158"/>
      <c r="P11" s="158"/>
      <c r="Q11" s="159"/>
    </row>
    <row r="12" spans="2:17" ht="20.100000000000001" customHeight="1" x14ac:dyDescent="0.25">
      <c r="K12" s="156"/>
      <c r="L12" s="160"/>
      <c r="M12" s="161"/>
      <c r="N12" s="161"/>
      <c r="O12" s="161"/>
      <c r="P12" s="161"/>
      <c r="Q12" s="162"/>
    </row>
    <row r="13" spans="2:17" ht="20.100000000000001" customHeight="1" thickBot="1" x14ac:dyDescent="0.3">
      <c r="I13" s="6"/>
      <c r="K13" s="155">
        <v>3</v>
      </c>
      <c r="L13" s="157" t="s">
        <v>172</v>
      </c>
      <c r="M13" s="158"/>
      <c r="N13" s="158"/>
      <c r="O13" s="158"/>
      <c r="P13" s="158"/>
      <c r="Q13" s="159"/>
    </row>
    <row r="14" spans="2:17" ht="20.100000000000001" customHeight="1" thickBot="1" x14ac:dyDescent="0.3">
      <c r="B14" s="163" t="s">
        <v>171</v>
      </c>
      <c r="C14" s="164"/>
      <c r="D14" s="164"/>
      <c r="E14" s="164"/>
      <c r="F14" s="164"/>
      <c r="G14" s="164"/>
      <c r="H14" s="165"/>
      <c r="K14" s="156"/>
      <c r="L14" s="160"/>
      <c r="M14" s="161"/>
      <c r="N14" s="161"/>
      <c r="O14" s="161"/>
      <c r="P14" s="161"/>
      <c r="Q14" s="162"/>
    </row>
    <row r="15" spans="2:17" ht="20.100000000000001" customHeight="1" x14ac:dyDescent="0.25">
      <c r="I15" s="16"/>
      <c r="K15" s="167">
        <v>4</v>
      </c>
      <c r="L15" s="168" t="s">
        <v>175</v>
      </c>
      <c r="M15" s="168"/>
      <c r="N15" s="168"/>
      <c r="O15" s="168"/>
      <c r="P15" s="168"/>
      <c r="Q15" s="168"/>
    </row>
    <row r="16" spans="2:17" ht="20.100000000000001" customHeight="1" x14ac:dyDescent="0.25">
      <c r="B16" s="15" t="s">
        <v>173</v>
      </c>
      <c r="C16" s="166" t="s">
        <v>174</v>
      </c>
      <c r="D16" s="166"/>
      <c r="E16" s="166"/>
      <c r="F16" s="166"/>
      <c r="G16" s="166"/>
      <c r="H16" s="94"/>
      <c r="I16" s="16"/>
      <c r="K16" s="167"/>
      <c r="L16" s="169"/>
      <c r="M16" s="169"/>
      <c r="N16" s="169"/>
      <c r="O16" s="169"/>
      <c r="P16" s="169"/>
      <c r="Q16" s="169"/>
    </row>
    <row r="17" spans="2:17" ht="20.100000000000001" customHeight="1" x14ac:dyDescent="0.25">
      <c r="B17" s="15" t="s">
        <v>176</v>
      </c>
      <c r="C17" s="166" t="s">
        <v>177</v>
      </c>
      <c r="D17" s="166"/>
      <c r="E17" s="166"/>
      <c r="F17" s="166"/>
      <c r="G17" s="166"/>
      <c r="H17" s="94"/>
      <c r="I17" s="16"/>
      <c r="K17" s="167">
        <v>5</v>
      </c>
      <c r="L17" s="168" t="s">
        <v>180</v>
      </c>
      <c r="M17" s="168"/>
      <c r="N17" s="168"/>
      <c r="O17" s="168"/>
      <c r="P17" s="168"/>
      <c r="Q17" s="168"/>
    </row>
    <row r="18" spans="2:17" ht="20.100000000000001" customHeight="1" x14ac:dyDescent="0.25">
      <c r="B18" s="15" t="s">
        <v>178</v>
      </c>
      <c r="C18" s="166" t="s">
        <v>179</v>
      </c>
      <c r="D18" s="166"/>
      <c r="E18" s="166"/>
      <c r="F18" s="166"/>
      <c r="G18" s="166"/>
      <c r="H18" s="94"/>
      <c r="I18" s="16"/>
      <c r="K18" s="167"/>
      <c r="L18" s="169"/>
      <c r="M18" s="169"/>
      <c r="N18" s="169"/>
      <c r="O18" s="169"/>
      <c r="P18" s="169"/>
      <c r="Q18" s="169"/>
    </row>
    <row r="19" spans="2:17" ht="20.100000000000001" customHeight="1" x14ac:dyDescent="0.25">
      <c r="B19" s="15" t="s">
        <v>181</v>
      </c>
      <c r="C19" s="166" t="s">
        <v>182</v>
      </c>
      <c r="D19" s="166"/>
      <c r="E19" s="166"/>
      <c r="F19" s="166"/>
      <c r="G19" s="166"/>
      <c r="H19" s="105">
        <v>12</v>
      </c>
      <c r="K19" s="171">
        <v>6</v>
      </c>
      <c r="L19" s="172" t="s">
        <v>209</v>
      </c>
      <c r="M19" s="172"/>
      <c r="N19" s="172"/>
      <c r="O19" s="172"/>
      <c r="P19" s="172"/>
      <c r="Q19" s="172"/>
    </row>
    <row r="20" spans="2:17" ht="20.100000000000001" customHeight="1" x14ac:dyDescent="0.25">
      <c r="K20" s="171"/>
      <c r="L20" s="173"/>
      <c r="M20" s="173"/>
      <c r="N20" s="173"/>
      <c r="O20" s="173"/>
      <c r="P20" s="173"/>
      <c r="Q20" s="173"/>
    </row>
    <row r="21" spans="2:17" ht="20.100000000000001" customHeight="1" x14ac:dyDescent="0.25"/>
    <row r="22" spans="2:17" ht="20.100000000000001" customHeight="1" thickBot="1" x14ac:dyDescent="0.3">
      <c r="I22" s="6"/>
    </row>
    <row r="23" spans="2:17" ht="20.100000000000001" customHeight="1" thickBot="1" x14ac:dyDescent="0.3">
      <c r="B23" s="163" t="s">
        <v>255</v>
      </c>
      <c r="C23" s="164"/>
      <c r="D23" s="164"/>
      <c r="E23" s="164"/>
      <c r="F23" s="164"/>
      <c r="G23" s="164"/>
      <c r="H23" s="165"/>
    </row>
    <row r="24" spans="2:17" ht="20.100000000000001" customHeight="1" x14ac:dyDescent="0.25">
      <c r="I24" s="18"/>
    </row>
    <row r="25" spans="2:17" ht="26.25" customHeight="1" x14ac:dyDescent="0.25">
      <c r="B25" s="167" t="s">
        <v>183</v>
      </c>
      <c r="C25" s="167"/>
      <c r="D25" s="167" t="s">
        <v>184</v>
      </c>
      <c r="E25" s="167"/>
      <c r="F25" s="174" t="s">
        <v>185</v>
      </c>
      <c r="G25" s="174"/>
      <c r="H25" s="174"/>
      <c r="I25" s="19"/>
    </row>
    <row r="26" spans="2:17" ht="20.100000000000001" customHeight="1" x14ac:dyDescent="0.25">
      <c r="B26" s="141" t="s">
        <v>249</v>
      </c>
      <c r="C26" s="142"/>
      <c r="D26" s="170" t="s">
        <v>254</v>
      </c>
      <c r="E26" s="170"/>
      <c r="F26" s="170">
        <v>6</v>
      </c>
      <c r="G26" s="170"/>
      <c r="H26" s="170"/>
      <c r="I26" s="19"/>
    </row>
    <row r="27" spans="2:17" ht="20.100000000000001" customHeight="1" x14ac:dyDescent="0.25">
      <c r="B27" s="141" t="s">
        <v>248</v>
      </c>
      <c r="C27" s="142" t="s">
        <v>248</v>
      </c>
      <c r="D27" s="170" t="s">
        <v>254</v>
      </c>
      <c r="E27" s="170"/>
      <c r="F27" s="170">
        <v>1</v>
      </c>
      <c r="G27" s="170"/>
      <c r="H27" s="170"/>
    </row>
    <row r="28" spans="2:17" ht="20.100000000000001" customHeight="1" x14ac:dyDescent="0.25"/>
    <row r="29" spans="2:17" ht="20.100000000000001" customHeight="1" x14ac:dyDescent="0.25"/>
    <row r="30" spans="2:17" ht="20.100000000000001" customHeight="1" x14ac:dyDescent="0.25"/>
    <row r="31" spans="2:17" ht="20.100000000000001" customHeight="1" x14ac:dyDescent="0.25"/>
  </sheetData>
  <mergeCells count="36">
    <mergeCell ref="B27:C27"/>
    <mergeCell ref="D27:E27"/>
    <mergeCell ref="F27:H27"/>
    <mergeCell ref="K19:K20"/>
    <mergeCell ref="L19:Q19"/>
    <mergeCell ref="L20:Q20"/>
    <mergeCell ref="B23:H23"/>
    <mergeCell ref="B25:C25"/>
    <mergeCell ref="D25:E25"/>
    <mergeCell ref="F25:H25"/>
    <mergeCell ref="B26:C26"/>
    <mergeCell ref="D26:E26"/>
    <mergeCell ref="F26:H26"/>
    <mergeCell ref="C16:G16"/>
    <mergeCell ref="K15:K16"/>
    <mergeCell ref="L15:Q15"/>
    <mergeCell ref="C17:G17"/>
    <mergeCell ref="L16:Q16"/>
    <mergeCell ref="C18:G18"/>
    <mergeCell ref="K17:K18"/>
    <mergeCell ref="L17:Q17"/>
    <mergeCell ref="C19:G19"/>
    <mergeCell ref="L18:Q18"/>
    <mergeCell ref="K11:K12"/>
    <mergeCell ref="L11:Q11"/>
    <mergeCell ref="L12:Q12"/>
    <mergeCell ref="B14:H14"/>
    <mergeCell ref="K13:K14"/>
    <mergeCell ref="L13:Q13"/>
    <mergeCell ref="L14:Q14"/>
    <mergeCell ref="B3:H3"/>
    <mergeCell ref="B4:H4"/>
    <mergeCell ref="K8:Q8"/>
    <mergeCell ref="K9:K10"/>
    <mergeCell ref="L9:Q9"/>
    <mergeCell ref="L10:Q10"/>
  </mergeCells>
  <printOptions horizontalCentered="1"/>
  <pageMargins left="0.9055118110236221" right="0.9055118110236221" top="0.78740157480314965" bottom="0.78740157480314965" header="0.31496062992125984" footer="0.31496062992125984"/>
  <pageSetup paperSize="9" scale="92" orientation="portrait" verticalDpi="597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zoomScaleNormal="100" workbookViewId="0">
      <selection activeCell="E7" sqref="E7"/>
    </sheetView>
  </sheetViews>
  <sheetFormatPr defaultRowHeight="11.25" x14ac:dyDescent="0.25"/>
  <cols>
    <col min="1" max="1" width="5.7109375" style="4" customWidth="1"/>
    <col min="2" max="2" width="53.5703125" style="4" customWidth="1"/>
    <col min="3" max="3" width="10.7109375" style="4" customWidth="1"/>
    <col min="4" max="4" width="13.28515625" style="4" customWidth="1"/>
    <col min="5" max="5" width="16.42578125" style="39" customWidth="1"/>
    <col min="6" max="6" width="6" style="39" customWidth="1"/>
    <col min="7" max="7" width="34.5703125" style="38" customWidth="1"/>
    <col min="8" max="256" width="9.140625" style="4"/>
    <col min="257" max="257" width="5.7109375" style="4" customWidth="1"/>
    <col min="258" max="258" width="62.7109375" style="4" customWidth="1"/>
    <col min="259" max="259" width="12.42578125" style="4" customWidth="1"/>
    <col min="260" max="260" width="18" style="4" customWidth="1"/>
    <col min="261" max="261" width="59.7109375" style="4" customWidth="1"/>
    <col min="262" max="262" width="16.140625" style="4" customWidth="1"/>
    <col min="263" max="263" width="18.5703125" style="4" bestFit="1" customWidth="1"/>
    <col min="264" max="512" width="9.140625" style="4"/>
    <col min="513" max="513" width="5.7109375" style="4" customWidth="1"/>
    <col min="514" max="514" width="62.7109375" style="4" customWidth="1"/>
    <col min="515" max="515" width="12.42578125" style="4" customWidth="1"/>
    <col min="516" max="516" width="18" style="4" customWidth="1"/>
    <col min="517" max="517" width="59.7109375" style="4" customWidth="1"/>
    <col min="518" max="518" width="16.140625" style="4" customWidth="1"/>
    <col min="519" max="519" width="18.5703125" style="4" bestFit="1" customWidth="1"/>
    <col min="520" max="768" width="9.140625" style="4"/>
    <col min="769" max="769" width="5.7109375" style="4" customWidth="1"/>
    <col min="770" max="770" width="62.7109375" style="4" customWidth="1"/>
    <col min="771" max="771" width="12.42578125" style="4" customWidth="1"/>
    <col min="772" max="772" width="18" style="4" customWidth="1"/>
    <col min="773" max="773" width="59.7109375" style="4" customWidth="1"/>
    <col min="774" max="774" width="16.140625" style="4" customWidth="1"/>
    <col min="775" max="775" width="18.5703125" style="4" bestFit="1" customWidth="1"/>
    <col min="776" max="1024" width="9.140625" style="4"/>
    <col min="1025" max="1025" width="5.7109375" style="4" customWidth="1"/>
    <col min="1026" max="1026" width="62.7109375" style="4" customWidth="1"/>
    <col min="1027" max="1027" width="12.42578125" style="4" customWidth="1"/>
    <col min="1028" max="1028" width="18" style="4" customWidth="1"/>
    <col min="1029" max="1029" width="59.7109375" style="4" customWidth="1"/>
    <col min="1030" max="1030" width="16.140625" style="4" customWidth="1"/>
    <col min="1031" max="1031" width="18.5703125" style="4" bestFit="1" customWidth="1"/>
    <col min="1032" max="1280" width="9.140625" style="4"/>
    <col min="1281" max="1281" width="5.7109375" style="4" customWidth="1"/>
    <col min="1282" max="1282" width="62.7109375" style="4" customWidth="1"/>
    <col min="1283" max="1283" width="12.42578125" style="4" customWidth="1"/>
    <col min="1284" max="1284" width="18" style="4" customWidth="1"/>
    <col min="1285" max="1285" width="59.7109375" style="4" customWidth="1"/>
    <col min="1286" max="1286" width="16.140625" style="4" customWidth="1"/>
    <col min="1287" max="1287" width="18.5703125" style="4" bestFit="1" customWidth="1"/>
    <col min="1288" max="1536" width="9.140625" style="4"/>
    <col min="1537" max="1537" width="5.7109375" style="4" customWidth="1"/>
    <col min="1538" max="1538" width="62.7109375" style="4" customWidth="1"/>
    <col min="1539" max="1539" width="12.42578125" style="4" customWidth="1"/>
    <col min="1540" max="1540" width="18" style="4" customWidth="1"/>
    <col min="1541" max="1541" width="59.7109375" style="4" customWidth="1"/>
    <col min="1542" max="1542" width="16.140625" style="4" customWidth="1"/>
    <col min="1543" max="1543" width="18.5703125" style="4" bestFit="1" customWidth="1"/>
    <col min="1544" max="1792" width="9.140625" style="4"/>
    <col min="1793" max="1793" width="5.7109375" style="4" customWidth="1"/>
    <col min="1794" max="1794" width="62.7109375" style="4" customWidth="1"/>
    <col min="1795" max="1795" width="12.42578125" style="4" customWidth="1"/>
    <col min="1796" max="1796" width="18" style="4" customWidth="1"/>
    <col min="1797" max="1797" width="59.7109375" style="4" customWidth="1"/>
    <col min="1798" max="1798" width="16.140625" style="4" customWidth="1"/>
    <col min="1799" max="1799" width="18.5703125" style="4" bestFit="1" customWidth="1"/>
    <col min="1800" max="2048" width="9.140625" style="4"/>
    <col min="2049" max="2049" width="5.7109375" style="4" customWidth="1"/>
    <col min="2050" max="2050" width="62.7109375" style="4" customWidth="1"/>
    <col min="2051" max="2051" width="12.42578125" style="4" customWidth="1"/>
    <col min="2052" max="2052" width="18" style="4" customWidth="1"/>
    <col min="2053" max="2053" width="59.7109375" style="4" customWidth="1"/>
    <col min="2054" max="2054" width="16.140625" style="4" customWidth="1"/>
    <col min="2055" max="2055" width="18.5703125" style="4" bestFit="1" customWidth="1"/>
    <col min="2056" max="2304" width="9.140625" style="4"/>
    <col min="2305" max="2305" width="5.7109375" style="4" customWidth="1"/>
    <col min="2306" max="2306" width="62.7109375" style="4" customWidth="1"/>
    <col min="2307" max="2307" width="12.42578125" style="4" customWidth="1"/>
    <col min="2308" max="2308" width="18" style="4" customWidth="1"/>
    <col min="2309" max="2309" width="59.7109375" style="4" customWidth="1"/>
    <col min="2310" max="2310" width="16.140625" style="4" customWidth="1"/>
    <col min="2311" max="2311" width="18.5703125" style="4" bestFit="1" customWidth="1"/>
    <col min="2312" max="2560" width="9.140625" style="4"/>
    <col min="2561" max="2561" width="5.7109375" style="4" customWidth="1"/>
    <col min="2562" max="2562" width="62.7109375" style="4" customWidth="1"/>
    <col min="2563" max="2563" width="12.42578125" style="4" customWidth="1"/>
    <col min="2564" max="2564" width="18" style="4" customWidth="1"/>
    <col min="2565" max="2565" width="59.7109375" style="4" customWidth="1"/>
    <col min="2566" max="2566" width="16.140625" style="4" customWidth="1"/>
    <col min="2567" max="2567" width="18.5703125" style="4" bestFit="1" customWidth="1"/>
    <col min="2568" max="2816" width="9.140625" style="4"/>
    <col min="2817" max="2817" width="5.7109375" style="4" customWidth="1"/>
    <col min="2818" max="2818" width="62.7109375" style="4" customWidth="1"/>
    <col min="2819" max="2819" width="12.42578125" style="4" customWidth="1"/>
    <col min="2820" max="2820" width="18" style="4" customWidth="1"/>
    <col min="2821" max="2821" width="59.7109375" style="4" customWidth="1"/>
    <col min="2822" max="2822" width="16.140625" style="4" customWidth="1"/>
    <col min="2823" max="2823" width="18.5703125" style="4" bestFit="1" customWidth="1"/>
    <col min="2824" max="3072" width="9.140625" style="4"/>
    <col min="3073" max="3073" width="5.7109375" style="4" customWidth="1"/>
    <col min="3074" max="3074" width="62.7109375" style="4" customWidth="1"/>
    <col min="3075" max="3075" width="12.42578125" style="4" customWidth="1"/>
    <col min="3076" max="3076" width="18" style="4" customWidth="1"/>
    <col min="3077" max="3077" width="59.7109375" style="4" customWidth="1"/>
    <col min="3078" max="3078" width="16.140625" style="4" customWidth="1"/>
    <col min="3079" max="3079" width="18.5703125" style="4" bestFit="1" customWidth="1"/>
    <col min="3080" max="3328" width="9.140625" style="4"/>
    <col min="3329" max="3329" width="5.7109375" style="4" customWidth="1"/>
    <col min="3330" max="3330" width="62.7109375" style="4" customWidth="1"/>
    <col min="3331" max="3331" width="12.42578125" style="4" customWidth="1"/>
    <col min="3332" max="3332" width="18" style="4" customWidth="1"/>
    <col min="3333" max="3333" width="59.7109375" style="4" customWidth="1"/>
    <col min="3334" max="3334" width="16.140625" style="4" customWidth="1"/>
    <col min="3335" max="3335" width="18.5703125" style="4" bestFit="1" customWidth="1"/>
    <col min="3336" max="3584" width="9.140625" style="4"/>
    <col min="3585" max="3585" width="5.7109375" style="4" customWidth="1"/>
    <col min="3586" max="3586" width="62.7109375" style="4" customWidth="1"/>
    <col min="3587" max="3587" width="12.42578125" style="4" customWidth="1"/>
    <col min="3588" max="3588" width="18" style="4" customWidth="1"/>
    <col min="3589" max="3589" width="59.7109375" style="4" customWidth="1"/>
    <col min="3590" max="3590" width="16.140625" style="4" customWidth="1"/>
    <col min="3591" max="3591" width="18.5703125" style="4" bestFit="1" customWidth="1"/>
    <col min="3592" max="3840" width="9.140625" style="4"/>
    <col min="3841" max="3841" width="5.7109375" style="4" customWidth="1"/>
    <col min="3842" max="3842" width="62.7109375" style="4" customWidth="1"/>
    <col min="3843" max="3843" width="12.42578125" style="4" customWidth="1"/>
    <col min="3844" max="3844" width="18" style="4" customWidth="1"/>
    <col min="3845" max="3845" width="59.7109375" style="4" customWidth="1"/>
    <col min="3846" max="3846" width="16.140625" style="4" customWidth="1"/>
    <col min="3847" max="3847" width="18.5703125" style="4" bestFit="1" customWidth="1"/>
    <col min="3848" max="4096" width="9.140625" style="4"/>
    <col min="4097" max="4097" width="5.7109375" style="4" customWidth="1"/>
    <col min="4098" max="4098" width="62.7109375" style="4" customWidth="1"/>
    <col min="4099" max="4099" width="12.42578125" style="4" customWidth="1"/>
    <col min="4100" max="4100" width="18" style="4" customWidth="1"/>
    <col min="4101" max="4101" width="59.7109375" style="4" customWidth="1"/>
    <col min="4102" max="4102" width="16.140625" style="4" customWidth="1"/>
    <col min="4103" max="4103" width="18.5703125" style="4" bestFit="1" customWidth="1"/>
    <col min="4104" max="4352" width="9.140625" style="4"/>
    <col min="4353" max="4353" width="5.7109375" style="4" customWidth="1"/>
    <col min="4354" max="4354" width="62.7109375" style="4" customWidth="1"/>
    <col min="4355" max="4355" width="12.42578125" style="4" customWidth="1"/>
    <col min="4356" max="4356" width="18" style="4" customWidth="1"/>
    <col min="4357" max="4357" width="59.7109375" style="4" customWidth="1"/>
    <col min="4358" max="4358" width="16.140625" style="4" customWidth="1"/>
    <col min="4359" max="4359" width="18.5703125" style="4" bestFit="1" customWidth="1"/>
    <col min="4360" max="4608" width="9.140625" style="4"/>
    <col min="4609" max="4609" width="5.7109375" style="4" customWidth="1"/>
    <col min="4610" max="4610" width="62.7109375" style="4" customWidth="1"/>
    <col min="4611" max="4611" width="12.42578125" style="4" customWidth="1"/>
    <col min="4612" max="4612" width="18" style="4" customWidth="1"/>
    <col min="4613" max="4613" width="59.7109375" style="4" customWidth="1"/>
    <col min="4614" max="4614" width="16.140625" style="4" customWidth="1"/>
    <col min="4615" max="4615" width="18.5703125" style="4" bestFit="1" customWidth="1"/>
    <col min="4616" max="4864" width="9.140625" style="4"/>
    <col min="4865" max="4865" width="5.7109375" style="4" customWidth="1"/>
    <col min="4866" max="4866" width="62.7109375" style="4" customWidth="1"/>
    <col min="4867" max="4867" width="12.42578125" style="4" customWidth="1"/>
    <col min="4868" max="4868" width="18" style="4" customWidth="1"/>
    <col min="4869" max="4869" width="59.7109375" style="4" customWidth="1"/>
    <col min="4870" max="4870" width="16.140625" style="4" customWidth="1"/>
    <col min="4871" max="4871" width="18.5703125" style="4" bestFit="1" customWidth="1"/>
    <col min="4872" max="5120" width="9.140625" style="4"/>
    <col min="5121" max="5121" width="5.7109375" style="4" customWidth="1"/>
    <col min="5122" max="5122" width="62.7109375" style="4" customWidth="1"/>
    <col min="5123" max="5123" width="12.42578125" style="4" customWidth="1"/>
    <col min="5124" max="5124" width="18" style="4" customWidth="1"/>
    <col min="5125" max="5125" width="59.7109375" style="4" customWidth="1"/>
    <col min="5126" max="5126" width="16.140625" style="4" customWidth="1"/>
    <col min="5127" max="5127" width="18.5703125" style="4" bestFit="1" customWidth="1"/>
    <col min="5128" max="5376" width="9.140625" style="4"/>
    <col min="5377" max="5377" width="5.7109375" style="4" customWidth="1"/>
    <col min="5378" max="5378" width="62.7109375" style="4" customWidth="1"/>
    <col min="5379" max="5379" width="12.42578125" style="4" customWidth="1"/>
    <col min="5380" max="5380" width="18" style="4" customWidth="1"/>
    <col min="5381" max="5381" width="59.7109375" style="4" customWidth="1"/>
    <col min="5382" max="5382" width="16.140625" style="4" customWidth="1"/>
    <col min="5383" max="5383" width="18.5703125" style="4" bestFit="1" customWidth="1"/>
    <col min="5384" max="5632" width="9.140625" style="4"/>
    <col min="5633" max="5633" width="5.7109375" style="4" customWidth="1"/>
    <col min="5634" max="5634" width="62.7109375" style="4" customWidth="1"/>
    <col min="5635" max="5635" width="12.42578125" style="4" customWidth="1"/>
    <col min="5636" max="5636" width="18" style="4" customWidth="1"/>
    <col min="5637" max="5637" width="59.7109375" style="4" customWidth="1"/>
    <col min="5638" max="5638" width="16.140625" style="4" customWidth="1"/>
    <col min="5639" max="5639" width="18.5703125" style="4" bestFit="1" customWidth="1"/>
    <col min="5640" max="5888" width="9.140625" style="4"/>
    <col min="5889" max="5889" width="5.7109375" style="4" customWidth="1"/>
    <col min="5890" max="5890" width="62.7109375" style="4" customWidth="1"/>
    <col min="5891" max="5891" width="12.42578125" style="4" customWidth="1"/>
    <col min="5892" max="5892" width="18" style="4" customWidth="1"/>
    <col min="5893" max="5893" width="59.7109375" style="4" customWidth="1"/>
    <col min="5894" max="5894" width="16.140625" style="4" customWidth="1"/>
    <col min="5895" max="5895" width="18.5703125" style="4" bestFit="1" customWidth="1"/>
    <col min="5896" max="6144" width="9.140625" style="4"/>
    <col min="6145" max="6145" width="5.7109375" style="4" customWidth="1"/>
    <col min="6146" max="6146" width="62.7109375" style="4" customWidth="1"/>
    <col min="6147" max="6147" width="12.42578125" style="4" customWidth="1"/>
    <col min="6148" max="6148" width="18" style="4" customWidth="1"/>
    <col min="6149" max="6149" width="59.7109375" style="4" customWidth="1"/>
    <col min="6150" max="6150" width="16.140625" style="4" customWidth="1"/>
    <col min="6151" max="6151" width="18.5703125" style="4" bestFit="1" customWidth="1"/>
    <col min="6152" max="6400" width="9.140625" style="4"/>
    <col min="6401" max="6401" width="5.7109375" style="4" customWidth="1"/>
    <col min="6402" max="6402" width="62.7109375" style="4" customWidth="1"/>
    <col min="6403" max="6403" width="12.42578125" style="4" customWidth="1"/>
    <col min="6404" max="6404" width="18" style="4" customWidth="1"/>
    <col min="6405" max="6405" width="59.7109375" style="4" customWidth="1"/>
    <col min="6406" max="6406" width="16.140625" style="4" customWidth="1"/>
    <col min="6407" max="6407" width="18.5703125" style="4" bestFit="1" customWidth="1"/>
    <col min="6408" max="6656" width="9.140625" style="4"/>
    <col min="6657" max="6657" width="5.7109375" style="4" customWidth="1"/>
    <col min="6658" max="6658" width="62.7109375" style="4" customWidth="1"/>
    <col min="6659" max="6659" width="12.42578125" style="4" customWidth="1"/>
    <col min="6660" max="6660" width="18" style="4" customWidth="1"/>
    <col min="6661" max="6661" width="59.7109375" style="4" customWidth="1"/>
    <col min="6662" max="6662" width="16.140625" style="4" customWidth="1"/>
    <col min="6663" max="6663" width="18.5703125" style="4" bestFit="1" customWidth="1"/>
    <col min="6664" max="6912" width="9.140625" style="4"/>
    <col min="6913" max="6913" width="5.7109375" style="4" customWidth="1"/>
    <col min="6914" max="6914" width="62.7109375" style="4" customWidth="1"/>
    <col min="6915" max="6915" width="12.42578125" style="4" customWidth="1"/>
    <col min="6916" max="6916" width="18" style="4" customWidth="1"/>
    <col min="6917" max="6917" width="59.7109375" style="4" customWidth="1"/>
    <col min="6918" max="6918" width="16.140625" style="4" customWidth="1"/>
    <col min="6919" max="6919" width="18.5703125" style="4" bestFit="1" customWidth="1"/>
    <col min="6920" max="7168" width="9.140625" style="4"/>
    <col min="7169" max="7169" width="5.7109375" style="4" customWidth="1"/>
    <col min="7170" max="7170" width="62.7109375" style="4" customWidth="1"/>
    <col min="7171" max="7171" width="12.42578125" style="4" customWidth="1"/>
    <col min="7172" max="7172" width="18" style="4" customWidth="1"/>
    <col min="7173" max="7173" width="59.7109375" style="4" customWidth="1"/>
    <col min="7174" max="7174" width="16.140625" style="4" customWidth="1"/>
    <col min="7175" max="7175" width="18.5703125" style="4" bestFit="1" customWidth="1"/>
    <col min="7176" max="7424" width="9.140625" style="4"/>
    <col min="7425" max="7425" width="5.7109375" style="4" customWidth="1"/>
    <col min="7426" max="7426" width="62.7109375" style="4" customWidth="1"/>
    <col min="7427" max="7427" width="12.42578125" style="4" customWidth="1"/>
    <col min="7428" max="7428" width="18" style="4" customWidth="1"/>
    <col min="7429" max="7429" width="59.7109375" style="4" customWidth="1"/>
    <col min="7430" max="7430" width="16.140625" style="4" customWidth="1"/>
    <col min="7431" max="7431" width="18.5703125" style="4" bestFit="1" customWidth="1"/>
    <col min="7432" max="7680" width="9.140625" style="4"/>
    <col min="7681" max="7681" width="5.7109375" style="4" customWidth="1"/>
    <col min="7682" max="7682" width="62.7109375" style="4" customWidth="1"/>
    <col min="7683" max="7683" width="12.42578125" style="4" customWidth="1"/>
    <col min="7684" max="7684" width="18" style="4" customWidth="1"/>
    <col min="7685" max="7685" width="59.7109375" style="4" customWidth="1"/>
    <col min="7686" max="7686" width="16.140625" style="4" customWidth="1"/>
    <col min="7687" max="7687" width="18.5703125" style="4" bestFit="1" customWidth="1"/>
    <col min="7688" max="7936" width="9.140625" style="4"/>
    <col min="7937" max="7937" width="5.7109375" style="4" customWidth="1"/>
    <col min="7938" max="7938" width="62.7109375" style="4" customWidth="1"/>
    <col min="7939" max="7939" width="12.42578125" style="4" customWidth="1"/>
    <col min="7940" max="7940" width="18" style="4" customWidth="1"/>
    <col min="7941" max="7941" width="59.7109375" style="4" customWidth="1"/>
    <col min="7942" max="7942" width="16.140625" style="4" customWidth="1"/>
    <col min="7943" max="7943" width="18.5703125" style="4" bestFit="1" customWidth="1"/>
    <col min="7944" max="8192" width="9.140625" style="4"/>
    <col min="8193" max="8193" width="5.7109375" style="4" customWidth="1"/>
    <col min="8194" max="8194" width="62.7109375" style="4" customWidth="1"/>
    <col min="8195" max="8195" width="12.42578125" style="4" customWidth="1"/>
    <col min="8196" max="8196" width="18" style="4" customWidth="1"/>
    <col min="8197" max="8197" width="59.7109375" style="4" customWidth="1"/>
    <col min="8198" max="8198" width="16.140625" style="4" customWidth="1"/>
    <col min="8199" max="8199" width="18.5703125" style="4" bestFit="1" customWidth="1"/>
    <col min="8200" max="8448" width="9.140625" style="4"/>
    <col min="8449" max="8449" width="5.7109375" style="4" customWidth="1"/>
    <col min="8450" max="8450" width="62.7109375" style="4" customWidth="1"/>
    <col min="8451" max="8451" width="12.42578125" style="4" customWidth="1"/>
    <col min="8452" max="8452" width="18" style="4" customWidth="1"/>
    <col min="8453" max="8453" width="59.7109375" style="4" customWidth="1"/>
    <col min="8454" max="8454" width="16.140625" style="4" customWidth="1"/>
    <col min="8455" max="8455" width="18.5703125" style="4" bestFit="1" customWidth="1"/>
    <col min="8456" max="8704" width="9.140625" style="4"/>
    <col min="8705" max="8705" width="5.7109375" style="4" customWidth="1"/>
    <col min="8706" max="8706" width="62.7109375" style="4" customWidth="1"/>
    <col min="8707" max="8707" width="12.42578125" style="4" customWidth="1"/>
    <col min="8708" max="8708" width="18" style="4" customWidth="1"/>
    <col min="8709" max="8709" width="59.7109375" style="4" customWidth="1"/>
    <col min="8710" max="8710" width="16.140625" style="4" customWidth="1"/>
    <col min="8711" max="8711" width="18.5703125" style="4" bestFit="1" customWidth="1"/>
    <col min="8712" max="8960" width="9.140625" style="4"/>
    <col min="8961" max="8961" width="5.7109375" style="4" customWidth="1"/>
    <col min="8962" max="8962" width="62.7109375" style="4" customWidth="1"/>
    <col min="8963" max="8963" width="12.42578125" style="4" customWidth="1"/>
    <col min="8964" max="8964" width="18" style="4" customWidth="1"/>
    <col min="8965" max="8965" width="59.7109375" style="4" customWidth="1"/>
    <col min="8966" max="8966" width="16.140625" style="4" customWidth="1"/>
    <col min="8967" max="8967" width="18.5703125" style="4" bestFit="1" customWidth="1"/>
    <col min="8968" max="9216" width="9.140625" style="4"/>
    <col min="9217" max="9217" width="5.7109375" style="4" customWidth="1"/>
    <col min="9218" max="9218" width="62.7109375" style="4" customWidth="1"/>
    <col min="9219" max="9219" width="12.42578125" style="4" customWidth="1"/>
    <col min="9220" max="9220" width="18" style="4" customWidth="1"/>
    <col min="9221" max="9221" width="59.7109375" style="4" customWidth="1"/>
    <col min="9222" max="9222" width="16.140625" style="4" customWidth="1"/>
    <col min="9223" max="9223" width="18.5703125" style="4" bestFit="1" customWidth="1"/>
    <col min="9224" max="9472" width="9.140625" style="4"/>
    <col min="9473" max="9473" width="5.7109375" style="4" customWidth="1"/>
    <col min="9474" max="9474" width="62.7109375" style="4" customWidth="1"/>
    <col min="9475" max="9475" width="12.42578125" style="4" customWidth="1"/>
    <col min="9476" max="9476" width="18" style="4" customWidth="1"/>
    <col min="9477" max="9477" width="59.7109375" style="4" customWidth="1"/>
    <col min="9478" max="9478" width="16.140625" style="4" customWidth="1"/>
    <col min="9479" max="9479" width="18.5703125" style="4" bestFit="1" customWidth="1"/>
    <col min="9480" max="9728" width="9.140625" style="4"/>
    <col min="9729" max="9729" width="5.7109375" style="4" customWidth="1"/>
    <col min="9730" max="9730" width="62.7109375" style="4" customWidth="1"/>
    <col min="9731" max="9731" width="12.42578125" style="4" customWidth="1"/>
    <col min="9732" max="9732" width="18" style="4" customWidth="1"/>
    <col min="9733" max="9733" width="59.7109375" style="4" customWidth="1"/>
    <col min="9734" max="9734" width="16.140625" style="4" customWidth="1"/>
    <col min="9735" max="9735" width="18.5703125" style="4" bestFit="1" customWidth="1"/>
    <col min="9736" max="9984" width="9.140625" style="4"/>
    <col min="9985" max="9985" width="5.7109375" style="4" customWidth="1"/>
    <col min="9986" max="9986" width="62.7109375" style="4" customWidth="1"/>
    <col min="9987" max="9987" width="12.42578125" style="4" customWidth="1"/>
    <col min="9988" max="9988" width="18" style="4" customWidth="1"/>
    <col min="9989" max="9989" width="59.7109375" style="4" customWidth="1"/>
    <col min="9990" max="9990" width="16.140625" style="4" customWidth="1"/>
    <col min="9991" max="9991" width="18.5703125" style="4" bestFit="1" customWidth="1"/>
    <col min="9992" max="10240" width="9.140625" style="4"/>
    <col min="10241" max="10241" width="5.7109375" style="4" customWidth="1"/>
    <col min="10242" max="10242" width="62.7109375" style="4" customWidth="1"/>
    <col min="10243" max="10243" width="12.42578125" style="4" customWidth="1"/>
    <col min="10244" max="10244" width="18" style="4" customWidth="1"/>
    <col min="10245" max="10245" width="59.7109375" style="4" customWidth="1"/>
    <col min="10246" max="10246" width="16.140625" style="4" customWidth="1"/>
    <col min="10247" max="10247" width="18.5703125" style="4" bestFit="1" customWidth="1"/>
    <col min="10248" max="10496" width="9.140625" style="4"/>
    <col min="10497" max="10497" width="5.7109375" style="4" customWidth="1"/>
    <col min="10498" max="10498" width="62.7109375" style="4" customWidth="1"/>
    <col min="10499" max="10499" width="12.42578125" style="4" customWidth="1"/>
    <col min="10500" max="10500" width="18" style="4" customWidth="1"/>
    <col min="10501" max="10501" width="59.7109375" style="4" customWidth="1"/>
    <col min="10502" max="10502" width="16.140625" style="4" customWidth="1"/>
    <col min="10503" max="10503" width="18.5703125" style="4" bestFit="1" customWidth="1"/>
    <col min="10504" max="10752" width="9.140625" style="4"/>
    <col min="10753" max="10753" width="5.7109375" style="4" customWidth="1"/>
    <col min="10754" max="10754" width="62.7109375" style="4" customWidth="1"/>
    <col min="10755" max="10755" width="12.42578125" style="4" customWidth="1"/>
    <col min="10756" max="10756" width="18" style="4" customWidth="1"/>
    <col min="10757" max="10757" width="59.7109375" style="4" customWidth="1"/>
    <col min="10758" max="10758" width="16.140625" style="4" customWidth="1"/>
    <col min="10759" max="10759" width="18.5703125" style="4" bestFit="1" customWidth="1"/>
    <col min="10760" max="11008" width="9.140625" style="4"/>
    <col min="11009" max="11009" width="5.7109375" style="4" customWidth="1"/>
    <col min="11010" max="11010" width="62.7109375" style="4" customWidth="1"/>
    <col min="11011" max="11011" width="12.42578125" style="4" customWidth="1"/>
    <col min="11012" max="11012" width="18" style="4" customWidth="1"/>
    <col min="11013" max="11013" width="59.7109375" style="4" customWidth="1"/>
    <col min="11014" max="11014" width="16.140625" style="4" customWidth="1"/>
    <col min="11015" max="11015" width="18.5703125" style="4" bestFit="1" customWidth="1"/>
    <col min="11016" max="11264" width="9.140625" style="4"/>
    <col min="11265" max="11265" width="5.7109375" style="4" customWidth="1"/>
    <col min="11266" max="11266" width="62.7109375" style="4" customWidth="1"/>
    <col min="11267" max="11267" width="12.42578125" style="4" customWidth="1"/>
    <col min="11268" max="11268" width="18" style="4" customWidth="1"/>
    <col min="11269" max="11269" width="59.7109375" style="4" customWidth="1"/>
    <col min="11270" max="11270" width="16.140625" style="4" customWidth="1"/>
    <col min="11271" max="11271" width="18.5703125" style="4" bestFit="1" customWidth="1"/>
    <col min="11272" max="11520" width="9.140625" style="4"/>
    <col min="11521" max="11521" width="5.7109375" style="4" customWidth="1"/>
    <col min="11522" max="11522" width="62.7109375" style="4" customWidth="1"/>
    <col min="11523" max="11523" width="12.42578125" style="4" customWidth="1"/>
    <col min="11524" max="11524" width="18" style="4" customWidth="1"/>
    <col min="11525" max="11525" width="59.7109375" style="4" customWidth="1"/>
    <col min="11526" max="11526" width="16.140625" style="4" customWidth="1"/>
    <col min="11527" max="11527" width="18.5703125" style="4" bestFit="1" customWidth="1"/>
    <col min="11528" max="11776" width="9.140625" style="4"/>
    <col min="11777" max="11777" width="5.7109375" style="4" customWidth="1"/>
    <col min="11778" max="11778" width="62.7109375" style="4" customWidth="1"/>
    <col min="11779" max="11779" width="12.42578125" style="4" customWidth="1"/>
    <col min="11780" max="11780" width="18" style="4" customWidth="1"/>
    <col min="11781" max="11781" width="59.7109375" style="4" customWidth="1"/>
    <col min="11782" max="11782" width="16.140625" style="4" customWidth="1"/>
    <col min="11783" max="11783" width="18.5703125" style="4" bestFit="1" customWidth="1"/>
    <col min="11784" max="12032" width="9.140625" style="4"/>
    <col min="12033" max="12033" width="5.7109375" style="4" customWidth="1"/>
    <col min="12034" max="12034" width="62.7109375" style="4" customWidth="1"/>
    <col min="12035" max="12035" width="12.42578125" style="4" customWidth="1"/>
    <col min="12036" max="12036" width="18" style="4" customWidth="1"/>
    <col min="12037" max="12037" width="59.7109375" style="4" customWidth="1"/>
    <col min="12038" max="12038" width="16.140625" style="4" customWidth="1"/>
    <col min="12039" max="12039" width="18.5703125" style="4" bestFit="1" customWidth="1"/>
    <col min="12040" max="12288" width="9.140625" style="4"/>
    <col min="12289" max="12289" width="5.7109375" style="4" customWidth="1"/>
    <col min="12290" max="12290" width="62.7109375" style="4" customWidth="1"/>
    <col min="12291" max="12291" width="12.42578125" style="4" customWidth="1"/>
    <col min="12292" max="12292" width="18" style="4" customWidth="1"/>
    <col min="12293" max="12293" width="59.7109375" style="4" customWidth="1"/>
    <col min="12294" max="12294" width="16.140625" style="4" customWidth="1"/>
    <col min="12295" max="12295" width="18.5703125" style="4" bestFit="1" customWidth="1"/>
    <col min="12296" max="12544" width="9.140625" style="4"/>
    <col min="12545" max="12545" width="5.7109375" style="4" customWidth="1"/>
    <col min="12546" max="12546" width="62.7109375" style="4" customWidth="1"/>
    <col min="12547" max="12547" width="12.42578125" style="4" customWidth="1"/>
    <col min="12548" max="12548" width="18" style="4" customWidth="1"/>
    <col min="12549" max="12549" width="59.7109375" style="4" customWidth="1"/>
    <col min="12550" max="12550" width="16.140625" style="4" customWidth="1"/>
    <col min="12551" max="12551" width="18.5703125" style="4" bestFit="1" customWidth="1"/>
    <col min="12552" max="12800" width="9.140625" style="4"/>
    <col min="12801" max="12801" width="5.7109375" style="4" customWidth="1"/>
    <col min="12802" max="12802" width="62.7109375" style="4" customWidth="1"/>
    <col min="12803" max="12803" width="12.42578125" style="4" customWidth="1"/>
    <col min="12804" max="12804" width="18" style="4" customWidth="1"/>
    <col min="12805" max="12805" width="59.7109375" style="4" customWidth="1"/>
    <col min="12806" max="12806" width="16.140625" style="4" customWidth="1"/>
    <col min="12807" max="12807" width="18.5703125" style="4" bestFit="1" customWidth="1"/>
    <col min="12808" max="13056" width="9.140625" style="4"/>
    <col min="13057" max="13057" width="5.7109375" style="4" customWidth="1"/>
    <col min="13058" max="13058" width="62.7109375" style="4" customWidth="1"/>
    <col min="13059" max="13059" width="12.42578125" style="4" customWidth="1"/>
    <col min="13060" max="13060" width="18" style="4" customWidth="1"/>
    <col min="13061" max="13061" width="59.7109375" style="4" customWidth="1"/>
    <col min="13062" max="13062" width="16.140625" style="4" customWidth="1"/>
    <col min="13063" max="13063" width="18.5703125" style="4" bestFit="1" customWidth="1"/>
    <col min="13064" max="13312" width="9.140625" style="4"/>
    <col min="13313" max="13313" width="5.7109375" style="4" customWidth="1"/>
    <col min="13314" max="13314" width="62.7109375" style="4" customWidth="1"/>
    <col min="13315" max="13315" width="12.42578125" style="4" customWidth="1"/>
    <col min="13316" max="13316" width="18" style="4" customWidth="1"/>
    <col min="13317" max="13317" width="59.7109375" style="4" customWidth="1"/>
    <col min="13318" max="13318" width="16.140625" style="4" customWidth="1"/>
    <col min="13319" max="13319" width="18.5703125" style="4" bestFit="1" customWidth="1"/>
    <col min="13320" max="13568" width="9.140625" style="4"/>
    <col min="13569" max="13569" width="5.7109375" style="4" customWidth="1"/>
    <col min="13570" max="13570" width="62.7109375" style="4" customWidth="1"/>
    <col min="13571" max="13571" width="12.42578125" style="4" customWidth="1"/>
    <col min="13572" max="13572" width="18" style="4" customWidth="1"/>
    <col min="13573" max="13573" width="59.7109375" style="4" customWidth="1"/>
    <col min="13574" max="13574" width="16.140625" style="4" customWidth="1"/>
    <col min="13575" max="13575" width="18.5703125" style="4" bestFit="1" customWidth="1"/>
    <col min="13576" max="13824" width="9.140625" style="4"/>
    <col min="13825" max="13825" width="5.7109375" style="4" customWidth="1"/>
    <col min="13826" max="13826" width="62.7109375" style="4" customWidth="1"/>
    <col min="13827" max="13827" width="12.42578125" style="4" customWidth="1"/>
    <col min="13828" max="13828" width="18" style="4" customWidth="1"/>
    <col min="13829" max="13829" width="59.7109375" style="4" customWidth="1"/>
    <col min="13830" max="13830" width="16.140625" style="4" customWidth="1"/>
    <col min="13831" max="13831" width="18.5703125" style="4" bestFit="1" customWidth="1"/>
    <col min="13832" max="14080" width="9.140625" style="4"/>
    <col min="14081" max="14081" width="5.7109375" style="4" customWidth="1"/>
    <col min="14082" max="14082" width="62.7109375" style="4" customWidth="1"/>
    <col min="14083" max="14083" width="12.42578125" style="4" customWidth="1"/>
    <col min="14084" max="14084" width="18" style="4" customWidth="1"/>
    <col min="14085" max="14085" width="59.7109375" style="4" customWidth="1"/>
    <col min="14086" max="14086" width="16.140625" style="4" customWidth="1"/>
    <col min="14087" max="14087" width="18.5703125" style="4" bestFit="1" customWidth="1"/>
    <col min="14088" max="14336" width="9.140625" style="4"/>
    <col min="14337" max="14337" width="5.7109375" style="4" customWidth="1"/>
    <col min="14338" max="14338" width="62.7109375" style="4" customWidth="1"/>
    <col min="14339" max="14339" width="12.42578125" style="4" customWidth="1"/>
    <col min="14340" max="14340" width="18" style="4" customWidth="1"/>
    <col min="14341" max="14341" width="59.7109375" style="4" customWidth="1"/>
    <col min="14342" max="14342" width="16.140625" style="4" customWidth="1"/>
    <col min="14343" max="14343" width="18.5703125" style="4" bestFit="1" customWidth="1"/>
    <col min="14344" max="14592" width="9.140625" style="4"/>
    <col min="14593" max="14593" width="5.7109375" style="4" customWidth="1"/>
    <col min="14594" max="14594" width="62.7109375" style="4" customWidth="1"/>
    <col min="14595" max="14595" width="12.42578125" style="4" customWidth="1"/>
    <col min="14596" max="14596" width="18" style="4" customWidth="1"/>
    <col min="14597" max="14597" width="59.7109375" style="4" customWidth="1"/>
    <col min="14598" max="14598" width="16.140625" style="4" customWidth="1"/>
    <col min="14599" max="14599" width="18.5703125" style="4" bestFit="1" customWidth="1"/>
    <col min="14600" max="14848" width="9.140625" style="4"/>
    <col min="14849" max="14849" width="5.7109375" style="4" customWidth="1"/>
    <col min="14850" max="14850" width="62.7109375" style="4" customWidth="1"/>
    <col min="14851" max="14851" width="12.42578125" style="4" customWidth="1"/>
    <col min="14852" max="14852" width="18" style="4" customWidth="1"/>
    <col min="14853" max="14853" width="59.7109375" style="4" customWidth="1"/>
    <col min="14854" max="14854" width="16.140625" style="4" customWidth="1"/>
    <col min="14855" max="14855" width="18.5703125" style="4" bestFit="1" customWidth="1"/>
    <col min="14856" max="15104" width="9.140625" style="4"/>
    <col min="15105" max="15105" width="5.7109375" style="4" customWidth="1"/>
    <col min="15106" max="15106" width="62.7109375" style="4" customWidth="1"/>
    <col min="15107" max="15107" width="12.42578125" style="4" customWidth="1"/>
    <col min="15108" max="15108" width="18" style="4" customWidth="1"/>
    <col min="15109" max="15109" width="59.7109375" style="4" customWidth="1"/>
    <col min="15110" max="15110" width="16.140625" style="4" customWidth="1"/>
    <col min="15111" max="15111" width="18.5703125" style="4" bestFit="1" customWidth="1"/>
    <col min="15112" max="15360" width="9.140625" style="4"/>
    <col min="15361" max="15361" width="5.7109375" style="4" customWidth="1"/>
    <col min="15362" max="15362" width="62.7109375" style="4" customWidth="1"/>
    <col min="15363" max="15363" width="12.42578125" style="4" customWidth="1"/>
    <col min="15364" max="15364" width="18" style="4" customWidth="1"/>
    <col min="15365" max="15365" width="59.7109375" style="4" customWidth="1"/>
    <col min="15366" max="15366" width="16.140625" style="4" customWidth="1"/>
    <col min="15367" max="15367" width="18.5703125" style="4" bestFit="1" customWidth="1"/>
    <col min="15368" max="15616" width="9.140625" style="4"/>
    <col min="15617" max="15617" width="5.7109375" style="4" customWidth="1"/>
    <col min="15618" max="15618" width="62.7109375" style="4" customWidth="1"/>
    <col min="15619" max="15619" width="12.42578125" style="4" customWidth="1"/>
    <col min="15620" max="15620" width="18" style="4" customWidth="1"/>
    <col min="15621" max="15621" width="59.7109375" style="4" customWidth="1"/>
    <col min="15622" max="15622" width="16.140625" style="4" customWidth="1"/>
    <col min="15623" max="15623" width="18.5703125" style="4" bestFit="1" customWidth="1"/>
    <col min="15624" max="15872" width="9.140625" style="4"/>
    <col min="15873" max="15873" width="5.7109375" style="4" customWidth="1"/>
    <col min="15874" max="15874" width="62.7109375" style="4" customWidth="1"/>
    <col min="15875" max="15875" width="12.42578125" style="4" customWidth="1"/>
    <col min="15876" max="15876" width="18" style="4" customWidth="1"/>
    <col min="15877" max="15877" width="59.7109375" style="4" customWidth="1"/>
    <col min="15878" max="15878" width="16.140625" style="4" customWidth="1"/>
    <col min="15879" max="15879" width="18.5703125" style="4" bestFit="1" customWidth="1"/>
    <col min="15880" max="16128" width="9.140625" style="4"/>
    <col min="16129" max="16129" width="5.7109375" style="4" customWidth="1"/>
    <col min="16130" max="16130" width="62.7109375" style="4" customWidth="1"/>
    <col min="16131" max="16131" width="12.42578125" style="4" customWidth="1"/>
    <col min="16132" max="16132" width="18" style="4" customWidth="1"/>
    <col min="16133" max="16133" width="59.7109375" style="4" customWidth="1"/>
    <col min="16134" max="16134" width="16.140625" style="4" customWidth="1"/>
    <col min="16135" max="16135" width="18.5703125" style="4" bestFit="1" customWidth="1"/>
    <col min="16136" max="16384" width="9.140625" style="4"/>
  </cols>
  <sheetData>
    <row r="1" spans="1:7" x14ac:dyDescent="0.25">
      <c r="A1" s="179" t="s">
        <v>0</v>
      </c>
      <c r="B1" s="179"/>
      <c r="C1" s="179"/>
      <c r="D1" s="179"/>
    </row>
    <row r="2" spans="1:7" x14ac:dyDescent="0.25">
      <c r="A2" s="40"/>
      <c r="B2" s="41"/>
      <c r="C2" s="91"/>
      <c r="D2" s="91"/>
    </row>
    <row r="3" spans="1:7" x14ac:dyDescent="0.25">
      <c r="A3" s="43"/>
      <c r="B3" s="43"/>
      <c r="C3" s="43"/>
      <c r="D3" s="43"/>
    </row>
    <row r="4" spans="1:7" x14ac:dyDescent="0.25">
      <c r="A4" s="44" t="s">
        <v>2</v>
      </c>
      <c r="B4" s="44"/>
      <c r="C4" s="180"/>
      <c r="D4" s="180"/>
    </row>
    <row r="5" spans="1:7" ht="16.5" customHeight="1" x14ac:dyDescent="0.25">
      <c r="A5" s="43"/>
      <c r="B5" s="41"/>
      <c r="C5" s="181" t="s">
        <v>249</v>
      </c>
      <c r="D5" s="181"/>
      <c r="G5" s="41" t="s">
        <v>1</v>
      </c>
    </row>
    <row r="6" spans="1:7" x14ac:dyDescent="0.25">
      <c r="A6" s="90"/>
      <c r="B6" s="46" t="s">
        <v>3</v>
      </c>
      <c r="C6" s="182" t="s">
        <v>4</v>
      </c>
      <c r="D6" s="182"/>
    </row>
    <row r="7" spans="1:7" x14ac:dyDescent="0.25">
      <c r="A7" s="87" t="s">
        <v>5</v>
      </c>
      <c r="B7" s="87" t="s">
        <v>6</v>
      </c>
      <c r="C7" s="183">
        <v>2291.7800000000002</v>
      </c>
      <c r="D7" s="183"/>
    </row>
    <row r="8" spans="1:7" ht="11.25" customHeight="1" x14ac:dyDescent="0.25">
      <c r="A8" s="87" t="s">
        <v>7</v>
      </c>
      <c r="B8" s="87" t="s">
        <v>8</v>
      </c>
      <c r="C8" s="183" t="s">
        <v>116</v>
      </c>
      <c r="D8" s="183"/>
    </row>
    <row r="9" spans="1:7" x14ac:dyDescent="0.25">
      <c r="A9" s="87" t="s">
        <v>9</v>
      </c>
      <c r="B9" s="87" t="s">
        <v>10</v>
      </c>
      <c r="C9" s="183" t="s">
        <v>116</v>
      </c>
      <c r="D9" s="183"/>
    </row>
    <row r="10" spans="1:7" x14ac:dyDescent="0.25">
      <c r="A10" s="87" t="s">
        <v>11</v>
      </c>
      <c r="B10" s="87" t="s">
        <v>12</v>
      </c>
      <c r="C10" s="183" t="s">
        <v>116</v>
      </c>
      <c r="D10" s="183"/>
      <c r="G10" s="38" t="s">
        <v>123</v>
      </c>
    </row>
    <row r="11" spans="1:7" ht="12" thickBot="1" x14ac:dyDescent="0.3">
      <c r="A11" s="87" t="s">
        <v>13</v>
      </c>
      <c r="B11" s="87" t="s">
        <v>122</v>
      </c>
      <c r="C11" s="183" t="s">
        <v>116</v>
      </c>
      <c r="D11" s="183"/>
      <c r="E11" s="48" t="s">
        <v>156</v>
      </c>
      <c r="G11" s="38" t="s">
        <v>157</v>
      </c>
    </row>
    <row r="12" spans="1:7" ht="12" thickBot="1" x14ac:dyDescent="0.3">
      <c r="A12" s="87" t="s">
        <v>14</v>
      </c>
      <c r="B12" s="87" t="s">
        <v>15</v>
      </c>
      <c r="C12" s="183">
        <f>(C7/200)*1.5*F12</f>
        <v>756.28740000000016</v>
      </c>
      <c r="D12" s="183"/>
      <c r="E12" s="111" t="s">
        <v>256</v>
      </c>
      <c r="F12" s="112">
        <v>44</v>
      </c>
      <c r="G12" s="110" t="s">
        <v>257</v>
      </c>
    </row>
    <row r="13" spans="1:7" x14ac:dyDescent="0.25">
      <c r="A13" s="46"/>
      <c r="B13" s="46" t="s">
        <v>19</v>
      </c>
      <c r="C13" s="184">
        <f>SUM(C7:D12)</f>
        <v>3048.0674000000004</v>
      </c>
      <c r="D13" s="184"/>
    </row>
    <row r="14" spans="1:7" x14ac:dyDescent="0.25">
      <c r="A14" s="43"/>
      <c r="B14" s="43"/>
      <c r="C14" s="43"/>
      <c r="D14" s="43"/>
    </row>
    <row r="15" spans="1:7" x14ac:dyDescent="0.25">
      <c r="A15" s="44" t="s">
        <v>20</v>
      </c>
      <c r="B15" s="44"/>
      <c r="C15" s="43"/>
      <c r="D15" s="43"/>
    </row>
    <row r="16" spans="1:7" ht="12" thickBot="1" x14ac:dyDescent="0.3">
      <c r="A16" s="43"/>
      <c r="B16" s="41"/>
      <c r="C16" s="43"/>
      <c r="D16" s="43"/>
      <c r="E16" s="48" t="s">
        <v>156</v>
      </c>
    </row>
    <row r="17" spans="1:7" x14ac:dyDescent="0.25">
      <c r="A17" s="1">
        <v>2</v>
      </c>
      <c r="B17" s="87" t="s">
        <v>21</v>
      </c>
      <c r="C17" s="177" t="s">
        <v>4</v>
      </c>
      <c r="D17" s="178"/>
      <c r="E17" s="49" t="s">
        <v>128</v>
      </c>
      <c r="F17" s="50">
        <v>22</v>
      </c>
    </row>
    <row r="18" spans="1:7" x14ac:dyDescent="0.25">
      <c r="A18" s="87" t="s">
        <v>5</v>
      </c>
      <c r="B18" s="87" t="s">
        <v>22</v>
      </c>
      <c r="C18" s="175">
        <f>(8*2*F17)-(F18*C7)</f>
        <v>214.4932</v>
      </c>
      <c r="D18" s="176"/>
      <c r="E18" s="51" t="s">
        <v>129</v>
      </c>
      <c r="F18" s="52">
        <v>0.06</v>
      </c>
      <c r="G18" s="38" t="s">
        <v>125</v>
      </c>
    </row>
    <row r="19" spans="1:7" x14ac:dyDescent="0.25">
      <c r="A19" s="87" t="s">
        <v>7</v>
      </c>
      <c r="B19" s="53" t="s">
        <v>23</v>
      </c>
      <c r="C19" s="175">
        <f>21.7*F17*F19</f>
        <v>477.4</v>
      </c>
      <c r="D19" s="176"/>
      <c r="E19" s="51" t="s">
        <v>130</v>
      </c>
      <c r="F19" s="52">
        <v>1</v>
      </c>
      <c r="G19" s="38" t="s">
        <v>124</v>
      </c>
    </row>
    <row r="20" spans="1:7" ht="12" thickBot="1" x14ac:dyDescent="0.3">
      <c r="A20" s="87" t="s">
        <v>9</v>
      </c>
      <c r="B20" s="87" t="s">
        <v>121</v>
      </c>
      <c r="C20" s="183">
        <f>0*F20</f>
        <v>0</v>
      </c>
      <c r="D20" s="183"/>
      <c r="E20" s="54" t="s">
        <v>237</v>
      </c>
      <c r="F20" s="55">
        <v>1</v>
      </c>
      <c r="G20" s="38" t="s">
        <v>124</v>
      </c>
    </row>
    <row r="21" spans="1:7" x14ac:dyDescent="0.25">
      <c r="A21" s="87" t="s">
        <v>11</v>
      </c>
      <c r="B21" s="87" t="s">
        <v>120</v>
      </c>
      <c r="C21" s="185">
        <v>0</v>
      </c>
      <c r="D21" s="186"/>
      <c r="G21" s="38" t="s">
        <v>124</v>
      </c>
    </row>
    <row r="22" spans="1:7" x14ac:dyDescent="0.25">
      <c r="A22" s="87" t="s">
        <v>13</v>
      </c>
      <c r="B22" s="87" t="s">
        <v>240</v>
      </c>
      <c r="C22" s="185">
        <v>5</v>
      </c>
      <c r="D22" s="186"/>
      <c r="G22" s="38" t="s">
        <v>124</v>
      </c>
    </row>
    <row r="23" spans="1:7" x14ac:dyDescent="0.25">
      <c r="A23" s="87" t="s">
        <v>14</v>
      </c>
      <c r="B23" s="87" t="s">
        <v>126</v>
      </c>
      <c r="C23" s="185">
        <v>0</v>
      </c>
      <c r="D23" s="186"/>
      <c r="G23" s="38" t="s">
        <v>124</v>
      </c>
    </row>
    <row r="24" spans="1:7" x14ac:dyDescent="0.25">
      <c r="A24" s="87" t="s">
        <v>16</v>
      </c>
      <c r="B24" s="87" t="s">
        <v>238</v>
      </c>
      <c r="C24" s="188">
        <v>16.899999999999999</v>
      </c>
      <c r="D24" s="189"/>
    </row>
    <row r="25" spans="1:7" x14ac:dyDescent="0.25">
      <c r="A25" s="87"/>
      <c r="B25" s="46" t="s">
        <v>24</v>
      </c>
      <c r="C25" s="184">
        <f>SUM(C18:C24)</f>
        <v>713.79319999999996</v>
      </c>
      <c r="D25" s="184"/>
    </row>
    <row r="26" spans="1:7" x14ac:dyDescent="0.25">
      <c r="A26" s="43"/>
      <c r="B26" s="43"/>
      <c r="C26" s="43"/>
      <c r="D26" s="43"/>
    </row>
    <row r="27" spans="1:7" x14ac:dyDescent="0.25">
      <c r="A27" s="187" t="s">
        <v>25</v>
      </c>
      <c r="B27" s="187"/>
      <c r="C27" s="43"/>
      <c r="D27" s="43"/>
    </row>
    <row r="28" spans="1:7" x14ac:dyDescent="0.25">
      <c r="A28" s="43"/>
      <c r="B28" s="41"/>
      <c r="C28" s="43"/>
      <c r="D28" s="43"/>
    </row>
    <row r="29" spans="1:7" x14ac:dyDescent="0.25">
      <c r="A29" s="1">
        <v>3</v>
      </c>
      <c r="B29" s="87" t="s">
        <v>26</v>
      </c>
      <c r="C29" s="177" t="s">
        <v>4</v>
      </c>
      <c r="D29" s="177"/>
    </row>
    <row r="30" spans="1:7" x14ac:dyDescent="0.25">
      <c r="A30" s="87" t="s">
        <v>5</v>
      </c>
      <c r="B30" s="87" t="s">
        <v>27</v>
      </c>
      <c r="C30" s="190">
        <v>149.77000000000001</v>
      </c>
      <c r="D30" s="190"/>
      <c r="E30" s="92" t="s">
        <v>239</v>
      </c>
      <c r="G30" s="38" t="s">
        <v>158</v>
      </c>
    </row>
    <row r="31" spans="1:7" x14ac:dyDescent="0.25">
      <c r="A31" s="87" t="s">
        <v>7</v>
      </c>
      <c r="B31" s="95" t="s">
        <v>246</v>
      </c>
      <c r="C31" s="190">
        <v>52.74</v>
      </c>
      <c r="D31" s="190"/>
      <c r="G31" s="38" t="s">
        <v>158</v>
      </c>
    </row>
    <row r="32" spans="1:7" ht="11.25" customHeight="1" x14ac:dyDescent="0.25">
      <c r="A32" s="87" t="s">
        <v>9</v>
      </c>
      <c r="B32" s="87" t="s">
        <v>127</v>
      </c>
      <c r="C32" s="190">
        <f>883.96</f>
        <v>883.96</v>
      </c>
      <c r="D32" s="190"/>
      <c r="G32" s="38" t="s">
        <v>158</v>
      </c>
    </row>
    <row r="33" spans="1:7" ht="22.5" x14ac:dyDescent="0.25">
      <c r="A33" s="87" t="s">
        <v>11</v>
      </c>
      <c r="B33" s="114" t="s">
        <v>258</v>
      </c>
      <c r="C33" s="190">
        <f>542.45+29.06+111.67+557.29+10+192.05</f>
        <v>1442.5199999999998</v>
      </c>
      <c r="D33" s="190"/>
    </row>
    <row r="34" spans="1:7" x14ac:dyDescent="0.25">
      <c r="A34" s="182" t="s">
        <v>28</v>
      </c>
      <c r="B34" s="182"/>
      <c r="C34" s="184">
        <f>SUM(C30:D33)</f>
        <v>2528.9899999999998</v>
      </c>
      <c r="D34" s="184"/>
    </row>
    <row r="35" spans="1:7" x14ac:dyDescent="0.25">
      <c r="A35" s="43"/>
      <c r="B35" s="43"/>
      <c r="C35" s="43"/>
      <c r="D35" s="43"/>
    </row>
    <row r="36" spans="1:7" x14ac:dyDescent="0.25">
      <c r="A36" s="44" t="s">
        <v>29</v>
      </c>
      <c r="B36" s="44"/>
      <c r="C36" s="43"/>
      <c r="D36" s="43"/>
    </row>
    <row r="37" spans="1:7" x14ac:dyDescent="0.25">
      <c r="A37" s="43"/>
      <c r="B37" s="43"/>
      <c r="C37" s="43"/>
      <c r="D37" s="43"/>
    </row>
    <row r="38" spans="1:7" x14ac:dyDescent="0.25">
      <c r="A38" s="44" t="s">
        <v>30</v>
      </c>
      <c r="B38" s="44"/>
      <c r="C38" s="43"/>
      <c r="D38" s="43"/>
    </row>
    <row r="39" spans="1:7" x14ac:dyDescent="0.25">
      <c r="A39" s="43"/>
      <c r="B39" s="41"/>
      <c r="C39" s="43"/>
      <c r="D39" s="43"/>
    </row>
    <row r="40" spans="1:7" x14ac:dyDescent="0.25">
      <c r="A40" s="46" t="s">
        <v>31</v>
      </c>
      <c r="B40" s="46" t="s">
        <v>32</v>
      </c>
      <c r="C40" s="89" t="s">
        <v>33</v>
      </c>
      <c r="D40" s="46" t="s">
        <v>4</v>
      </c>
    </row>
    <row r="41" spans="1:7" x14ac:dyDescent="0.25">
      <c r="A41" s="87" t="s">
        <v>5</v>
      </c>
      <c r="B41" s="87" t="s">
        <v>34</v>
      </c>
      <c r="C41" s="57">
        <v>0.2</v>
      </c>
      <c r="D41" s="58">
        <f>C41*C13</f>
        <v>609.6134800000001</v>
      </c>
      <c r="G41" s="38" t="s">
        <v>102</v>
      </c>
    </row>
    <row r="42" spans="1:7" x14ac:dyDescent="0.25">
      <c r="A42" s="87" t="s">
        <v>13</v>
      </c>
      <c r="B42" s="87" t="s">
        <v>35</v>
      </c>
      <c r="C42" s="59">
        <v>2.5000000000000001E-2</v>
      </c>
      <c r="D42" s="58">
        <f>C42*C13</f>
        <v>76.201685000000012</v>
      </c>
      <c r="G42" s="38" t="s">
        <v>103</v>
      </c>
    </row>
    <row r="43" spans="1:7" x14ac:dyDescent="0.25">
      <c r="A43" s="87" t="s">
        <v>17</v>
      </c>
      <c r="B43" s="87" t="s">
        <v>36</v>
      </c>
      <c r="C43" s="57">
        <v>6.0000000000000001E-3</v>
      </c>
      <c r="D43" s="58">
        <f>C43*C13</f>
        <v>18.288404400000001</v>
      </c>
      <c r="G43" s="38" t="s">
        <v>104</v>
      </c>
    </row>
    <row r="44" spans="1:7" x14ac:dyDescent="0.25">
      <c r="A44" s="87" t="s">
        <v>7</v>
      </c>
      <c r="B44" s="87" t="s">
        <v>37</v>
      </c>
      <c r="C44" s="57">
        <v>1.4999999999999999E-2</v>
      </c>
      <c r="D44" s="58">
        <f>C44*C13</f>
        <v>45.721011000000004</v>
      </c>
      <c r="G44" s="38" t="s">
        <v>105</v>
      </c>
    </row>
    <row r="45" spans="1:7" x14ac:dyDescent="0.25">
      <c r="A45" s="87" t="s">
        <v>9</v>
      </c>
      <c r="B45" s="87" t="s">
        <v>38</v>
      </c>
      <c r="C45" s="57">
        <v>0.01</v>
      </c>
      <c r="D45" s="58">
        <f>C45*C13</f>
        <v>30.480674000000004</v>
      </c>
      <c r="G45" s="38" t="s">
        <v>106</v>
      </c>
    </row>
    <row r="46" spans="1:7" x14ac:dyDescent="0.25">
      <c r="A46" s="87" t="s">
        <v>11</v>
      </c>
      <c r="B46" s="87" t="s">
        <v>39</v>
      </c>
      <c r="C46" s="57">
        <v>2E-3</v>
      </c>
      <c r="D46" s="58">
        <f>C46*C13</f>
        <v>6.0961348000000006</v>
      </c>
      <c r="G46" s="38" t="s">
        <v>107</v>
      </c>
    </row>
    <row r="47" spans="1:7" x14ac:dyDescent="0.25">
      <c r="A47" s="87" t="s">
        <v>14</v>
      </c>
      <c r="B47" s="87" t="s">
        <v>40</v>
      </c>
      <c r="C47" s="57">
        <v>0.08</v>
      </c>
      <c r="D47" s="58">
        <f>C47*C13</f>
        <v>243.84539200000003</v>
      </c>
      <c r="G47" s="38" t="s">
        <v>108</v>
      </c>
    </row>
    <row r="48" spans="1:7" x14ac:dyDescent="0.25">
      <c r="A48" s="87" t="s">
        <v>16</v>
      </c>
      <c r="B48" s="87" t="s">
        <v>117</v>
      </c>
      <c r="C48" s="57">
        <v>0.06</v>
      </c>
      <c r="D48" s="58">
        <f>C48*C13</f>
        <v>182.88404400000002</v>
      </c>
      <c r="G48" s="38" t="s">
        <v>109</v>
      </c>
    </row>
    <row r="49" spans="1:8" x14ac:dyDescent="0.25">
      <c r="A49" s="182" t="s">
        <v>41</v>
      </c>
      <c r="B49" s="182"/>
      <c r="C49" s="60">
        <f>SUM(C41:C48)</f>
        <v>0.39800000000000002</v>
      </c>
      <c r="D49" s="61">
        <f>SUM(D41:D48)</f>
        <v>1213.1308251999999</v>
      </c>
    </row>
    <row r="50" spans="1:8" x14ac:dyDescent="0.25">
      <c r="A50" s="43"/>
      <c r="B50" s="43"/>
      <c r="C50" s="43"/>
      <c r="D50" s="43"/>
    </row>
    <row r="51" spans="1:8" x14ac:dyDescent="0.25">
      <c r="A51" s="44" t="s">
        <v>42</v>
      </c>
      <c r="B51" s="44"/>
      <c r="C51" s="43"/>
      <c r="D51" s="43"/>
    </row>
    <row r="52" spans="1:8" x14ac:dyDescent="0.25">
      <c r="A52" s="43"/>
      <c r="B52" s="41"/>
      <c r="C52" s="43"/>
      <c r="D52" s="43"/>
    </row>
    <row r="53" spans="1:8" x14ac:dyDescent="0.25">
      <c r="A53" s="46" t="s">
        <v>43</v>
      </c>
      <c r="B53" s="90" t="s">
        <v>44</v>
      </c>
      <c r="C53" s="89" t="s">
        <v>33</v>
      </c>
      <c r="D53" s="46" t="s">
        <v>4</v>
      </c>
    </row>
    <row r="54" spans="1:8" x14ac:dyDescent="0.25">
      <c r="A54" s="87" t="s">
        <v>5</v>
      </c>
      <c r="B54" s="1" t="s">
        <v>45</v>
      </c>
      <c r="C54" s="57">
        <f>1/12</f>
        <v>8.3333333333333329E-2</v>
      </c>
      <c r="D54" s="58">
        <f>C13*C54</f>
        <v>254.0056166666667</v>
      </c>
      <c r="G54" s="38" t="s">
        <v>110</v>
      </c>
    </row>
    <row r="55" spans="1:8" x14ac:dyDescent="0.25">
      <c r="A55" s="87" t="s">
        <v>7</v>
      </c>
      <c r="B55" s="1" t="s">
        <v>46</v>
      </c>
      <c r="C55" s="62">
        <f>1/3/12</f>
        <v>2.7777777777777776E-2</v>
      </c>
      <c r="D55" s="58">
        <f>C55*C13</f>
        <v>84.668538888888889</v>
      </c>
      <c r="G55" s="38" t="s">
        <v>111</v>
      </c>
    </row>
    <row r="56" spans="1:8" x14ac:dyDescent="0.25">
      <c r="A56" s="182" t="s">
        <v>47</v>
      </c>
      <c r="B56" s="182"/>
      <c r="C56" s="63">
        <f>SUM(C54:C55)</f>
        <v>0.1111111111111111</v>
      </c>
      <c r="D56" s="61">
        <f>SUM(D54:D55)</f>
        <v>338.67415555555556</v>
      </c>
    </row>
    <row r="57" spans="1:8" x14ac:dyDescent="0.25">
      <c r="A57" s="87" t="s">
        <v>9</v>
      </c>
      <c r="B57" s="1" t="s">
        <v>48</v>
      </c>
      <c r="C57" s="57">
        <f>C49*C56</f>
        <v>4.4222222222222225E-2</v>
      </c>
      <c r="D57" s="58">
        <f>C49*D56</f>
        <v>134.79231391111111</v>
      </c>
    </row>
    <row r="58" spans="1:8" x14ac:dyDescent="0.25">
      <c r="A58" s="182" t="s">
        <v>41</v>
      </c>
      <c r="B58" s="182"/>
      <c r="C58" s="63">
        <f>SUM(C56:C57)</f>
        <v>0.15533333333333332</v>
      </c>
      <c r="D58" s="61">
        <f>SUM(D56:D57)</f>
        <v>473.46646946666669</v>
      </c>
      <c r="G58" s="64"/>
    </row>
    <row r="59" spans="1:8" x14ac:dyDescent="0.25">
      <c r="A59" s="43"/>
      <c r="B59" s="43"/>
      <c r="C59" s="43"/>
      <c r="D59" s="43"/>
    </row>
    <row r="60" spans="1:8" x14ac:dyDescent="0.25">
      <c r="A60" s="44" t="s">
        <v>49</v>
      </c>
      <c r="B60" s="43"/>
      <c r="C60" s="43"/>
      <c r="D60" s="43"/>
    </row>
    <row r="61" spans="1:8" x14ac:dyDescent="0.25">
      <c r="A61" s="43"/>
      <c r="B61" s="41"/>
      <c r="C61" s="43"/>
      <c r="D61" s="43"/>
    </row>
    <row r="62" spans="1:8" x14ac:dyDescent="0.25">
      <c r="A62" s="46" t="s">
        <v>50</v>
      </c>
      <c r="B62" s="90" t="s">
        <v>51</v>
      </c>
      <c r="C62" s="89" t="s">
        <v>33</v>
      </c>
      <c r="D62" s="46" t="s">
        <v>4</v>
      </c>
    </row>
    <row r="63" spans="1:8" x14ac:dyDescent="0.25">
      <c r="A63" s="87" t="s">
        <v>5</v>
      </c>
      <c r="B63" s="1" t="s">
        <v>52</v>
      </c>
      <c r="C63" s="65">
        <f>4/3*4/12/12*F63</f>
        <v>7.407407407407407E-4</v>
      </c>
      <c r="D63" s="58">
        <f>C63*C13</f>
        <v>2.257827703703704</v>
      </c>
      <c r="E63" s="39" t="s">
        <v>131</v>
      </c>
      <c r="F63" s="66">
        <v>0.02</v>
      </c>
      <c r="G63" s="38" t="s">
        <v>112</v>
      </c>
      <c r="H63" s="67"/>
    </row>
    <row r="64" spans="1:8" ht="22.5" x14ac:dyDescent="0.25">
      <c r="A64" s="87" t="s">
        <v>7</v>
      </c>
      <c r="B64" s="2" t="s">
        <v>152</v>
      </c>
      <c r="C64" s="65">
        <f>4*F63/12</f>
        <v>6.6666666666666671E-3</v>
      </c>
      <c r="D64" s="58">
        <f>SUM(C20:D24)*C64</f>
        <v>0.14599999999999999</v>
      </c>
      <c r="G64" s="43" t="s">
        <v>151</v>
      </c>
    </row>
    <row r="65" spans="1:7" ht="22.5" x14ac:dyDescent="0.25">
      <c r="A65" s="87" t="s">
        <v>9</v>
      </c>
      <c r="B65" s="3" t="s">
        <v>149</v>
      </c>
      <c r="C65" s="65">
        <f>((4+1/3+1/3)/12)*C49*F63</f>
        <v>3.0955555555555554E-3</v>
      </c>
      <c r="D65" s="58">
        <f>C13*C65</f>
        <v>9.4354619737777785</v>
      </c>
      <c r="G65" s="43" t="s">
        <v>150</v>
      </c>
    </row>
    <row r="66" spans="1:7" x14ac:dyDescent="0.25">
      <c r="A66" s="182" t="s">
        <v>41</v>
      </c>
      <c r="B66" s="182"/>
      <c r="C66" s="68">
        <f>SUM(C63:C65)</f>
        <v>1.0502962962962964E-2</v>
      </c>
      <c r="D66" s="61">
        <f>SUM(D63:D65)</f>
        <v>11.839289677481482</v>
      </c>
    </row>
    <row r="67" spans="1:7" x14ac:dyDescent="0.25">
      <c r="A67" s="43"/>
      <c r="B67" s="43"/>
      <c r="C67" s="43"/>
      <c r="D67" s="43"/>
    </row>
    <row r="68" spans="1:7" x14ac:dyDescent="0.25">
      <c r="A68" s="44" t="s">
        <v>53</v>
      </c>
      <c r="B68" s="43"/>
      <c r="C68" s="43"/>
      <c r="D68" s="43"/>
    </row>
    <row r="69" spans="1:7" x14ac:dyDescent="0.25">
      <c r="A69" s="43"/>
      <c r="B69" s="41"/>
      <c r="C69" s="43"/>
      <c r="D69" s="43"/>
    </row>
    <row r="70" spans="1:7" s="44" customFormat="1" x14ac:dyDescent="0.25">
      <c r="A70" s="46" t="s">
        <v>54</v>
      </c>
      <c r="B70" s="90" t="s">
        <v>55</v>
      </c>
      <c r="C70" s="89" t="s">
        <v>33</v>
      </c>
      <c r="D70" s="46" t="s">
        <v>4</v>
      </c>
      <c r="E70" s="39"/>
      <c r="F70" s="39"/>
      <c r="G70" s="38"/>
    </row>
    <row r="71" spans="1:7" ht="21" x14ac:dyDescent="0.25">
      <c r="A71" s="87" t="s">
        <v>5</v>
      </c>
      <c r="B71" s="69" t="s">
        <v>56</v>
      </c>
      <c r="C71" s="65">
        <f>(1/12*1.5+1/30*3/12)*5%</f>
        <v>6.6666666666666671E-3</v>
      </c>
      <c r="D71" s="58">
        <f>C71*C13</f>
        <v>20.320449333333336</v>
      </c>
      <c r="E71" s="39" t="s">
        <v>132</v>
      </c>
      <c r="F71" s="66">
        <v>0.05</v>
      </c>
      <c r="G71" s="38" t="s">
        <v>153</v>
      </c>
    </row>
    <row r="72" spans="1:7" x14ac:dyDescent="0.25">
      <c r="A72" s="87" t="s">
        <v>7</v>
      </c>
      <c r="B72" s="1" t="s">
        <v>57</v>
      </c>
      <c r="C72" s="65">
        <f>C47*C71</f>
        <v>5.3333333333333336E-4</v>
      </c>
      <c r="D72" s="58">
        <f>C72*C13</f>
        <v>1.625635946666667</v>
      </c>
    </row>
    <row r="73" spans="1:7" x14ac:dyDescent="0.25">
      <c r="A73" s="87" t="s">
        <v>58</v>
      </c>
      <c r="B73" s="69" t="s">
        <v>59</v>
      </c>
      <c r="C73" s="65">
        <f>0.4*C47</f>
        <v>3.2000000000000001E-2</v>
      </c>
      <c r="D73" s="70">
        <f>C73*C13</f>
        <v>97.53815680000001</v>
      </c>
      <c r="G73" s="38" t="s">
        <v>113</v>
      </c>
    </row>
    <row r="74" spans="1:7" x14ac:dyDescent="0.25">
      <c r="A74" s="87" t="s">
        <v>60</v>
      </c>
      <c r="B74" s="69" t="s">
        <v>61</v>
      </c>
      <c r="C74" s="65">
        <f>C47*10%</f>
        <v>8.0000000000000002E-3</v>
      </c>
      <c r="D74" s="70">
        <f>C74*C13</f>
        <v>24.384539200000003</v>
      </c>
      <c r="G74" s="38" t="s">
        <v>114</v>
      </c>
    </row>
    <row r="75" spans="1:7" ht="21" x14ac:dyDescent="0.25">
      <c r="A75" s="87" t="s">
        <v>11</v>
      </c>
      <c r="B75" s="69" t="s">
        <v>62</v>
      </c>
      <c r="C75" s="65">
        <f>7/30/12*100%</f>
        <v>1.9444444444444445E-2</v>
      </c>
      <c r="D75" s="70">
        <f>C75*C13</f>
        <v>59.267977222222228</v>
      </c>
      <c r="E75" s="39" t="s">
        <v>133</v>
      </c>
      <c r="F75" s="66">
        <v>1</v>
      </c>
      <c r="G75" s="38" t="s">
        <v>115</v>
      </c>
    </row>
    <row r="76" spans="1:7" x14ac:dyDescent="0.25">
      <c r="A76" s="87" t="s">
        <v>13</v>
      </c>
      <c r="B76" s="69" t="s">
        <v>63</v>
      </c>
      <c r="C76" s="65">
        <f>C49*C75</f>
        <v>7.7388888888888898E-3</v>
      </c>
      <c r="D76" s="58">
        <f>C76*C13</f>
        <v>23.588654934444449</v>
      </c>
    </row>
    <row r="77" spans="1:7" x14ac:dyDescent="0.25">
      <c r="A77" s="182" t="s">
        <v>41</v>
      </c>
      <c r="B77" s="182"/>
      <c r="C77" s="68">
        <f>SUM(C71:C76)</f>
        <v>7.4383333333333343E-2</v>
      </c>
      <c r="D77" s="71">
        <f>SUM(D71:D76)</f>
        <v>226.72541343666666</v>
      </c>
    </row>
    <row r="78" spans="1:7" x14ac:dyDescent="0.25">
      <c r="A78" s="43"/>
      <c r="B78" s="43"/>
      <c r="C78" s="43"/>
      <c r="D78" s="43"/>
    </row>
    <row r="79" spans="1:7" x14ac:dyDescent="0.25">
      <c r="A79" s="44" t="s">
        <v>64</v>
      </c>
      <c r="B79" s="43"/>
      <c r="C79" s="43"/>
      <c r="D79" s="43"/>
      <c r="G79" s="72"/>
    </row>
    <row r="80" spans="1:7" x14ac:dyDescent="0.25">
      <c r="A80" s="43"/>
      <c r="B80" s="41"/>
      <c r="C80" s="43"/>
      <c r="D80" s="43"/>
    </row>
    <row r="81" spans="1:7" x14ac:dyDescent="0.25">
      <c r="A81" s="46" t="s">
        <v>65</v>
      </c>
      <c r="B81" s="46" t="s">
        <v>66</v>
      </c>
      <c r="C81" s="89" t="s">
        <v>33</v>
      </c>
      <c r="D81" s="46" t="s">
        <v>4</v>
      </c>
      <c r="E81" s="39" t="s">
        <v>137</v>
      </c>
      <c r="F81" s="73">
        <f>((C13+D94+D95+D96+D97)/30)/C13</f>
        <v>5.4386695405541384E-2</v>
      </c>
      <c r="G81" s="74">
        <f>F81*C13</f>
        <v>165.7743132593605</v>
      </c>
    </row>
    <row r="82" spans="1:7" x14ac:dyDescent="0.25">
      <c r="A82" s="87" t="s">
        <v>5</v>
      </c>
      <c r="B82" s="1" t="s">
        <v>67</v>
      </c>
      <c r="C82" s="65">
        <f>F81*F82/12</f>
        <v>0.13596673851385346</v>
      </c>
      <c r="D82" s="58">
        <f>C82*C13</f>
        <v>414.43578314840124</v>
      </c>
      <c r="E82" s="73" t="s">
        <v>143</v>
      </c>
      <c r="F82" s="39">
        <v>30</v>
      </c>
      <c r="G82" s="38" t="s">
        <v>138</v>
      </c>
    </row>
    <row r="83" spans="1:7" x14ac:dyDescent="0.25">
      <c r="A83" s="87" t="s">
        <v>7</v>
      </c>
      <c r="B83" s="1" t="s">
        <v>68</v>
      </c>
      <c r="C83" s="65">
        <f>F81*F83*F83/360</f>
        <v>3.7768538476070407E-3</v>
      </c>
      <c r="D83" s="58">
        <f>C83*C13</f>
        <v>11.512105087455589</v>
      </c>
      <c r="E83" s="39" t="s">
        <v>139</v>
      </c>
      <c r="F83" s="39">
        <v>5</v>
      </c>
      <c r="G83" s="38" t="s">
        <v>154</v>
      </c>
    </row>
    <row r="84" spans="1:7" x14ac:dyDescent="0.25">
      <c r="A84" s="87" t="s">
        <v>9</v>
      </c>
      <c r="B84" s="1" t="s">
        <v>69</v>
      </c>
      <c r="C84" s="65">
        <f>5*F81*1%</f>
        <v>2.7193347702770695E-3</v>
      </c>
      <c r="D84" s="58">
        <f>C84*C13</f>
        <v>8.2887156629680252</v>
      </c>
      <c r="E84" s="39" t="s">
        <v>155</v>
      </c>
      <c r="F84" s="73">
        <f>F83/360</f>
        <v>1.3888888888888888E-2</v>
      </c>
      <c r="G84" s="38" t="s">
        <v>142</v>
      </c>
    </row>
    <row r="85" spans="1:7" x14ac:dyDescent="0.25">
      <c r="A85" s="87" t="s">
        <v>11</v>
      </c>
      <c r="B85" s="1" t="s">
        <v>70</v>
      </c>
      <c r="C85" s="65">
        <f>F86*F87*F81</f>
        <v>2.4322938778589346E-4</v>
      </c>
      <c r="D85" s="58">
        <f>C85*C13</f>
        <v>0.74137956763214008</v>
      </c>
      <c r="E85" s="39" t="s">
        <v>140</v>
      </c>
      <c r="F85" s="75">
        <v>0.01</v>
      </c>
      <c r="G85" s="38" t="s">
        <v>146</v>
      </c>
    </row>
    <row r="86" spans="1:7" x14ac:dyDescent="0.25">
      <c r="A86" s="87" t="s">
        <v>13</v>
      </c>
      <c r="B86" s="1" t="s">
        <v>71</v>
      </c>
      <c r="C86" s="65">
        <f>15*F81*F88</f>
        <v>6.5264034486649664E-2</v>
      </c>
      <c r="D86" s="58">
        <f>C86*C13</f>
        <v>198.92917591123259</v>
      </c>
      <c r="E86" s="39" t="s">
        <v>144</v>
      </c>
      <c r="F86" s="39">
        <v>7</v>
      </c>
      <c r="G86" s="38" t="s">
        <v>147</v>
      </c>
    </row>
    <row r="87" spans="1:7" ht="21" x14ac:dyDescent="0.25">
      <c r="A87" s="182" t="s">
        <v>47</v>
      </c>
      <c r="B87" s="182"/>
      <c r="C87" s="68">
        <f>SUM(C82:C86)</f>
        <v>0.20797019100617314</v>
      </c>
      <c r="D87" s="61">
        <f>SUM(D82:D86)</f>
        <v>633.9071593776896</v>
      </c>
      <c r="E87" s="39" t="s">
        <v>145</v>
      </c>
      <c r="F87" s="73">
        <f>(3*5%+2*2%+1*2%+1*2%)/360</f>
        <v>6.3888888888888893E-4</v>
      </c>
      <c r="G87" s="38" t="s">
        <v>148</v>
      </c>
    </row>
    <row r="88" spans="1:7" x14ac:dyDescent="0.25">
      <c r="A88" s="87" t="s">
        <v>16</v>
      </c>
      <c r="B88" s="1" t="s">
        <v>72</v>
      </c>
      <c r="C88" s="65">
        <f>C49*C87</f>
        <v>8.277213602045691E-2</v>
      </c>
      <c r="D88" s="58">
        <f>D87*C49</f>
        <v>252.29504943232047</v>
      </c>
      <c r="E88" s="39" t="s">
        <v>141</v>
      </c>
      <c r="F88" s="75">
        <v>0.08</v>
      </c>
    </row>
    <row r="89" spans="1:7" x14ac:dyDescent="0.25">
      <c r="A89" s="182" t="s">
        <v>41</v>
      </c>
      <c r="B89" s="192"/>
      <c r="C89" s="68">
        <f>SUM(C87:C88)</f>
        <v>0.29074232702663005</v>
      </c>
      <c r="D89" s="61">
        <f>SUM(D87:D88)</f>
        <v>886.20220881001001</v>
      </c>
    </row>
    <row r="90" spans="1:7" x14ac:dyDescent="0.25">
      <c r="A90" s="43"/>
      <c r="B90" s="43"/>
      <c r="C90" s="43"/>
      <c r="D90" s="43"/>
    </row>
    <row r="91" spans="1:7" x14ac:dyDescent="0.25">
      <c r="A91" s="44" t="s">
        <v>73</v>
      </c>
      <c r="B91" s="43"/>
      <c r="C91" s="43"/>
      <c r="D91" s="43"/>
    </row>
    <row r="92" spans="1:7" x14ac:dyDescent="0.25">
      <c r="A92" s="43"/>
      <c r="B92" s="41"/>
      <c r="C92" s="43"/>
      <c r="D92" s="43"/>
    </row>
    <row r="93" spans="1:7" s="44" customFormat="1" x14ac:dyDescent="0.25">
      <c r="A93" s="90">
        <v>4</v>
      </c>
      <c r="B93" s="90" t="s">
        <v>74</v>
      </c>
      <c r="C93" s="89" t="s">
        <v>33</v>
      </c>
      <c r="D93" s="46" t="s">
        <v>4</v>
      </c>
      <c r="E93" s="39"/>
      <c r="F93" s="39"/>
      <c r="G93" s="38"/>
    </row>
    <row r="94" spans="1:7" x14ac:dyDescent="0.25">
      <c r="A94" s="87" t="s">
        <v>31</v>
      </c>
      <c r="B94" s="1" t="s">
        <v>75</v>
      </c>
      <c r="C94" s="65">
        <f>C58</f>
        <v>0.15533333333333332</v>
      </c>
      <c r="D94" s="58">
        <f>D58</f>
        <v>473.46646946666669</v>
      </c>
    </row>
    <row r="95" spans="1:7" x14ac:dyDescent="0.25">
      <c r="A95" s="87" t="s">
        <v>43</v>
      </c>
      <c r="B95" s="1" t="s">
        <v>32</v>
      </c>
      <c r="C95" s="65">
        <f>C49</f>
        <v>0.39800000000000002</v>
      </c>
      <c r="D95" s="58">
        <f>D49</f>
        <v>1213.1308251999999</v>
      </c>
    </row>
    <row r="96" spans="1:7" x14ac:dyDescent="0.25">
      <c r="A96" s="87" t="s">
        <v>50</v>
      </c>
      <c r="B96" s="1" t="s">
        <v>76</v>
      </c>
      <c r="C96" s="65">
        <f>C66</f>
        <v>1.0502962962962964E-2</v>
      </c>
      <c r="D96" s="58">
        <f>D66</f>
        <v>11.839289677481482</v>
      </c>
    </row>
    <row r="97" spans="1:7" x14ac:dyDescent="0.25">
      <c r="A97" s="87" t="s">
        <v>54</v>
      </c>
      <c r="B97" s="1" t="s">
        <v>77</v>
      </c>
      <c r="C97" s="65">
        <f>C77</f>
        <v>7.4383333333333343E-2</v>
      </c>
      <c r="D97" s="58">
        <f>D77</f>
        <v>226.72541343666666</v>
      </c>
    </row>
    <row r="98" spans="1:7" x14ac:dyDescent="0.25">
      <c r="A98" s="87" t="s">
        <v>65</v>
      </c>
      <c r="B98" s="1" t="s">
        <v>78</v>
      </c>
      <c r="C98" s="65">
        <f>C89</f>
        <v>0.29074232702663005</v>
      </c>
      <c r="D98" s="58">
        <f>D89</f>
        <v>886.20220881001001</v>
      </c>
    </row>
    <row r="99" spans="1:7" x14ac:dyDescent="0.25">
      <c r="A99" s="87" t="s">
        <v>79</v>
      </c>
      <c r="B99" s="1" t="s">
        <v>18</v>
      </c>
      <c r="C99" s="65">
        <f>C90</f>
        <v>0</v>
      </c>
      <c r="D99" s="58">
        <v>0</v>
      </c>
    </row>
    <row r="100" spans="1:7" x14ac:dyDescent="0.25">
      <c r="A100" s="191" t="s">
        <v>41</v>
      </c>
      <c r="B100" s="166"/>
      <c r="C100" s="68">
        <f>SUM(C94:C99)</f>
        <v>0.92896195665625969</v>
      </c>
      <c r="D100" s="61">
        <f>SUM(D94:D99)</f>
        <v>2811.3642065908248</v>
      </c>
    </row>
    <row r="101" spans="1:7" x14ac:dyDescent="0.25">
      <c r="A101" s="43"/>
      <c r="B101" s="43"/>
      <c r="C101" s="43"/>
      <c r="D101" s="43"/>
    </row>
    <row r="102" spans="1:7" x14ac:dyDescent="0.25">
      <c r="A102" s="194" t="s">
        <v>80</v>
      </c>
      <c r="B102" s="195"/>
      <c r="C102" s="196"/>
      <c r="D102" s="61">
        <f>D100+C34+C25+C13</f>
        <v>9102.2148065908241</v>
      </c>
    </row>
    <row r="103" spans="1:7" x14ac:dyDescent="0.25">
      <c r="A103" s="43"/>
      <c r="B103" s="43"/>
      <c r="C103" s="43"/>
      <c r="D103" s="43"/>
    </row>
    <row r="104" spans="1:7" s="44" customFormat="1" x14ac:dyDescent="0.25">
      <c r="A104" s="44" t="s">
        <v>81</v>
      </c>
      <c r="E104" s="39"/>
      <c r="F104" s="39"/>
      <c r="G104" s="38"/>
    </row>
    <row r="105" spans="1:7" x14ac:dyDescent="0.25">
      <c r="A105" s="43"/>
      <c r="B105" s="41"/>
      <c r="C105" s="43"/>
      <c r="D105" s="43"/>
    </row>
    <row r="106" spans="1:7" x14ac:dyDescent="0.25">
      <c r="A106" s="90">
        <v>5</v>
      </c>
      <c r="B106" s="46" t="s">
        <v>82</v>
      </c>
      <c r="C106" s="89" t="s">
        <v>33</v>
      </c>
      <c r="D106" s="46" t="s">
        <v>4</v>
      </c>
    </row>
    <row r="107" spans="1:7" x14ac:dyDescent="0.25">
      <c r="A107" s="87" t="s">
        <v>5</v>
      </c>
      <c r="B107" s="87" t="s">
        <v>83</v>
      </c>
      <c r="C107" s="57">
        <f>F107</f>
        <v>0.05</v>
      </c>
      <c r="D107" s="58">
        <f>(D100+C34+C25+C13)*C107</f>
        <v>455.11074032954122</v>
      </c>
      <c r="E107" s="39" t="s">
        <v>83</v>
      </c>
      <c r="F107" s="75">
        <v>0.05</v>
      </c>
      <c r="G107" s="38" t="s">
        <v>118</v>
      </c>
    </row>
    <row r="108" spans="1:7" x14ac:dyDescent="0.25">
      <c r="A108" s="87" t="s">
        <v>7</v>
      </c>
      <c r="B108" s="87" t="s">
        <v>84</v>
      </c>
      <c r="C108" s="57">
        <f>F108</f>
        <v>0.1</v>
      </c>
      <c r="D108" s="58">
        <f>(D100+C34+C25+C13+D107)*C108</f>
        <v>955.7325546920365</v>
      </c>
      <c r="E108" s="39" t="s">
        <v>84</v>
      </c>
      <c r="F108" s="75">
        <v>0.1</v>
      </c>
      <c r="G108" s="38" t="s">
        <v>119</v>
      </c>
    </row>
    <row r="109" spans="1:7" x14ac:dyDescent="0.25">
      <c r="A109" s="87" t="s">
        <v>9</v>
      </c>
      <c r="B109" s="87" t="s">
        <v>85</v>
      </c>
      <c r="C109" s="88"/>
      <c r="D109" s="58"/>
    </row>
    <row r="110" spans="1:7" x14ac:dyDescent="0.25">
      <c r="A110" s="87"/>
      <c r="B110" s="87" t="s">
        <v>86</v>
      </c>
      <c r="C110" s="77">
        <f>1-(C111+C113)</f>
        <v>0.85749999999999993</v>
      </c>
      <c r="D110" s="58">
        <f>(D100+C34+C25+C13+D107+D108)/C110</f>
        <v>12260.126066020295</v>
      </c>
      <c r="E110" s="39" t="s">
        <v>134</v>
      </c>
      <c r="F110" s="78">
        <v>7.5999999999999998E-2</v>
      </c>
    </row>
    <row r="111" spans="1:7" x14ac:dyDescent="0.25">
      <c r="A111" s="87"/>
      <c r="B111" s="87" t="s">
        <v>87</v>
      </c>
      <c r="C111" s="57">
        <f>F110+F111</f>
        <v>9.2499999999999999E-2</v>
      </c>
      <c r="D111" s="79">
        <f>C111*D110</f>
        <v>1134.0616611068772</v>
      </c>
      <c r="E111" s="39" t="s">
        <v>135</v>
      </c>
      <c r="F111" s="78">
        <v>1.6500000000000001E-2</v>
      </c>
    </row>
    <row r="112" spans="1:7" x14ac:dyDescent="0.25">
      <c r="A112" s="87"/>
      <c r="B112" s="87" t="s">
        <v>88</v>
      </c>
      <c r="C112" s="88"/>
      <c r="D112" s="58"/>
    </row>
    <row r="113" spans="1:7" x14ac:dyDescent="0.25">
      <c r="A113" s="87"/>
      <c r="B113" s="87" t="s">
        <v>89</v>
      </c>
      <c r="C113" s="57">
        <f>F113</f>
        <v>0.05</v>
      </c>
      <c r="D113" s="79">
        <f>D110*C113</f>
        <v>613.00630330101478</v>
      </c>
      <c r="E113" s="39" t="s">
        <v>136</v>
      </c>
      <c r="F113" s="75">
        <v>0.05</v>
      </c>
    </row>
    <row r="114" spans="1:7" x14ac:dyDescent="0.25">
      <c r="A114" s="87"/>
      <c r="B114" s="87" t="s">
        <v>90</v>
      </c>
      <c r="C114" s="88"/>
      <c r="D114" s="58"/>
    </row>
    <row r="115" spans="1:7" x14ac:dyDescent="0.25">
      <c r="A115" s="182" t="s">
        <v>91</v>
      </c>
      <c r="B115" s="182"/>
      <c r="C115" s="182"/>
      <c r="D115" s="61">
        <f>SUM(D107,D111,D113,D108,D112)</f>
        <v>3157.9112594294697</v>
      </c>
    </row>
    <row r="116" spans="1:7" x14ac:dyDescent="0.25">
      <c r="A116" s="43"/>
      <c r="B116" s="43"/>
      <c r="C116" s="43"/>
      <c r="D116" s="43"/>
    </row>
    <row r="117" spans="1:7" x14ac:dyDescent="0.25">
      <c r="A117" s="44" t="s">
        <v>92</v>
      </c>
      <c r="B117" s="43"/>
      <c r="C117" s="43"/>
      <c r="D117" s="43"/>
    </row>
    <row r="118" spans="1:7" x14ac:dyDescent="0.25">
      <c r="A118" s="43"/>
      <c r="C118" s="43"/>
      <c r="D118" s="43"/>
    </row>
    <row r="119" spans="1:7" s="44" customFormat="1" x14ac:dyDescent="0.25">
      <c r="A119" s="46"/>
      <c r="B119" s="182" t="s">
        <v>93</v>
      </c>
      <c r="C119" s="182"/>
      <c r="D119" s="89" t="s">
        <v>94</v>
      </c>
      <c r="E119" s="39"/>
      <c r="F119" s="39"/>
      <c r="G119" s="38"/>
    </row>
    <row r="120" spans="1:7" x14ac:dyDescent="0.25">
      <c r="A120" s="87" t="s">
        <v>5</v>
      </c>
      <c r="B120" s="193" t="s">
        <v>95</v>
      </c>
      <c r="C120" s="193"/>
      <c r="D120" s="80">
        <f>C13</f>
        <v>3048.0674000000004</v>
      </c>
    </row>
    <row r="121" spans="1:7" x14ac:dyDescent="0.25">
      <c r="A121" s="87" t="s">
        <v>7</v>
      </c>
      <c r="B121" s="193" t="s">
        <v>96</v>
      </c>
      <c r="C121" s="193"/>
      <c r="D121" s="80">
        <f>C25</f>
        <v>713.79319999999996</v>
      </c>
    </row>
    <row r="122" spans="1:7" x14ac:dyDescent="0.25">
      <c r="A122" s="1" t="s">
        <v>9</v>
      </c>
      <c r="B122" s="193" t="s">
        <v>97</v>
      </c>
      <c r="C122" s="192"/>
      <c r="D122" s="80">
        <f>C34</f>
        <v>2528.9899999999998</v>
      </c>
    </row>
    <row r="123" spans="1:7" x14ac:dyDescent="0.25">
      <c r="A123" s="87" t="s">
        <v>11</v>
      </c>
      <c r="B123" s="87" t="s">
        <v>98</v>
      </c>
      <c r="C123" s="62">
        <f>C49+C58+C66+C77+C89</f>
        <v>0.92896195665625969</v>
      </c>
      <c r="D123" s="80">
        <f>D100</f>
        <v>2811.3642065908248</v>
      </c>
    </row>
    <row r="124" spans="1:7" x14ac:dyDescent="0.25">
      <c r="A124" s="87"/>
      <c r="B124" s="193" t="s">
        <v>99</v>
      </c>
      <c r="C124" s="192"/>
      <c r="D124" s="80">
        <f>SUM(D120:D123)</f>
        <v>9102.2148065908241</v>
      </c>
    </row>
    <row r="125" spans="1:7" x14ac:dyDescent="0.25">
      <c r="A125" s="87" t="s">
        <v>13</v>
      </c>
      <c r="B125" s="193" t="s">
        <v>100</v>
      </c>
      <c r="C125" s="193"/>
      <c r="D125" s="81">
        <f>SUM(D115)</f>
        <v>3157.9112594294697</v>
      </c>
    </row>
    <row r="126" spans="1:7" x14ac:dyDescent="0.25">
      <c r="A126" s="182" t="s">
        <v>101</v>
      </c>
      <c r="B126" s="182"/>
      <c r="C126" s="182"/>
      <c r="D126" s="81">
        <f>SUM(D124+D125)</f>
        <v>12260.126066020293</v>
      </c>
    </row>
    <row r="131" spans="1:8" s="39" customFormat="1" x14ac:dyDescent="0.25">
      <c r="A131" s="4"/>
      <c r="B131" s="82"/>
      <c r="C131" s="82"/>
      <c r="D131" s="4"/>
      <c r="G131" s="38"/>
      <c r="H131" s="4"/>
    </row>
    <row r="132" spans="1:8" s="39" customFormat="1" x14ac:dyDescent="0.25">
      <c r="A132" s="4"/>
      <c r="B132" s="82"/>
      <c r="C132" s="83"/>
      <c r="D132" s="4"/>
      <c r="G132" s="38"/>
      <c r="H132" s="4"/>
    </row>
    <row r="136" spans="1:8" s="39" customFormat="1" x14ac:dyDescent="0.25">
      <c r="A136" s="4"/>
      <c r="B136" s="43"/>
      <c r="C136" s="43"/>
      <c r="D136" s="4"/>
      <c r="G136" s="38"/>
      <c r="H136" s="4"/>
    </row>
    <row r="137" spans="1:8" s="39" customFormat="1" x14ac:dyDescent="0.25">
      <c r="A137" s="4"/>
      <c r="B137" s="43"/>
      <c r="C137" s="43"/>
      <c r="D137" s="4"/>
      <c r="G137" s="38"/>
      <c r="H137" s="4"/>
    </row>
    <row r="138" spans="1:8" s="39" customFormat="1" x14ac:dyDescent="0.25">
      <c r="A138" s="4"/>
      <c r="B138" s="43"/>
      <c r="C138" s="43"/>
      <c r="D138" s="4"/>
      <c r="G138" s="38"/>
      <c r="H138" s="4"/>
    </row>
    <row r="139" spans="1:8" s="39" customFormat="1" x14ac:dyDescent="0.25">
      <c r="A139" s="43"/>
      <c r="B139" s="44"/>
      <c r="C139" s="43"/>
      <c r="D139" s="43"/>
      <c r="G139" s="38"/>
      <c r="H139" s="4"/>
    </row>
    <row r="140" spans="1:8" s="39" customFormat="1" x14ac:dyDescent="0.25">
      <c r="A140" s="43"/>
      <c r="B140" s="44"/>
      <c r="C140" s="43"/>
      <c r="D140" s="43"/>
      <c r="G140" s="38"/>
      <c r="H140" s="4"/>
    </row>
    <row r="141" spans="1:8" s="39" customFormat="1" x14ac:dyDescent="0.25">
      <c r="A141" s="43"/>
      <c r="B141" s="43"/>
      <c r="C141" s="43"/>
      <c r="D141" s="43"/>
      <c r="G141" s="38"/>
      <c r="H141" s="4"/>
    </row>
    <row r="142" spans="1:8" s="39" customFormat="1" x14ac:dyDescent="0.25">
      <c r="A142" s="44"/>
      <c r="B142" s="4"/>
      <c r="C142" s="4"/>
      <c r="D142" s="43"/>
      <c r="G142" s="38"/>
      <c r="H142" s="4"/>
    </row>
    <row r="143" spans="1:8" s="39" customFormat="1" x14ac:dyDescent="0.25">
      <c r="A143" s="44"/>
      <c r="B143" s="4"/>
      <c r="C143" s="4"/>
      <c r="D143" s="43"/>
      <c r="G143" s="38"/>
      <c r="H143" s="4"/>
    </row>
    <row r="144" spans="1:8" s="39" customFormat="1" x14ac:dyDescent="0.25">
      <c r="A144" s="43"/>
      <c r="B144" s="4"/>
      <c r="C144" s="4"/>
      <c r="D144" s="43"/>
      <c r="G144" s="38"/>
      <c r="H144" s="4"/>
    </row>
  </sheetData>
  <mergeCells count="45">
    <mergeCell ref="B124:C124"/>
    <mergeCell ref="B125:C125"/>
    <mergeCell ref="A126:C126"/>
    <mergeCell ref="A102:C102"/>
    <mergeCell ref="A115:C115"/>
    <mergeCell ref="B119:C119"/>
    <mergeCell ref="B120:C120"/>
    <mergeCell ref="B121:C121"/>
    <mergeCell ref="B122:C122"/>
    <mergeCell ref="C29:D29"/>
    <mergeCell ref="C30:D30"/>
    <mergeCell ref="A100:B100"/>
    <mergeCell ref="C32:D32"/>
    <mergeCell ref="C33:D33"/>
    <mergeCell ref="A34:B34"/>
    <mergeCell ref="C34:D34"/>
    <mergeCell ref="A49:B49"/>
    <mergeCell ref="A56:B56"/>
    <mergeCell ref="A58:B58"/>
    <mergeCell ref="A66:B66"/>
    <mergeCell ref="A77:B77"/>
    <mergeCell ref="A87:B87"/>
    <mergeCell ref="A89:B89"/>
    <mergeCell ref="C31:D31"/>
    <mergeCell ref="C19:D19"/>
    <mergeCell ref="C20:D20"/>
    <mergeCell ref="C21:D21"/>
    <mergeCell ref="C22:D22"/>
    <mergeCell ref="A27:B27"/>
    <mergeCell ref="C23:D23"/>
    <mergeCell ref="C24:D24"/>
    <mergeCell ref="C25:D25"/>
    <mergeCell ref="C18:D18"/>
    <mergeCell ref="C17:D17"/>
    <mergeCell ref="A1:D1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6" orientation="portrait" verticalDpi="597" r:id="rId1"/>
  <rowBreaks count="1" manualBreakCount="1"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zoomScaleNormal="100" zoomScaleSheetLayoutView="100" workbookViewId="0">
      <selection activeCell="E3" sqref="E3"/>
    </sheetView>
  </sheetViews>
  <sheetFormatPr defaultRowHeight="11.25" x14ac:dyDescent="0.25"/>
  <cols>
    <col min="1" max="1" width="5.7109375" style="4" customWidth="1"/>
    <col min="2" max="2" width="53.5703125" style="4" customWidth="1"/>
    <col min="3" max="3" width="10.7109375" style="4" customWidth="1"/>
    <col min="4" max="4" width="12.42578125" style="4" customWidth="1"/>
    <col min="5" max="5" width="16.42578125" style="39" customWidth="1"/>
    <col min="6" max="6" width="6" style="39" customWidth="1"/>
    <col min="7" max="7" width="34.5703125" style="38" customWidth="1"/>
    <col min="8" max="256" width="8.85546875" style="4"/>
    <col min="257" max="257" width="5.7109375" style="4" customWidth="1"/>
    <col min="258" max="258" width="62.7109375" style="4" customWidth="1"/>
    <col min="259" max="259" width="12.42578125" style="4" customWidth="1"/>
    <col min="260" max="260" width="18" style="4" customWidth="1"/>
    <col min="261" max="261" width="59.7109375" style="4" customWidth="1"/>
    <col min="262" max="262" width="16.140625" style="4" customWidth="1"/>
    <col min="263" max="263" width="18.5703125" style="4" bestFit="1" customWidth="1"/>
    <col min="264" max="512" width="8.85546875" style="4"/>
    <col min="513" max="513" width="5.7109375" style="4" customWidth="1"/>
    <col min="514" max="514" width="62.7109375" style="4" customWidth="1"/>
    <col min="515" max="515" width="12.42578125" style="4" customWidth="1"/>
    <col min="516" max="516" width="18" style="4" customWidth="1"/>
    <col min="517" max="517" width="59.7109375" style="4" customWidth="1"/>
    <col min="518" max="518" width="16.140625" style="4" customWidth="1"/>
    <col min="519" max="519" width="18.5703125" style="4" bestFit="1" customWidth="1"/>
    <col min="520" max="768" width="8.85546875" style="4"/>
    <col min="769" max="769" width="5.7109375" style="4" customWidth="1"/>
    <col min="770" max="770" width="62.7109375" style="4" customWidth="1"/>
    <col min="771" max="771" width="12.42578125" style="4" customWidth="1"/>
    <col min="772" max="772" width="18" style="4" customWidth="1"/>
    <col min="773" max="773" width="59.7109375" style="4" customWidth="1"/>
    <col min="774" max="774" width="16.140625" style="4" customWidth="1"/>
    <col min="775" max="775" width="18.5703125" style="4" bestFit="1" customWidth="1"/>
    <col min="776" max="1024" width="8.85546875" style="4"/>
    <col min="1025" max="1025" width="5.7109375" style="4" customWidth="1"/>
    <col min="1026" max="1026" width="62.7109375" style="4" customWidth="1"/>
    <col min="1027" max="1027" width="12.42578125" style="4" customWidth="1"/>
    <col min="1028" max="1028" width="18" style="4" customWidth="1"/>
    <col min="1029" max="1029" width="59.7109375" style="4" customWidth="1"/>
    <col min="1030" max="1030" width="16.140625" style="4" customWidth="1"/>
    <col min="1031" max="1031" width="18.5703125" style="4" bestFit="1" customWidth="1"/>
    <col min="1032" max="1280" width="8.85546875" style="4"/>
    <col min="1281" max="1281" width="5.7109375" style="4" customWidth="1"/>
    <col min="1282" max="1282" width="62.7109375" style="4" customWidth="1"/>
    <col min="1283" max="1283" width="12.42578125" style="4" customWidth="1"/>
    <col min="1284" max="1284" width="18" style="4" customWidth="1"/>
    <col min="1285" max="1285" width="59.7109375" style="4" customWidth="1"/>
    <col min="1286" max="1286" width="16.140625" style="4" customWidth="1"/>
    <col min="1287" max="1287" width="18.5703125" style="4" bestFit="1" customWidth="1"/>
    <col min="1288" max="1536" width="8.85546875" style="4"/>
    <col min="1537" max="1537" width="5.7109375" style="4" customWidth="1"/>
    <col min="1538" max="1538" width="62.7109375" style="4" customWidth="1"/>
    <col min="1539" max="1539" width="12.42578125" style="4" customWidth="1"/>
    <col min="1540" max="1540" width="18" style="4" customWidth="1"/>
    <col min="1541" max="1541" width="59.7109375" style="4" customWidth="1"/>
    <col min="1542" max="1542" width="16.140625" style="4" customWidth="1"/>
    <col min="1543" max="1543" width="18.5703125" style="4" bestFit="1" customWidth="1"/>
    <col min="1544" max="1792" width="8.85546875" style="4"/>
    <col min="1793" max="1793" width="5.7109375" style="4" customWidth="1"/>
    <col min="1794" max="1794" width="62.7109375" style="4" customWidth="1"/>
    <col min="1795" max="1795" width="12.42578125" style="4" customWidth="1"/>
    <col min="1796" max="1796" width="18" style="4" customWidth="1"/>
    <col min="1797" max="1797" width="59.7109375" style="4" customWidth="1"/>
    <col min="1798" max="1798" width="16.140625" style="4" customWidth="1"/>
    <col min="1799" max="1799" width="18.5703125" style="4" bestFit="1" customWidth="1"/>
    <col min="1800" max="2048" width="8.85546875" style="4"/>
    <col min="2049" max="2049" width="5.7109375" style="4" customWidth="1"/>
    <col min="2050" max="2050" width="62.7109375" style="4" customWidth="1"/>
    <col min="2051" max="2051" width="12.42578125" style="4" customWidth="1"/>
    <col min="2052" max="2052" width="18" style="4" customWidth="1"/>
    <col min="2053" max="2053" width="59.7109375" style="4" customWidth="1"/>
    <col min="2054" max="2054" width="16.140625" style="4" customWidth="1"/>
    <col min="2055" max="2055" width="18.5703125" style="4" bestFit="1" customWidth="1"/>
    <col min="2056" max="2304" width="8.85546875" style="4"/>
    <col min="2305" max="2305" width="5.7109375" style="4" customWidth="1"/>
    <col min="2306" max="2306" width="62.7109375" style="4" customWidth="1"/>
    <col min="2307" max="2307" width="12.42578125" style="4" customWidth="1"/>
    <col min="2308" max="2308" width="18" style="4" customWidth="1"/>
    <col min="2309" max="2309" width="59.7109375" style="4" customWidth="1"/>
    <col min="2310" max="2310" width="16.140625" style="4" customWidth="1"/>
    <col min="2311" max="2311" width="18.5703125" style="4" bestFit="1" customWidth="1"/>
    <col min="2312" max="2560" width="8.85546875" style="4"/>
    <col min="2561" max="2561" width="5.7109375" style="4" customWidth="1"/>
    <col min="2562" max="2562" width="62.7109375" style="4" customWidth="1"/>
    <col min="2563" max="2563" width="12.42578125" style="4" customWidth="1"/>
    <col min="2564" max="2564" width="18" style="4" customWidth="1"/>
    <col min="2565" max="2565" width="59.7109375" style="4" customWidth="1"/>
    <col min="2566" max="2566" width="16.140625" style="4" customWidth="1"/>
    <col min="2567" max="2567" width="18.5703125" style="4" bestFit="1" customWidth="1"/>
    <col min="2568" max="2816" width="8.85546875" style="4"/>
    <col min="2817" max="2817" width="5.7109375" style="4" customWidth="1"/>
    <col min="2818" max="2818" width="62.7109375" style="4" customWidth="1"/>
    <col min="2819" max="2819" width="12.42578125" style="4" customWidth="1"/>
    <col min="2820" max="2820" width="18" style="4" customWidth="1"/>
    <col min="2821" max="2821" width="59.7109375" style="4" customWidth="1"/>
    <col min="2822" max="2822" width="16.140625" style="4" customWidth="1"/>
    <col min="2823" max="2823" width="18.5703125" style="4" bestFit="1" customWidth="1"/>
    <col min="2824" max="3072" width="8.85546875" style="4"/>
    <col min="3073" max="3073" width="5.7109375" style="4" customWidth="1"/>
    <col min="3074" max="3074" width="62.7109375" style="4" customWidth="1"/>
    <col min="3075" max="3075" width="12.42578125" style="4" customWidth="1"/>
    <col min="3076" max="3076" width="18" style="4" customWidth="1"/>
    <col min="3077" max="3077" width="59.7109375" style="4" customWidth="1"/>
    <col min="3078" max="3078" width="16.140625" style="4" customWidth="1"/>
    <col min="3079" max="3079" width="18.5703125" style="4" bestFit="1" customWidth="1"/>
    <col min="3080" max="3328" width="8.85546875" style="4"/>
    <col min="3329" max="3329" width="5.7109375" style="4" customWidth="1"/>
    <col min="3330" max="3330" width="62.7109375" style="4" customWidth="1"/>
    <col min="3331" max="3331" width="12.42578125" style="4" customWidth="1"/>
    <col min="3332" max="3332" width="18" style="4" customWidth="1"/>
    <col min="3333" max="3333" width="59.7109375" style="4" customWidth="1"/>
    <col min="3334" max="3334" width="16.140625" style="4" customWidth="1"/>
    <col min="3335" max="3335" width="18.5703125" style="4" bestFit="1" customWidth="1"/>
    <col min="3336" max="3584" width="8.85546875" style="4"/>
    <col min="3585" max="3585" width="5.7109375" style="4" customWidth="1"/>
    <col min="3586" max="3586" width="62.7109375" style="4" customWidth="1"/>
    <col min="3587" max="3587" width="12.42578125" style="4" customWidth="1"/>
    <col min="3588" max="3588" width="18" style="4" customWidth="1"/>
    <col min="3589" max="3589" width="59.7109375" style="4" customWidth="1"/>
    <col min="3590" max="3590" width="16.140625" style="4" customWidth="1"/>
    <col min="3591" max="3591" width="18.5703125" style="4" bestFit="1" customWidth="1"/>
    <col min="3592" max="3840" width="8.85546875" style="4"/>
    <col min="3841" max="3841" width="5.7109375" style="4" customWidth="1"/>
    <col min="3842" max="3842" width="62.7109375" style="4" customWidth="1"/>
    <col min="3843" max="3843" width="12.42578125" style="4" customWidth="1"/>
    <col min="3844" max="3844" width="18" style="4" customWidth="1"/>
    <col min="3845" max="3845" width="59.7109375" style="4" customWidth="1"/>
    <col min="3846" max="3846" width="16.140625" style="4" customWidth="1"/>
    <col min="3847" max="3847" width="18.5703125" style="4" bestFit="1" customWidth="1"/>
    <col min="3848" max="4096" width="8.85546875" style="4"/>
    <col min="4097" max="4097" width="5.7109375" style="4" customWidth="1"/>
    <col min="4098" max="4098" width="62.7109375" style="4" customWidth="1"/>
    <col min="4099" max="4099" width="12.42578125" style="4" customWidth="1"/>
    <col min="4100" max="4100" width="18" style="4" customWidth="1"/>
    <col min="4101" max="4101" width="59.7109375" style="4" customWidth="1"/>
    <col min="4102" max="4102" width="16.140625" style="4" customWidth="1"/>
    <col min="4103" max="4103" width="18.5703125" style="4" bestFit="1" customWidth="1"/>
    <col min="4104" max="4352" width="8.85546875" style="4"/>
    <col min="4353" max="4353" width="5.7109375" style="4" customWidth="1"/>
    <col min="4354" max="4354" width="62.7109375" style="4" customWidth="1"/>
    <col min="4355" max="4355" width="12.42578125" style="4" customWidth="1"/>
    <col min="4356" max="4356" width="18" style="4" customWidth="1"/>
    <col min="4357" max="4357" width="59.7109375" style="4" customWidth="1"/>
    <col min="4358" max="4358" width="16.140625" style="4" customWidth="1"/>
    <col min="4359" max="4359" width="18.5703125" style="4" bestFit="1" customWidth="1"/>
    <col min="4360" max="4608" width="8.85546875" style="4"/>
    <col min="4609" max="4609" width="5.7109375" style="4" customWidth="1"/>
    <col min="4610" max="4610" width="62.7109375" style="4" customWidth="1"/>
    <col min="4611" max="4611" width="12.42578125" style="4" customWidth="1"/>
    <col min="4612" max="4612" width="18" style="4" customWidth="1"/>
    <col min="4613" max="4613" width="59.7109375" style="4" customWidth="1"/>
    <col min="4614" max="4614" width="16.140625" style="4" customWidth="1"/>
    <col min="4615" max="4615" width="18.5703125" style="4" bestFit="1" customWidth="1"/>
    <col min="4616" max="4864" width="8.85546875" style="4"/>
    <col min="4865" max="4865" width="5.7109375" style="4" customWidth="1"/>
    <col min="4866" max="4866" width="62.7109375" style="4" customWidth="1"/>
    <col min="4867" max="4867" width="12.42578125" style="4" customWidth="1"/>
    <col min="4868" max="4868" width="18" style="4" customWidth="1"/>
    <col min="4869" max="4869" width="59.7109375" style="4" customWidth="1"/>
    <col min="4870" max="4870" width="16.140625" style="4" customWidth="1"/>
    <col min="4871" max="4871" width="18.5703125" style="4" bestFit="1" customWidth="1"/>
    <col min="4872" max="5120" width="8.85546875" style="4"/>
    <col min="5121" max="5121" width="5.7109375" style="4" customWidth="1"/>
    <col min="5122" max="5122" width="62.7109375" style="4" customWidth="1"/>
    <col min="5123" max="5123" width="12.42578125" style="4" customWidth="1"/>
    <col min="5124" max="5124" width="18" style="4" customWidth="1"/>
    <col min="5125" max="5125" width="59.7109375" style="4" customWidth="1"/>
    <col min="5126" max="5126" width="16.140625" style="4" customWidth="1"/>
    <col min="5127" max="5127" width="18.5703125" style="4" bestFit="1" customWidth="1"/>
    <col min="5128" max="5376" width="8.85546875" style="4"/>
    <col min="5377" max="5377" width="5.7109375" style="4" customWidth="1"/>
    <col min="5378" max="5378" width="62.7109375" style="4" customWidth="1"/>
    <col min="5379" max="5379" width="12.42578125" style="4" customWidth="1"/>
    <col min="5380" max="5380" width="18" style="4" customWidth="1"/>
    <col min="5381" max="5381" width="59.7109375" style="4" customWidth="1"/>
    <col min="5382" max="5382" width="16.140625" style="4" customWidth="1"/>
    <col min="5383" max="5383" width="18.5703125" style="4" bestFit="1" customWidth="1"/>
    <col min="5384" max="5632" width="8.85546875" style="4"/>
    <col min="5633" max="5633" width="5.7109375" style="4" customWidth="1"/>
    <col min="5634" max="5634" width="62.7109375" style="4" customWidth="1"/>
    <col min="5635" max="5635" width="12.42578125" style="4" customWidth="1"/>
    <col min="5636" max="5636" width="18" style="4" customWidth="1"/>
    <col min="5637" max="5637" width="59.7109375" style="4" customWidth="1"/>
    <col min="5638" max="5638" width="16.140625" style="4" customWidth="1"/>
    <col min="5639" max="5639" width="18.5703125" style="4" bestFit="1" customWidth="1"/>
    <col min="5640" max="5888" width="8.85546875" style="4"/>
    <col min="5889" max="5889" width="5.7109375" style="4" customWidth="1"/>
    <col min="5890" max="5890" width="62.7109375" style="4" customWidth="1"/>
    <col min="5891" max="5891" width="12.42578125" style="4" customWidth="1"/>
    <col min="5892" max="5892" width="18" style="4" customWidth="1"/>
    <col min="5893" max="5893" width="59.7109375" style="4" customWidth="1"/>
    <col min="5894" max="5894" width="16.140625" style="4" customWidth="1"/>
    <col min="5895" max="5895" width="18.5703125" style="4" bestFit="1" customWidth="1"/>
    <col min="5896" max="6144" width="8.85546875" style="4"/>
    <col min="6145" max="6145" width="5.7109375" style="4" customWidth="1"/>
    <col min="6146" max="6146" width="62.7109375" style="4" customWidth="1"/>
    <col min="6147" max="6147" width="12.42578125" style="4" customWidth="1"/>
    <col min="6148" max="6148" width="18" style="4" customWidth="1"/>
    <col min="6149" max="6149" width="59.7109375" style="4" customWidth="1"/>
    <col min="6150" max="6150" width="16.140625" style="4" customWidth="1"/>
    <col min="6151" max="6151" width="18.5703125" style="4" bestFit="1" customWidth="1"/>
    <col min="6152" max="6400" width="8.85546875" style="4"/>
    <col min="6401" max="6401" width="5.7109375" style="4" customWidth="1"/>
    <col min="6402" max="6402" width="62.7109375" style="4" customWidth="1"/>
    <col min="6403" max="6403" width="12.42578125" style="4" customWidth="1"/>
    <col min="6404" max="6404" width="18" style="4" customWidth="1"/>
    <col min="6405" max="6405" width="59.7109375" style="4" customWidth="1"/>
    <col min="6406" max="6406" width="16.140625" style="4" customWidth="1"/>
    <col min="6407" max="6407" width="18.5703125" style="4" bestFit="1" customWidth="1"/>
    <col min="6408" max="6656" width="8.85546875" style="4"/>
    <col min="6657" max="6657" width="5.7109375" style="4" customWidth="1"/>
    <col min="6658" max="6658" width="62.7109375" style="4" customWidth="1"/>
    <col min="6659" max="6659" width="12.42578125" style="4" customWidth="1"/>
    <col min="6660" max="6660" width="18" style="4" customWidth="1"/>
    <col min="6661" max="6661" width="59.7109375" style="4" customWidth="1"/>
    <col min="6662" max="6662" width="16.140625" style="4" customWidth="1"/>
    <col min="6663" max="6663" width="18.5703125" style="4" bestFit="1" customWidth="1"/>
    <col min="6664" max="6912" width="8.85546875" style="4"/>
    <col min="6913" max="6913" width="5.7109375" style="4" customWidth="1"/>
    <col min="6914" max="6914" width="62.7109375" style="4" customWidth="1"/>
    <col min="6915" max="6915" width="12.42578125" style="4" customWidth="1"/>
    <col min="6916" max="6916" width="18" style="4" customWidth="1"/>
    <col min="6917" max="6917" width="59.7109375" style="4" customWidth="1"/>
    <col min="6918" max="6918" width="16.140625" style="4" customWidth="1"/>
    <col min="6919" max="6919" width="18.5703125" style="4" bestFit="1" customWidth="1"/>
    <col min="6920" max="7168" width="8.85546875" style="4"/>
    <col min="7169" max="7169" width="5.7109375" style="4" customWidth="1"/>
    <col min="7170" max="7170" width="62.7109375" style="4" customWidth="1"/>
    <col min="7171" max="7171" width="12.42578125" style="4" customWidth="1"/>
    <col min="7172" max="7172" width="18" style="4" customWidth="1"/>
    <col min="7173" max="7173" width="59.7109375" style="4" customWidth="1"/>
    <col min="7174" max="7174" width="16.140625" style="4" customWidth="1"/>
    <col min="7175" max="7175" width="18.5703125" style="4" bestFit="1" customWidth="1"/>
    <col min="7176" max="7424" width="8.85546875" style="4"/>
    <col min="7425" max="7425" width="5.7109375" style="4" customWidth="1"/>
    <col min="7426" max="7426" width="62.7109375" style="4" customWidth="1"/>
    <col min="7427" max="7427" width="12.42578125" style="4" customWidth="1"/>
    <col min="7428" max="7428" width="18" style="4" customWidth="1"/>
    <col min="7429" max="7429" width="59.7109375" style="4" customWidth="1"/>
    <col min="7430" max="7430" width="16.140625" style="4" customWidth="1"/>
    <col min="7431" max="7431" width="18.5703125" style="4" bestFit="1" customWidth="1"/>
    <col min="7432" max="7680" width="8.85546875" style="4"/>
    <col min="7681" max="7681" width="5.7109375" style="4" customWidth="1"/>
    <col min="7682" max="7682" width="62.7109375" style="4" customWidth="1"/>
    <col min="7683" max="7683" width="12.42578125" style="4" customWidth="1"/>
    <col min="7684" max="7684" width="18" style="4" customWidth="1"/>
    <col min="7685" max="7685" width="59.7109375" style="4" customWidth="1"/>
    <col min="7686" max="7686" width="16.140625" style="4" customWidth="1"/>
    <col min="7687" max="7687" width="18.5703125" style="4" bestFit="1" customWidth="1"/>
    <col min="7688" max="7936" width="8.85546875" style="4"/>
    <col min="7937" max="7937" width="5.7109375" style="4" customWidth="1"/>
    <col min="7938" max="7938" width="62.7109375" style="4" customWidth="1"/>
    <col min="7939" max="7939" width="12.42578125" style="4" customWidth="1"/>
    <col min="7940" max="7940" width="18" style="4" customWidth="1"/>
    <col min="7941" max="7941" width="59.7109375" style="4" customWidth="1"/>
    <col min="7942" max="7942" width="16.140625" style="4" customWidth="1"/>
    <col min="7943" max="7943" width="18.5703125" style="4" bestFit="1" customWidth="1"/>
    <col min="7944" max="8192" width="8.85546875" style="4"/>
    <col min="8193" max="8193" width="5.7109375" style="4" customWidth="1"/>
    <col min="8194" max="8194" width="62.7109375" style="4" customWidth="1"/>
    <col min="8195" max="8195" width="12.42578125" style="4" customWidth="1"/>
    <col min="8196" max="8196" width="18" style="4" customWidth="1"/>
    <col min="8197" max="8197" width="59.7109375" style="4" customWidth="1"/>
    <col min="8198" max="8198" width="16.140625" style="4" customWidth="1"/>
    <col min="8199" max="8199" width="18.5703125" style="4" bestFit="1" customWidth="1"/>
    <col min="8200" max="8448" width="8.85546875" style="4"/>
    <col min="8449" max="8449" width="5.7109375" style="4" customWidth="1"/>
    <col min="8450" max="8450" width="62.7109375" style="4" customWidth="1"/>
    <col min="8451" max="8451" width="12.42578125" style="4" customWidth="1"/>
    <col min="8452" max="8452" width="18" style="4" customWidth="1"/>
    <col min="8453" max="8453" width="59.7109375" style="4" customWidth="1"/>
    <col min="8454" max="8454" width="16.140625" style="4" customWidth="1"/>
    <col min="8455" max="8455" width="18.5703125" style="4" bestFit="1" customWidth="1"/>
    <col min="8456" max="8704" width="8.85546875" style="4"/>
    <col min="8705" max="8705" width="5.7109375" style="4" customWidth="1"/>
    <col min="8706" max="8706" width="62.7109375" style="4" customWidth="1"/>
    <col min="8707" max="8707" width="12.42578125" style="4" customWidth="1"/>
    <col min="8708" max="8708" width="18" style="4" customWidth="1"/>
    <col min="8709" max="8709" width="59.7109375" style="4" customWidth="1"/>
    <col min="8710" max="8710" width="16.140625" style="4" customWidth="1"/>
    <col min="8711" max="8711" width="18.5703125" style="4" bestFit="1" customWidth="1"/>
    <col min="8712" max="8960" width="8.85546875" style="4"/>
    <col min="8961" max="8961" width="5.7109375" style="4" customWidth="1"/>
    <col min="8962" max="8962" width="62.7109375" style="4" customWidth="1"/>
    <col min="8963" max="8963" width="12.42578125" style="4" customWidth="1"/>
    <col min="8964" max="8964" width="18" style="4" customWidth="1"/>
    <col min="8965" max="8965" width="59.7109375" style="4" customWidth="1"/>
    <col min="8966" max="8966" width="16.140625" style="4" customWidth="1"/>
    <col min="8967" max="8967" width="18.5703125" style="4" bestFit="1" customWidth="1"/>
    <col min="8968" max="9216" width="8.85546875" style="4"/>
    <col min="9217" max="9217" width="5.7109375" style="4" customWidth="1"/>
    <col min="9218" max="9218" width="62.7109375" style="4" customWidth="1"/>
    <col min="9219" max="9219" width="12.42578125" style="4" customWidth="1"/>
    <col min="9220" max="9220" width="18" style="4" customWidth="1"/>
    <col min="9221" max="9221" width="59.7109375" style="4" customWidth="1"/>
    <col min="9222" max="9222" width="16.140625" style="4" customWidth="1"/>
    <col min="9223" max="9223" width="18.5703125" style="4" bestFit="1" customWidth="1"/>
    <col min="9224" max="9472" width="8.85546875" style="4"/>
    <col min="9473" max="9473" width="5.7109375" style="4" customWidth="1"/>
    <col min="9474" max="9474" width="62.7109375" style="4" customWidth="1"/>
    <col min="9475" max="9475" width="12.42578125" style="4" customWidth="1"/>
    <col min="9476" max="9476" width="18" style="4" customWidth="1"/>
    <col min="9477" max="9477" width="59.7109375" style="4" customWidth="1"/>
    <col min="9478" max="9478" width="16.140625" style="4" customWidth="1"/>
    <col min="9479" max="9479" width="18.5703125" style="4" bestFit="1" customWidth="1"/>
    <col min="9480" max="9728" width="8.85546875" style="4"/>
    <col min="9729" max="9729" width="5.7109375" style="4" customWidth="1"/>
    <col min="9730" max="9730" width="62.7109375" style="4" customWidth="1"/>
    <col min="9731" max="9731" width="12.42578125" style="4" customWidth="1"/>
    <col min="9732" max="9732" width="18" style="4" customWidth="1"/>
    <col min="9733" max="9733" width="59.7109375" style="4" customWidth="1"/>
    <col min="9734" max="9734" width="16.140625" style="4" customWidth="1"/>
    <col min="9735" max="9735" width="18.5703125" style="4" bestFit="1" customWidth="1"/>
    <col min="9736" max="9984" width="8.85546875" style="4"/>
    <col min="9985" max="9985" width="5.7109375" style="4" customWidth="1"/>
    <col min="9986" max="9986" width="62.7109375" style="4" customWidth="1"/>
    <col min="9987" max="9987" width="12.42578125" style="4" customWidth="1"/>
    <col min="9988" max="9988" width="18" style="4" customWidth="1"/>
    <col min="9989" max="9989" width="59.7109375" style="4" customWidth="1"/>
    <col min="9990" max="9990" width="16.140625" style="4" customWidth="1"/>
    <col min="9991" max="9991" width="18.5703125" style="4" bestFit="1" customWidth="1"/>
    <col min="9992" max="10240" width="8.85546875" style="4"/>
    <col min="10241" max="10241" width="5.7109375" style="4" customWidth="1"/>
    <col min="10242" max="10242" width="62.7109375" style="4" customWidth="1"/>
    <col min="10243" max="10243" width="12.42578125" style="4" customWidth="1"/>
    <col min="10244" max="10244" width="18" style="4" customWidth="1"/>
    <col min="10245" max="10245" width="59.7109375" style="4" customWidth="1"/>
    <col min="10246" max="10246" width="16.140625" style="4" customWidth="1"/>
    <col min="10247" max="10247" width="18.5703125" style="4" bestFit="1" customWidth="1"/>
    <col min="10248" max="10496" width="8.85546875" style="4"/>
    <col min="10497" max="10497" width="5.7109375" style="4" customWidth="1"/>
    <col min="10498" max="10498" width="62.7109375" style="4" customWidth="1"/>
    <col min="10499" max="10499" width="12.42578125" style="4" customWidth="1"/>
    <col min="10500" max="10500" width="18" style="4" customWidth="1"/>
    <col min="10501" max="10501" width="59.7109375" style="4" customWidth="1"/>
    <col min="10502" max="10502" width="16.140625" style="4" customWidth="1"/>
    <col min="10503" max="10503" width="18.5703125" style="4" bestFit="1" customWidth="1"/>
    <col min="10504" max="10752" width="8.85546875" style="4"/>
    <col min="10753" max="10753" width="5.7109375" style="4" customWidth="1"/>
    <col min="10754" max="10754" width="62.7109375" style="4" customWidth="1"/>
    <col min="10755" max="10755" width="12.42578125" style="4" customWidth="1"/>
    <col min="10756" max="10756" width="18" style="4" customWidth="1"/>
    <col min="10757" max="10757" width="59.7109375" style="4" customWidth="1"/>
    <col min="10758" max="10758" width="16.140625" style="4" customWidth="1"/>
    <col min="10759" max="10759" width="18.5703125" style="4" bestFit="1" customWidth="1"/>
    <col min="10760" max="11008" width="8.85546875" style="4"/>
    <col min="11009" max="11009" width="5.7109375" style="4" customWidth="1"/>
    <col min="11010" max="11010" width="62.7109375" style="4" customWidth="1"/>
    <col min="11011" max="11011" width="12.42578125" style="4" customWidth="1"/>
    <col min="11012" max="11012" width="18" style="4" customWidth="1"/>
    <col min="11013" max="11013" width="59.7109375" style="4" customWidth="1"/>
    <col min="11014" max="11014" width="16.140625" style="4" customWidth="1"/>
    <col min="11015" max="11015" width="18.5703125" style="4" bestFit="1" customWidth="1"/>
    <col min="11016" max="11264" width="8.85546875" style="4"/>
    <col min="11265" max="11265" width="5.7109375" style="4" customWidth="1"/>
    <col min="11266" max="11266" width="62.7109375" style="4" customWidth="1"/>
    <col min="11267" max="11267" width="12.42578125" style="4" customWidth="1"/>
    <col min="11268" max="11268" width="18" style="4" customWidth="1"/>
    <col min="11269" max="11269" width="59.7109375" style="4" customWidth="1"/>
    <col min="11270" max="11270" width="16.140625" style="4" customWidth="1"/>
    <col min="11271" max="11271" width="18.5703125" style="4" bestFit="1" customWidth="1"/>
    <col min="11272" max="11520" width="8.85546875" style="4"/>
    <col min="11521" max="11521" width="5.7109375" style="4" customWidth="1"/>
    <col min="11522" max="11522" width="62.7109375" style="4" customWidth="1"/>
    <col min="11523" max="11523" width="12.42578125" style="4" customWidth="1"/>
    <col min="11524" max="11524" width="18" style="4" customWidth="1"/>
    <col min="11525" max="11525" width="59.7109375" style="4" customWidth="1"/>
    <col min="11526" max="11526" width="16.140625" style="4" customWidth="1"/>
    <col min="11527" max="11527" width="18.5703125" style="4" bestFit="1" customWidth="1"/>
    <col min="11528" max="11776" width="8.85546875" style="4"/>
    <col min="11777" max="11777" width="5.7109375" style="4" customWidth="1"/>
    <col min="11778" max="11778" width="62.7109375" style="4" customWidth="1"/>
    <col min="11779" max="11779" width="12.42578125" style="4" customWidth="1"/>
    <col min="11780" max="11780" width="18" style="4" customWidth="1"/>
    <col min="11781" max="11781" width="59.7109375" style="4" customWidth="1"/>
    <col min="11782" max="11782" width="16.140625" style="4" customWidth="1"/>
    <col min="11783" max="11783" width="18.5703125" style="4" bestFit="1" customWidth="1"/>
    <col min="11784" max="12032" width="8.85546875" style="4"/>
    <col min="12033" max="12033" width="5.7109375" style="4" customWidth="1"/>
    <col min="12034" max="12034" width="62.7109375" style="4" customWidth="1"/>
    <col min="12035" max="12035" width="12.42578125" style="4" customWidth="1"/>
    <col min="12036" max="12036" width="18" style="4" customWidth="1"/>
    <col min="12037" max="12037" width="59.7109375" style="4" customWidth="1"/>
    <col min="12038" max="12038" width="16.140625" style="4" customWidth="1"/>
    <col min="12039" max="12039" width="18.5703125" style="4" bestFit="1" customWidth="1"/>
    <col min="12040" max="12288" width="8.85546875" style="4"/>
    <col min="12289" max="12289" width="5.7109375" style="4" customWidth="1"/>
    <col min="12290" max="12290" width="62.7109375" style="4" customWidth="1"/>
    <col min="12291" max="12291" width="12.42578125" style="4" customWidth="1"/>
    <col min="12292" max="12292" width="18" style="4" customWidth="1"/>
    <col min="12293" max="12293" width="59.7109375" style="4" customWidth="1"/>
    <col min="12294" max="12294" width="16.140625" style="4" customWidth="1"/>
    <col min="12295" max="12295" width="18.5703125" style="4" bestFit="1" customWidth="1"/>
    <col min="12296" max="12544" width="8.85546875" style="4"/>
    <col min="12545" max="12545" width="5.7109375" style="4" customWidth="1"/>
    <col min="12546" max="12546" width="62.7109375" style="4" customWidth="1"/>
    <col min="12547" max="12547" width="12.42578125" style="4" customWidth="1"/>
    <col min="12548" max="12548" width="18" style="4" customWidth="1"/>
    <col min="12549" max="12549" width="59.7109375" style="4" customWidth="1"/>
    <col min="12550" max="12550" width="16.140625" style="4" customWidth="1"/>
    <col min="12551" max="12551" width="18.5703125" style="4" bestFit="1" customWidth="1"/>
    <col min="12552" max="12800" width="8.85546875" style="4"/>
    <col min="12801" max="12801" width="5.7109375" style="4" customWidth="1"/>
    <col min="12802" max="12802" width="62.7109375" style="4" customWidth="1"/>
    <col min="12803" max="12803" width="12.42578125" style="4" customWidth="1"/>
    <col min="12804" max="12804" width="18" style="4" customWidth="1"/>
    <col min="12805" max="12805" width="59.7109375" style="4" customWidth="1"/>
    <col min="12806" max="12806" width="16.140625" style="4" customWidth="1"/>
    <col min="12807" max="12807" width="18.5703125" style="4" bestFit="1" customWidth="1"/>
    <col min="12808" max="13056" width="8.85546875" style="4"/>
    <col min="13057" max="13057" width="5.7109375" style="4" customWidth="1"/>
    <col min="13058" max="13058" width="62.7109375" style="4" customWidth="1"/>
    <col min="13059" max="13059" width="12.42578125" style="4" customWidth="1"/>
    <col min="13060" max="13060" width="18" style="4" customWidth="1"/>
    <col min="13061" max="13061" width="59.7109375" style="4" customWidth="1"/>
    <col min="13062" max="13062" width="16.140625" style="4" customWidth="1"/>
    <col min="13063" max="13063" width="18.5703125" style="4" bestFit="1" customWidth="1"/>
    <col min="13064" max="13312" width="8.85546875" style="4"/>
    <col min="13313" max="13313" width="5.7109375" style="4" customWidth="1"/>
    <col min="13314" max="13314" width="62.7109375" style="4" customWidth="1"/>
    <col min="13315" max="13315" width="12.42578125" style="4" customWidth="1"/>
    <col min="13316" max="13316" width="18" style="4" customWidth="1"/>
    <col min="13317" max="13317" width="59.7109375" style="4" customWidth="1"/>
    <col min="13318" max="13318" width="16.140625" style="4" customWidth="1"/>
    <col min="13319" max="13319" width="18.5703125" style="4" bestFit="1" customWidth="1"/>
    <col min="13320" max="13568" width="8.85546875" style="4"/>
    <col min="13569" max="13569" width="5.7109375" style="4" customWidth="1"/>
    <col min="13570" max="13570" width="62.7109375" style="4" customWidth="1"/>
    <col min="13571" max="13571" width="12.42578125" style="4" customWidth="1"/>
    <col min="13572" max="13572" width="18" style="4" customWidth="1"/>
    <col min="13573" max="13573" width="59.7109375" style="4" customWidth="1"/>
    <col min="13574" max="13574" width="16.140625" style="4" customWidth="1"/>
    <col min="13575" max="13575" width="18.5703125" style="4" bestFit="1" customWidth="1"/>
    <col min="13576" max="13824" width="8.85546875" style="4"/>
    <col min="13825" max="13825" width="5.7109375" style="4" customWidth="1"/>
    <col min="13826" max="13826" width="62.7109375" style="4" customWidth="1"/>
    <col min="13827" max="13827" width="12.42578125" style="4" customWidth="1"/>
    <col min="13828" max="13828" width="18" style="4" customWidth="1"/>
    <col min="13829" max="13829" width="59.7109375" style="4" customWidth="1"/>
    <col min="13830" max="13830" width="16.140625" style="4" customWidth="1"/>
    <col min="13831" max="13831" width="18.5703125" style="4" bestFit="1" customWidth="1"/>
    <col min="13832" max="14080" width="8.85546875" style="4"/>
    <col min="14081" max="14081" width="5.7109375" style="4" customWidth="1"/>
    <col min="14082" max="14082" width="62.7109375" style="4" customWidth="1"/>
    <col min="14083" max="14083" width="12.42578125" style="4" customWidth="1"/>
    <col min="14084" max="14084" width="18" style="4" customWidth="1"/>
    <col min="14085" max="14085" width="59.7109375" style="4" customWidth="1"/>
    <col min="14086" max="14086" width="16.140625" style="4" customWidth="1"/>
    <col min="14087" max="14087" width="18.5703125" style="4" bestFit="1" customWidth="1"/>
    <col min="14088" max="14336" width="8.85546875" style="4"/>
    <col min="14337" max="14337" width="5.7109375" style="4" customWidth="1"/>
    <col min="14338" max="14338" width="62.7109375" style="4" customWidth="1"/>
    <col min="14339" max="14339" width="12.42578125" style="4" customWidth="1"/>
    <col min="14340" max="14340" width="18" style="4" customWidth="1"/>
    <col min="14341" max="14341" width="59.7109375" style="4" customWidth="1"/>
    <col min="14342" max="14342" width="16.140625" style="4" customWidth="1"/>
    <col min="14343" max="14343" width="18.5703125" style="4" bestFit="1" customWidth="1"/>
    <col min="14344" max="14592" width="8.85546875" style="4"/>
    <col min="14593" max="14593" width="5.7109375" style="4" customWidth="1"/>
    <col min="14594" max="14594" width="62.7109375" style="4" customWidth="1"/>
    <col min="14595" max="14595" width="12.42578125" style="4" customWidth="1"/>
    <col min="14596" max="14596" width="18" style="4" customWidth="1"/>
    <col min="14597" max="14597" width="59.7109375" style="4" customWidth="1"/>
    <col min="14598" max="14598" width="16.140625" style="4" customWidth="1"/>
    <col min="14599" max="14599" width="18.5703125" style="4" bestFit="1" customWidth="1"/>
    <col min="14600" max="14848" width="8.85546875" style="4"/>
    <col min="14849" max="14849" width="5.7109375" style="4" customWidth="1"/>
    <col min="14850" max="14850" width="62.7109375" style="4" customWidth="1"/>
    <col min="14851" max="14851" width="12.42578125" style="4" customWidth="1"/>
    <col min="14852" max="14852" width="18" style="4" customWidth="1"/>
    <col min="14853" max="14853" width="59.7109375" style="4" customWidth="1"/>
    <col min="14854" max="14854" width="16.140625" style="4" customWidth="1"/>
    <col min="14855" max="14855" width="18.5703125" style="4" bestFit="1" customWidth="1"/>
    <col min="14856" max="15104" width="8.85546875" style="4"/>
    <col min="15105" max="15105" width="5.7109375" style="4" customWidth="1"/>
    <col min="15106" max="15106" width="62.7109375" style="4" customWidth="1"/>
    <col min="15107" max="15107" width="12.42578125" style="4" customWidth="1"/>
    <col min="15108" max="15108" width="18" style="4" customWidth="1"/>
    <col min="15109" max="15109" width="59.7109375" style="4" customWidth="1"/>
    <col min="15110" max="15110" width="16.140625" style="4" customWidth="1"/>
    <col min="15111" max="15111" width="18.5703125" style="4" bestFit="1" customWidth="1"/>
    <col min="15112" max="15360" width="8.85546875" style="4"/>
    <col min="15361" max="15361" width="5.7109375" style="4" customWidth="1"/>
    <col min="15362" max="15362" width="62.7109375" style="4" customWidth="1"/>
    <col min="15363" max="15363" width="12.42578125" style="4" customWidth="1"/>
    <col min="15364" max="15364" width="18" style="4" customWidth="1"/>
    <col min="15365" max="15365" width="59.7109375" style="4" customWidth="1"/>
    <col min="15366" max="15366" width="16.140625" style="4" customWidth="1"/>
    <col min="15367" max="15367" width="18.5703125" style="4" bestFit="1" customWidth="1"/>
    <col min="15368" max="15616" width="8.85546875" style="4"/>
    <col min="15617" max="15617" width="5.7109375" style="4" customWidth="1"/>
    <col min="15618" max="15618" width="62.7109375" style="4" customWidth="1"/>
    <col min="15619" max="15619" width="12.42578125" style="4" customWidth="1"/>
    <col min="15620" max="15620" width="18" style="4" customWidth="1"/>
    <col min="15621" max="15621" width="59.7109375" style="4" customWidth="1"/>
    <col min="15622" max="15622" width="16.140625" style="4" customWidth="1"/>
    <col min="15623" max="15623" width="18.5703125" style="4" bestFit="1" customWidth="1"/>
    <col min="15624" max="15872" width="8.85546875" style="4"/>
    <col min="15873" max="15873" width="5.7109375" style="4" customWidth="1"/>
    <col min="15874" max="15874" width="62.7109375" style="4" customWidth="1"/>
    <col min="15875" max="15875" width="12.42578125" style="4" customWidth="1"/>
    <col min="15876" max="15876" width="18" style="4" customWidth="1"/>
    <col min="15877" max="15877" width="59.7109375" style="4" customWidth="1"/>
    <col min="15878" max="15878" width="16.140625" style="4" customWidth="1"/>
    <col min="15879" max="15879" width="18.5703125" style="4" bestFit="1" customWidth="1"/>
    <col min="15880" max="16128" width="8.85546875" style="4"/>
    <col min="16129" max="16129" width="5.7109375" style="4" customWidth="1"/>
    <col min="16130" max="16130" width="62.7109375" style="4" customWidth="1"/>
    <col min="16131" max="16131" width="12.42578125" style="4" customWidth="1"/>
    <col min="16132" max="16132" width="18" style="4" customWidth="1"/>
    <col min="16133" max="16133" width="59.7109375" style="4" customWidth="1"/>
    <col min="16134" max="16134" width="16.140625" style="4" customWidth="1"/>
    <col min="16135" max="16135" width="18.5703125" style="4" bestFit="1" customWidth="1"/>
    <col min="16136" max="16384" width="8.85546875" style="4"/>
  </cols>
  <sheetData>
    <row r="1" spans="1:7" x14ac:dyDescent="0.25">
      <c r="A1" s="179" t="s">
        <v>0</v>
      </c>
      <c r="B1" s="179"/>
      <c r="C1" s="179"/>
      <c r="D1" s="179"/>
    </row>
    <row r="2" spans="1:7" x14ac:dyDescent="0.25">
      <c r="A2" s="40"/>
      <c r="B2" s="41"/>
      <c r="C2" s="42"/>
      <c r="D2" s="42"/>
    </row>
    <row r="3" spans="1:7" x14ac:dyDescent="0.25">
      <c r="A3" s="43"/>
      <c r="B3" s="43"/>
      <c r="C3" s="43"/>
      <c r="D3" s="43"/>
    </row>
    <row r="4" spans="1:7" x14ac:dyDescent="0.25">
      <c r="A4" s="44" t="s">
        <v>2</v>
      </c>
      <c r="B4" s="44"/>
      <c r="C4" s="180"/>
      <c r="D4" s="180"/>
    </row>
    <row r="5" spans="1:7" ht="16.5" customHeight="1" x14ac:dyDescent="0.25">
      <c r="A5" s="43"/>
      <c r="B5" s="41"/>
      <c r="C5" s="181" t="s">
        <v>248</v>
      </c>
      <c r="D5" s="181"/>
      <c r="G5" s="41" t="s">
        <v>1</v>
      </c>
    </row>
    <row r="6" spans="1:7" x14ac:dyDescent="0.25">
      <c r="A6" s="45"/>
      <c r="B6" s="46" t="s">
        <v>3</v>
      </c>
      <c r="C6" s="182" t="s">
        <v>4</v>
      </c>
      <c r="D6" s="182"/>
    </row>
    <row r="7" spans="1:7" x14ac:dyDescent="0.25">
      <c r="A7" s="47" t="s">
        <v>5</v>
      </c>
      <c r="B7" s="47" t="s">
        <v>6</v>
      </c>
      <c r="C7" s="183">
        <v>1263</v>
      </c>
      <c r="D7" s="183"/>
    </row>
    <row r="8" spans="1:7" ht="11.25" customHeight="1" x14ac:dyDescent="0.25">
      <c r="A8" s="47" t="s">
        <v>7</v>
      </c>
      <c r="B8" s="47" t="s">
        <v>8</v>
      </c>
      <c r="C8" s="183" t="s">
        <v>116</v>
      </c>
      <c r="D8" s="183"/>
    </row>
    <row r="9" spans="1:7" x14ac:dyDescent="0.25">
      <c r="A9" s="47" t="s">
        <v>9</v>
      </c>
      <c r="B9" s="47" t="s">
        <v>10</v>
      </c>
      <c r="C9" s="183" t="s">
        <v>116</v>
      </c>
      <c r="D9" s="183"/>
    </row>
    <row r="10" spans="1:7" x14ac:dyDescent="0.25">
      <c r="A10" s="47" t="s">
        <v>11</v>
      </c>
      <c r="B10" s="47" t="s">
        <v>12</v>
      </c>
      <c r="C10" s="183" t="s">
        <v>116</v>
      </c>
      <c r="D10" s="183"/>
      <c r="G10" s="38" t="s">
        <v>123</v>
      </c>
    </row>
    <row r="11" spans="1:7" ht="12" thickBot="1" x14ac:dyDescent="0.3">
      <c r="A11" s="47" t="s">
        <v>13</v>
      </c>
      <c r="B11" s="47" t="s">
        <v>122</v>
      </c>
      <c r="C11" s="183" t="s">
        <v>116</v>
      </c>
      <c r="D11" s="183"/>
      <c r="E11" s="48" t="s">
        <v>156</v>
      </c>
      <c r="G11" s="38" t="s">
        <v>157</v>
      </c>
    </row>
    <row r="12" spans="1:7" ht="12" thickBot="1" x14ac:dyDescent="0.3">
      <c r="A12" s="47" t="s">
        <v>14</v>
      </c>
      <c r="B12" s="47" t="s">
        <v>15</v>
      </c>
      <c r="C12" s="183">
        <f>(C7/200)*1.5*F12</f>
        <v>208.39500000000001</v>
      </c>
      <c r="D12" s="183"/>
      <c r="E12" s="111" t="s">
        <v>256</v>
      </c>
      <c r="F12" s="112">
        <v>22</v>
      </c>
      <c r="G12" s="110" t="s">
        <v>257</v>
      </c>
    </row>
    <row r="13" spans="1:7" x14ac:dyDescent="0.25">
      <c r="A13" s="46"/>
      <c r="B13" s="46" t="s">
        <v>19</v>
      </c>
      <c r="C13" s="184">
        <f>SUM(C7:D12)</f>
        <v>1471.395</v>
      </c>
      <c r="D13" s="184"/>
    </row>
    <row r="14" spans="1:7" x14ac:dyDescent="0.25">
      <c r="A14" s="43"/>
      <c r="B14" s="43"/>
      <c r="C14" s="43"/>
      <c r="D14" s="43"/>
    </row>
    <row r="15" spans="1:7" x14ac:dyDescent="0.25">
      <c r="A15" s="44" t="s">
        <v>20</v>
      </c>
      <c r="B15" s="44"/>
      <c r="C15" s="43"/>
      <c r="D15" s="43"/>
    </row>
    <row r="16" spans="1:7" ht="12" thickBot="1" x14ac:dyDescent="0.3">
      <c r="A16" s="43"/>
      <c r="B16" s="41"/>
      <c r="C16" s="43"/>
      <c r="D16" s="43"/>
      <c r="E16" s="48" t="s">
        <v>156</v>
      </c>
    </row>
    <row r="17" spans="1:7" x14ac:dyDescent="0.25">
      <c r="A17" s="1">
        <v>2</v>
      </c>
      <c r="B17" s="47" t="s">
        <v>21</v>
      </c>
      <c r="C17" s="177" t="s">
        <v>4</v>
      </c>
      <c r="D17" s="178"/>
      <c r="E17" s="49" t="s">
        <v>128</v>
      </c>
      <c r="F17" s="50">
        <v>22</v>
      </c>
    </row>
    <row r="18" spans="1:7" x14ac:dyDescent="0.25">
      <c r="A18" s="47" t="s">
        <v>5</v>
      </c>
      <c r="B18" s="47" t="s">
        <v>22</v>
      </c>
      <c r="C18" s="175">
        <f>(8*2*F17)-(F18*C7)</f>
        <v>276.22000000000003</v>
      </c>
      <c r="D18" s="176"/>
      <c r="E18" s="51" t="s">
        <v>129</v>
      </c>
      <c r="F18" s="52">
        <v>0.06</v>
      </c>
      <c r="G18" s="38" t="s">
        <v>125</v>
      </c>
    </row>
    <row r="19" spans="1:7" x14ac:dyDescent="0.25">
      <c r="A19" s="47" t="s">
        <v>7</v>
      </c>
      <c r="B19" s="53" t="s">
        <v>23</v>
      </c>
      <c r="C19" s="175">
        <f>21.7*F17*F19</f>
        <v>477.4</v>
      </c>
      <c r="D19" s="176"/>
      <c r="E19" s="51" t="s">
        <v>130</v>
      </c>
      <c r="F19" s="52">
        <v>1</v>
      </c>
      <c r="G19" s="38" t="s">
        <v>124</v>
      </c>
    </row>
    <row r="20" spans="1:7" ht="12" thickBot="1" x14ac:dyDescent="0.3">
      <c r="A20" s="47" t="s">
        <v>9</v>
      </c>
      <c r="B20" s="47" t="s">
        <v>121</v>
      </c>
      <c r="C20" s="183">
        <f>0*F20</f>
        <v>0</v>
      </c>
      <c r="D20" s="183"/>
      <c r="E20" s="54" t="s">
        <v>237</v>
      </c>
      <c r="F20" s="55">
        <v>1</v>
      </c>
      <c r="G20" s="38" t="s">
        <v>124</v>
      </c>
    </row>
    <row r="21" spans="1:7" x14ac:dyDescent="0.25">
      <c r="A21" s="47" t="s">
        <v>11</v>
      </c>
      <c r="B21" s="47" t="s">
        <v>120</v>
      </c>
      <c r="C21" s="185">
        <v>0</v>
      </c>
      <c r="D21" s="186"/>
      <c r="G21" s="38" t="s">
        <v>124</v>
      </c>
    </row>
    <row r="22" spans="1:7" x14ac:dyDescent="0.25">
      <c r="A22" s="47" t="s">
        <v>13</v>
      </c>
      <c r="B22" s="84" t="s">
        <v>240</v>
      </c>
      <c r="C22" s="185">
        <v>5</v>
      </c>
      <c r="D22" s="186"/>
      <c r="G22" s="38" t="s">
        <v>124</v>
      </c>
    </row>
    <row r="23" spans="1:7" x14ac:dyDescent="0.25">
      <c r="A23" s="47" t="s">
        <v>14</v>
      </c>
      <c r="B23" s="47" t="s">
        <v>126</v>
      </c>
      <c r="C23" s="185">
        <v>0</v>
      </c>
      <c r="D23" s="186"/>
      <c r="G23" s="38" t="s">
        <v>124</v>
      </c>
    </row>
    <row r="24" spans="1:7" x14ac:dyDescent="0.25">
      <c r="A24" s="47" t="s">
        <v>16</v>
      </c>
      <c r="B24" s="47" t="s">
        <v>238</v>
      </c>
      <c r="C24" s="188">
        <v>16.899999999999999</v>
      </c>
      <c r="D24" s="189"/>
    </row>
    <row r="25" spans="1:7" x14ac:dyDescent="0.25">
      <c r="A25" s="47"/>
      <c r="B25" s="46" t="s">
        <v>24</v>
      </c>
      <c r="C25" s="184">
        <f>SUM(C18:C24)</f>
        <v>775.52</v>
      </c>
      <c r="D25" s="184"/>
    </row>
    <row r="26" spans="1:7" x14ac:dyDescent="0.25">
      <c r="A26" s="43"/>
      <c r="B26" s="43"/>
      <c r="C26" s="43"/>
      <c r="D26" s="43"/>
    </row>
    <row r="27" spans="1:7" x14ac:dyDescent="0.25">
      <c r="A27" s="187" t="s">
        <v>25</v>
      </c>
      <c r="B27" s="187"/>
      <c r="C27" s="43"/>
      <c r="D27" s="43"/>
    </row>
    <row r="28" spans="1:7" x14ac:dyDescent="0.25">
      <c r="A28" s="43"/>
      <c r="B28" s="41"/>
      <c r="C28" s="43"/>
      <c r="D28" s="43"/>
    </row>
    <row r="29" spans="1:7" x14ac:dyDescent="0.25">
      <c r="A29" s="1">
        <v>3</v>
      </c>
      <c r="B29" s="47" t="s">
        <v>26</v>
      </c>
      <c r="C29" s="177" t="s">
        <v>4</v>
      </c>
      <c r="D29" s="177"/>
    </row>
    <row r="30" spans="1:7" x14ac:dyDescent="0.25">
      <c r="A30" s="47" t="s">
        <v>5</v>
      </c>
      <c r="B30" s="47" t="s">
        <v>27</v>
      </c>
      <c r="C30" s="190">
        <v>88.7</v>
      </c>
      <c r="D30" s="190"/>
      <c r="E30" s="92" t="s">
        <v>239</v>
      </c>
      <c r="G30" s="38" t="s">
        <v>158</v>
      </c>
    </row>
    <row r="31" spans="1:7" x14ac:dyDescent="0.25">
      <c r="A31" s="47" t="s">
        <v>7</v>
      </c>
      <c r="B31" s="47" t="s">
        <v>246</v>
      </c>
      <c r="C31" s="190">
        <v>52.74</v>
      </c>
      <c r="D31" s="190"/>
      <c r="G31" s="38" t="s">
        <v>158</v>
      </c>
    </row>
    <row r="32" spans="1:7" ht="11.25" customHeight="1" x14ac:dyDescent="0.25">
      <c r="A32" s="47" t="s">
        <v>9</v>
      </c>
      <c r="B32" s="47" t="s">
        <v>127</v>
      </c>
      <c r="C32" s="190">
        <v>279.38</v>
      </c>
      <c r="D32" s="190"/>
      <c r="G32" s="38" t="s">
        <v>158</v>
      </c>
    </row>
    <row r="33" spans="1:7" ht="22.5" x14ac:dyDescent="0.25">
      <c r="A33" s="47" t="s">
        <v>11</v>
      </c>
      <c r="B33" s="114" t="s">
        <v>258</v>
      </c>
      <c r="C33" s="190">
        <f>237.26+29.65+111.67+655.49+10+111</f>
        <v>1155.07</v>
      </c>
      <c r="D33" s="190"/>
    </row>
    <row r="34" spans="1:7" x14ac:dyDescent="0.25">
      <c r="A34" s="182" t="s">
        <v>28</v>
      </c>
      <c r="B34" s="182"/>
      <c r="C34" s="184">
        <f>SUM(C30:D33)</f>
        <v>1575.8899999999999</v>
      </c>
      <c r="D34" s="184"/>
    </row>
    <row r="35" spans="1:7" x14ac:dyDescent="0.25">
      <c r="A35" s="43"/>
      <c r="B35" s="43"/>
      <c r="C35" s="43"/>
      <c r="D35" s="43"/>
    </row>
    <row r="36" spans="1:7" x14ac:dyDescent="0.25">
      <c r="A36" s="44" t="s">
        <v>29</v>
      </c>
      <c r="B36" s="44"/>
      <c r="C36" s="43"/>
      <c r="D36" s="43"/>
    </row>
    <row r="37" spans="1:7" x14ac:dyDescent="0.25">
      <c r="A37" s="43"/>
      <c r="B37" s="43"/>
      <c r="C37" s="43"/>
      <c r="D37" s="43"/>
    </row>
    <row r="38" spans="1:7" x14ac:dyDescent="0.25">
      <c r="A38" s="44" t="s">
        <v>30</v>
      </c>
      <c r="B38" s="44"/>
      <c r="C38" s="43"/>
      <c r="D38" s="43"/>
    </row>
    <row r="39" spans="1:7" x14ac:dyDescent="0.25">
      <c r="A39" s="43"/>
      <c r="B39" s="41"/>
      <c r="C39" s="43"/>
      <c r="D39" s="43"/>
    </row>
    <row r="40" spans="1:7" x14ac:dyDescent="0.25">
      <c r="A40" s="46" t="s">
        <v>31</v>
      </c>
      <c r="B40" s="46" t="s">
        <v>32</v>
      </c>
      <c r="C40" s="56" t="s">
        <v>33</v>
      </c>
      <c r="D40" s="46" t="s">
        <v>4</v>
      </c>
    </row>
    <row r="41" spans="1:7" x14ac:dyDescent="0.25">
      <c r="A41" s="47" t="s">
        <v>5</v>
      </c>
      <c r="B41" s="47" t="s">
        <v>34</v>
      </c>
      <c r="C41" s="57">
        <v>0.2</v>
      </c>
      <c r="D41" s="58">
        <f>C41*C13</f>
        <v>294.279</v>
      </c>
      <c r="G41" s="38" t="s">
        <v>102</v>
      </c>
    </row>
    <row r="42" spans="1:7" x14ac:dyDescent="0.25">
      <c r="A42" s="47" t="s">
        <v>13</v>
      </c>
      <c r="B42" s="47" t="s">
        <v>35</v>
      </c>
      <c r="C42" s="59">
        <v>2.5000000000000001E-2</v>
      </c>
      <c r="D42" s="58">
        <f>C42*C13</f>
        <v>36.784875</v>
      </c>
      <c r="G42" s="38" t="s">
        <v>103</v>
      </c>
    </row>
    <row r="43" spans="1:7" x14ac:dyDescent="0.25">
      <c r="A43" s="47" t="s">
        <v>17</v>
      </c>
      <c r="B43" s="47" t="s">
        <v>36</v>
      </c>
      <c r="C43" s="57">
        <v>6.0000000000000001E-3</v>
      </c>
      <c r="D43" s="58">
        <f>C43*C13</f>
        <v>8.8283699999999996</v>
      </c>
      <c r="G43" s="38" t="s">
        <v>104</v>
      </c>
    </row>
    <row r="44" spans="1:7" x14ac:dyDescent="0.25">
      <c r="A44" s="47" t="s">
        <v>7</v>
      </c>
      <c r="B44" s="47" t="s">
        <v>37</v>
      </c>
      <c r="C44" s="57">
        <v>1.4999999999999999E-2</v>
      </c>
      <c r="D44" s="58">
        <f>C44*C13</f>
        <v>22.070924999999999</v>
      </c>
      <c r="G44" s="38" t="s">
        <v>105</v>
      </c>
    </row>
    <row r="45" spans="1:7" x14ac:dyDescent="0.25">
      <c r="A45" s="47" t="s">
        <v>9</v>
      </c>
      <c r="B45" s="47" t="s">
        <v>38</v>
      </c>
      <c r="C45" s="57">
        <v>0.01</v>
      </c>
      <c r="D45" s="58">
        <f>C45*C13</f>
        <v>14.713950000000001</v>
      </c>
      <c r="G45" s="38" t="s">
        <v>106</v>
      </c>
    </row>
    <row r="46" spans="1:7" x14ac:dyDescent="0.25">
      <c r="A46" s="47" t="s">
        <v>11</v>
      </c>
      <c r="B46" s="47" t="s">
        <v>39</v>
      </c>
      <c r="C46" s="57">
        <v>2E-3</v>
      </c>
      <c r="D46" s="58">
        <f>C46*C13</f>
        <v>2.94279</v>
      </c>
      <c r="G46" s="38" t="s">
        <v>107</v>
      </c>
    </row>
    <row r="47" spans="1:7" x14ac:dyDescent="0.25">
      <c r="A47" s="47" t="s">
        <v>14</v>
      </c>
      <c r="B47" s="47" t="s">
        <v>40</v>
      </c>
      <c r="C47" s="57">
        <v>0.08</v>
      </c>
      <c r="D47" s="58">
        <f>C47*C13</f>
        <v>117.7116</v>
      </c>
      <c r="G47" s="38" t="s">
        <v>108</v>
      </c>
    </row>
    <row r="48" spans="1:7" x14ac:dyDescent="0.25">
      <c r="A48" s="47" t="s">
        <v>16</v>
      </c>
      <c r="B48" s="47" t="s">
        <v>117</v>
      </c>
      <c r="C48" s="57">
        <v>0.06</v>
      </c>
      <c r="D48" s="58">
        <f>C48*C13</f>
        <v>88.283699999999996</v>
      </c>
      <c r="G48" s="38" t="s">
        <v>109</v>
      </c>
    </row>
    <row r="49" spans="1:8" x14ac:dyDescent="0.25">
      <c r="A49" s="182" t="s">
        <v>41</v>
      </c>
      <c r="B49" s="182"/>
      <c r="C49" s="60">
        <f>SUM(C41:C48)</f>
        <v>0.39800000000000002</v>
      </c>
      <c r="D49" s="61">
        <f>SUM(D41:D48)</f>
        <v>585.61520999999993</v>
      </c>
    </row>
    <row r="50" spans="1:8" x14ac:dyDescent="0.25">
      <c r="A50" s="43"/>
      <c r="B50" s="43"/>
      <c r="C50" s="43"/>
      <c r="D50" s="43"/>
    </row>
    <row r="51" spans="1:8" x14ac:dyDescent="0.25">
      <c r="A51" s="44" t="s">
        <v>42</v>
      </c>
      <c r="B51" s="44"/>
      <c r="C51" s="43"/>
      <c r="D51" s="43"/>
    </row>
    <row r="52" spans="1:8" x14ac:dyDescent="0.25">
      <c r="A52" s="43"/>
      <c r="B52" s="41"/>
      <c r="C52" s="43"/>
      <c r="D52" s="43"/>
    </row>
    <row r="53" spans="1:8" x14ac:dyDescent="0.25">
      <c r="A53" s="46" t="s">
        <v>43</v>
      </c>
      <c r="B53" s="45" t="s">
        <v>44</v>
      </c>
      <c r="C53" s="56" t="s">
        <v>33</v>
      </c>
      <c r="D53" s="46" t="s">
        <v>4</v>
      </c>
    </row>
    <row r="54" spans="1:8" x14ac:dyDescent="0.25">
      <c r="A54" s="47" t="s">
        <v>5</v>
      </c>
      <c r="B54" s="1" t="s">
        <v>45</v>
      </c>
      <c r="C54" s="57">
        <f>1/12</f>
        <v>8.3333333333333329E-2</v>
      </c>
      <c r="D54" s="58">
        <f>C13*C54</f>
        <v>122.61624999999999</v>
      </c>
      <c r="G54" s="38" t="s">
        <v>110</v>
      </c>
    </row>
    <row r="55" spans="1:8" x14ac:dyDescent="0.25">
      <c r="A55" s="47" t="s">
        <v>7</v>
      </c>
      <c r="B55" s="1" t="s">
        <v>46</v>
      </c>
      <c r="C55" s="62">
        <f>1/3/12</f>
        <v>2.7777777777777776E-2</v>
      </c>
      <c r="D55" s="58">
        <f>C55*C13</f>
        <v>40.872083333333329</v>
      </c>
      <c r="G55" s="38" t="s">
        <v>111</v>
      </c>
    </row>
    <row r="56" spans="1:8" x14ac:dyDescent="0.25">
      <c r="A56" s="182" t="s">
        <v>47</v>
      </c>
      <c r="B56" s="182"/>
      <c r="C56" s="63">
        <f>SUM(C54:C55)</f>
        <v>0.1111111111111111</v>
      </c>
      <c r="D56" s="61">
        <f>SUM(D54:D55)</f>
        <v>163.48833333333332</v>
      </c>
    </row>
    <row r="57" spans="1:8" x14ac:dyDescent="0.25">
      <c r="A57" s="47" t="s">
        <v>9</v>
      </c>
      <c r="B57" s="1" t="s">
        <v>48</v>
      </c>
      <c r="C57" s="57">
        <f>C49*C56</f>
        <v>4.4222222222222225E-2</v>
      </c>
      <c r="D57" s="58">
        <f>C49*D56</f>
        <v>65.068356666666659</v>
      </c>
    </row>
    <row r="58" spans="1:8" x14ac:dyDescent="0.25">
      <c r="A58" s="182" t="s">
        <v>41</v>
      </c>
      <c r="B58" s="182"/>
      <c r="C58" s="63">
        <f>SUM(C56:C57)</f>
        <v>0.15533333333333332</v>
      </c>
      <c r="D58" s="61">
        <f>SUM(D56:D57)</f>
        <v>228.55668999999997</v>
      </c>
      <c r="G58" s="64"/>
    </row>
    <row r="59" spans="1:8" x14ac:dyDescent="0.25">
      <c r="A59" s="43"/>
      <c r="B59" s="43"/>
      <c r="C59" s="43"/>
      <c r="D59" s="43"/>
    </row>
    <row r="60" spans="1:8" x14ac:dyDescent="0.25">
      <c r="A60" s="44" t="s">
        <v>49</v>
      </c>
      <c r="B60" s="43"/>
      <c r="C60" s="43"/>
      <c r="D60" s="43"/>
    </row>
    <row r="61" spans="1:8" x14ac:dyDescent="0.25">
      <c r="A61" s="43"/>
      <c r="B61" s="41"/>
      <c r="C61" s="43"/>
      <c r="D61" s="43"/>
    </row>
    <row r="62" spans="1:8" x14ac:dyDescent="0.25">
      <c r="A62" s="46" t="s">
        <v>50</v>
      </c>
      <c r="B62" s="45" t="s">
        <v>51</v>
      </c>
      <c r="C62" s="56" t="s">
        <v>33</v>
      </c>
      <c r="D62" s="46" t="s">
        <v>4</v>
      </c>
    </row>
    <row r="63" spans="1:8" x14ac:dyDescent="0.25">
      <c r="A63" s="47" t="s">
        <v>5</v>
      </c>
      <c r="B63" s="1" t="s">
        <v>52</v>
      </c>
      <c r="C63" s="65">
        <f>4/3*4/12/12*F63</f>
        <v>7.407407407407407E-4</v>
      </c>
      <c r="D63" s="58">
        <f>C63*C13</f>
        <v>1.0899222222222222</v>
      </c>
      <c r="E63" s="39" t="s">
        <v>131</v>
      </c>
      <c r="F63" s="66">
        <v>0.02</v>
      </c>
      <c r="G63" s="38" t="s">
        <v>112</v>
      </c>
      <c r="H63" s="67"/>
    </row>
    <row r="64" spans="1:8" ht="22.5" x14ac:dyDescent="0.25">
      <c r="A64" s="47" t="s">
        <v>7</v>
      </c>
      <c r="B64" s="2" t="s">
        <v>152</v>
      </c>
      <c r="C64" s="65">
        <f>4*F63/12</f>
        <v>6.6666666666666671E-3</v>
      </c>
      <c r="D64" s="58">
        <f>SUM(C20:D24)*C64</f>
        <v>0.14599999999999999</v>
      </c>
      <c r="G64" s="43" t="s">
        <v>151</v>
      </c>
    </row>
    <row r="65" spans="1:7" ht="22.5" x14ac:dyDescent="0.25">
      <c r="A65" s="47" t="s">
        <v>9</v>
      </c>
      <c r="B65" s="3" t="s">
        <v>149</v>
      </c>
      <c r="C65" s="65">
        <f>((4+1/3+1/3)/12)*C49*F63</f>
        <v>3.0955555555555554E-3</v>
      </c>
      <c r="D65" s="58">
        <f>C13*C65</f>
        <v>4.5547849666666664</v>
      </c>
      <c r="G65" s="43" t="s">
        <v>150</v>
      </c>
    </row>
    <row r="66" spans="1:7" x14ac:dyDescent="0.25">
      <c r="A66" s="182" t="s">
        <v>41</v>
      </c>
      <c r="B66" s="182"/>
      <c r="C66" s="68">
        <f>SUM(C63:C65)</f>
        <v>1.0502962962962964E-2</v>
      </c>
      <c r="D66" s="61">
        <f>SUM(D63:D65)</f>
        <v>5.7907071888888888</v>
      </c>
    </row>
    <row r="67" spans="1:7" x14ac:dyDescent="0.25">
      <c r="A67" s="43"/>
      <c r="B67" s="43"/>
      <c r="C67" s="43"/>
      <c r="D67" s="43"/>
    </row>
    <row r="68" spans="1:7" x14ac:dyDescent="0.25">
      <c r="A68" s="44" t="s">
        <v>53</v>
      </c>
      <c r="B68" s="43"/>
      <c r="C68" s="43"/>
      <c r="D68" s="43"/>
    </row>
    <row r="69" spans="1:7" x14ac:dyDescent="0.25">
      <c r="A69" s="43"/>
      <c r="B69" s="41"/>
      <c r="C69" s="43"/>
      <c r="D69" s="43"/>
    </row>
    <row r="70" spans="1:7" s="44" customFormat="1" x14ac:dyDescent="0.25">
      <c r="A70" s="46" t="s">
        <v>54</v>
      </c>
      <c r="B70" s="45" t="s">
        <v>55</v>
      </c>
      <c r="C70" s="56" t="s">
        <v>33</v>
      </c>
      <c r="D70" s="46" t="s">
        <v>4</v>
      </c>
      <c r="E70" s="39"/>
      <c r="F70" s="39"/>
      <c r="G70" s="38"/>
    </row>
    <row r="71" spans="1:7" ht="21" x14ac:dyDescent="0.25">
      <c r="A71" s="47" t="s">
        <v>5</v>
      </c>
      <c r="B71" s="69" t="s">
        <v>56</v>
      </c>
      <c r="C71" s="65">
        <f>(1/12*1.5+1/30*3/12)*5%</f>
        <v>6.6666666666666671E-3</v>
      </c>
      <c r="D71" s="58">
        <f>C71*C13</f>
        <v>9.8093000000000004</v>
      </c>
      <c r="E71" s="39" t="s">
        <v>132</v>
      </c>
      <c r="F71" s="66">
        <v>0.05</v>
      </c>
      <c r="G71" s="38" t="s">
        <v>153</v>
      </c>
    </row>
    <row r="72" spans="1:7" x14ac:dyDescent="0.25">
      <c r="A72" s="47" t="s">
        <v>7</v>
      </c>
      <c r="B72" s="1" t="s">
        <v>57</v>
      </c>
      <c r="C72" s="65">
        <f>C47*C71</f>
        <v>5.3333333333333336E-4</v>
      </c>
      <c r="D72" s="58">
        <f>C72*C13</f>
        <v>0.784744</v>
      </c>
    </row>
    <row r="73" spans="1:7" x14ac:dyDescent="0.25">
      <c r="A73" s="47" t="s">
        <v>58</v>
      </c>
      <c r="B73" s="69" t="s">
        <v>59</v>
      </c>
      <c r="C73" s="65">
        <f>0.4*C47</f>
        <v>3.2000000000000001E-2</v>
      </c>
      <c r="D73" s="70">
        <f>C73*C13</f>
        <v>47.08464</v>
      </c>
      <c r="G73" s="38" t="s">
        <v>113</v>
      </c>
    </row>
    <row r="74" spans="1:7" x14ac:dyDescent="0.25">
      <c r="A74" s="47" t="s">
        <v>60</v>
      </c>
      <c r="B74" s="69" t="s">
        <v>61</v>
      </c>
      <c r="C74" s="65">
        <f>C47*10%</f>
        <v>8.0000000000000002E-3</v>
      </c>
      <c r="D74" s="70">
        <f>C74*C13</f>
        <v>11.77116</v>
      </c>
      <c r="G74" s="38" t="s">
        <v>114</v>
      </c>
    </row>
    <row r="75" spans="1:7" ht="21" x14ac:dyDescent="0.25">
      <c r="A75" s="47" t="s">
        <v>11</v>
      </c>
      <c r="B75" s="69" t="s">
        <v>62</v>
      </c>
      <c r="C75" s="65">
        <f>7/30/12*100%</f>
        <v>1.9444444444444445E-2</v>
      </c>
      <c r="D75" s="70">
        <f>C75*C13</f>
        <v>28.610458333333334</v>
      </c>
      <c r="E75" s="39" t="s">
        <v>133</v>
      </c>
      <c r="F75" s="66">
        <v>1</v>
      </c>
      <c r="G75" s="38" t="s">
        <v>115</v>
      </c>
    </row>
    <row r="76" spans="1:7" x14ac:dyDescent="0.25">
      <c r="A76" s="47" t="s">
        <v>13</v>
      </c>
      <c r="B76" s="69" t="s">
        <v>63</v>
      </c>
      <c r="C76" s="65">
        <f>C49*C75</f>
        <v>7.7388888888888898E-3</v>
      </c>
      <c r="D76" s="58">
        <f>C76*C13</f>
        <v>11.386962416666668</v>
      </c>
    </row>
    <row r="77" spans="1:7" x14ac:dyDescent="0.25">
      <c r="A77" s="182" t="s">
        <v>41</v>
      </c>
      <c r="B77" s="182"/>
      <c r="C77" s="68">
        <f>SUM(C71:C76)</f>
        <v>7.4383333333333343E-2</v>
      </c>
      <c r="D77" s="71">
        <f>SUM(D71:D76)</f>
        <v>109.44726475</v>
      </c>
    </row>
    <row r="78" spans="1:7" x14ac:dyDescent="0.25">
      <c r="A78" s="43"/>
      <c r="B78" s="43"/>
      <c r="C78" s="43"/>
      <c r="D78" s="43"/>
    </row>
    <row r="79" spans="1:7" x14ac:dyDescent="0.25">
      <c r="A79" s="44" t="s">
        <v>64</v>
      </c>
      <c r="B79" s="43"/>
      <c r="C79" s="43"/>
      <c r="D79" s="43"/>
      <c r="G79" s="72"/>
    </row>
    <row r="80" spans="1:7" x14ac:dyDescent="0.25">
      <c r="A80" s="43"/>
      <c r="B80" s="41"/>
      <c r="C80" s="43"/>
      <c r="D80" s="43"/>
    </row>
    <row r="81" spans="1:7" x14ac:dyDescent="0.25">
      <c r="A81" s="46" t="s">
        <v>65</v>
      </c>
      <c r="B81" s="46" t="s">
        <v>66</v>
      </c>
      <c r="C81" s="56" t="s">
        <v>33</v>
      </c>
      <c r="D81" s="46" t="s">
        <v>4</v>
      </c>
      <c r="E81" s="39" t="s">
        <v>137</v>
      </c>
      <c r="F81" s="73">
        <f>((C13+D94+D95+D96+D97)/30)/C13</f>
        <v>5.4388406284260608E-2</v>
      </c>
      <c r="G81" s="74">
        <f>F81*C13</f>
        <v>80.026829064629638</v>
      </c>
    </row>
    <row r="82" spans="1:7" x14ac:dyDescent="0.25">
      <c r="A82" s="47" t="s">
        <v>5</v>
      </c>
      <c r="B82" s="1" t="s">
        <v>67</v>
      </c>
      <c r="C82" s="65">
        <f>F81*F82/12</f>
        <v>0.13597101571065154</v>
      </c>
      <c r="D82" s="58">
        <f>C82*C13</f>
        <v>200.06707266157412</v>
      </c>
      <c r="E82" s="73" t="s">
        <v>143</v>
      </c>
      <c r="F82" s="39">
        <v>30</v>
      </c>
      <c r="G82" s="38" t="s">
        <v>138</v>
      </c>
    </row>
    <row r="83" spans="1:7" x14ac:dyDescent="0.25">
      <c r="A83" s="47" t="s">
        <v>7</v>
      </c>
      <c r="B83" s="1" t="s">
        <v>68</v>
      </c>
      <c r="C83" s="65">
        <f>F81*F83*F83/360</f>
        <v>3.7769726586292084E-3</v>
      </c>
      <c r="D83" s="58">
        <f>C83*C13</f>
        <v>5.5574186850437242</v>
      </c>
      <c r="E83" s="39" t="s">
        <v>139</v>
      </c>
      <c r="F83" s="39">
        <v>5</v>
      </c>
      <c r="G83" s="38" t="s">
        <v>154</v>
      </c>
    </row>
    <row r="84" spans="1:7" x14ac:dyDescent="0.25">
      <c r="A84" s="47" t="s">
        <v>9</v>
      </c>
      <c r="B84" s="1" t="s">
        <v>69</v>
      </c>
      <c r="C84" s="65">
        <f>5*F81*1%</f>
        <v>2.7194203142130303E-3</v>
      </c>
      <c r="D84" s="58">
        <f>C84*C13</f>
        <v>4.0013414532314817</v>
      </c>
      <c r="E84" s="39" t="s">
        <v>155</v>
      </c>
      <c r="F84" s="73">
        <f>F83/360</f>
        <v>1.3888888888888888E-2</v>
      </c>
      <c r="G84" s="38" t="s">
        <v>142</v>
      </c>
    </row>
    <row r="85" spans="1:7" x14ac:dyDescent="0.25">
      <c r="A85" s="47" t="s">
        <v>11</v>
      </c>
      <c r="B85" s="1" t="s">
        <v>70</v>
      </c>
      <c r="C85" s="65">
        <f>F86*F87*F81</f>
        <v>2.432370392157211E-4</v>
      </c>
      <c r="D85" s="58">
        <f>C85*C13</f>
        <v>0.35789776331681594</v>
      </c>
      <c r="E85" s="39" t="s">
        <v>140</v>
      </c>
      <c r="F85" s="75">
        <v>0.01</v>
      </c>
      <c r="G85" s="38" t="s">
        <v>146</v>
      </c>
    </row>
    <row r="86" spans="1:7" x14ac:dyDescent="0.25">
      <c r="A86" s="47" t="s">
        <v>13</v>
      </c>
      <c r="B86" s="1" t="s">
        <v>71</v>
      </c>
      <c r="C86" s="65">
        <f>15*F81*F88</f>
        <v>6.5266087541112738E-2</v>
      </c>
      <c r="D86" s="58">
        <f>C86*C13</f>
        <v>96.032194877555582</v>
      </c>
      <c r="E86" s="39" t="s">
        <v>144</v>
      </c>
      <c r="F86" s="39">
        <v>7</v>
      </c>
      <c r="G86" s="38" t="s">
        <v>147</v>
      </c>
    </row>
    <row r="87" spans="1:7" ht="21" x14ac:dyDescent="0.25">
      <c r="A87" s="182" t="s">
        <v>47</v>
      </c>
      <c r="B87" s="182"/>
      <c r="C87" s="68">
        <f>SUM(C82:C86)</f>
        <v>0.20797673326382221</v>
      </c>
      <c r="D87" s="61">
        <f>SUM(D82:D86)</f>
        <v>306.01592544072173</v>
      </c>
      <c r="E87" s="39" t="s">
        <v>145</v>
      </c>
      <c r="F87" s="73">
        <f>(3*5%+2*2%+1*2%+1*2%)/360</f>
        <v>6.3888888888888893E-4</v>
      </c>
      <c r="G87" s="38" t="s">
        <v>148</v>
      </c>
    </row>
    <row r="88" spans="1:7" x14ac:dyDescent="0.25">
      <c r="A88" s="47" t="s">
        <v>16</v>
      </c>
      <c r="B88" s="1" t="s">
        <v>72</v>
      </c>
      <c r="C88" s="65">
        <f>C49*C87</f>
        <v>8.2774739839001243E-2</v>
      </c>
      <c r="D88" s="58">
        <f>D87*C49</f>
        <v>121.79433832540725</v>
      </c>
      <c r="E88" s="39" t="s">
        <v>141</v>
      </c>
      <c r="F88" s="75">
        <v>0.08</v>
      </c>
    </row>
    <row r="89" spans="1:7" x14ac:dyDescent="0.25">
      <c r="A89" s="182" t="s">
        <v>41</v>
      </c>
      <c r="B89" s="192"/>
      <c r="C89" s="68">
        <f>SUM(C87:C88)</f>
        <v>0.29075147310282345</v>
      </c>
      <c r="D89" s="61">
        <f>SUM(D87:D88)</f>
        <v>427.81026376612897</v>
      </c>
    </row>
    <row r="90" spans="1:7" x14ac:dyDescent="0.25">
      <c r="A90" s="43"/>
      <c r="B90" s="43"/>
      <c r="C90" s="43"/>
      <c r="D90" s="43"/>
    </row>
    <row r="91" spans="1:7" x14ac:dyDescent="0.25">
      <c r="A91" s="44" t="s">
        <v>73</v>
      </c>
      <c r="B91" s="43"/>
      <c r="C91" s="43"/>
      <c r="D91" s="43"/>
    </row>
    <row r="92" spans="1:7" x14ac:dyDescent="0.25">
      <c r="A92" s="43"/>
      <c r="B92" s="41"/>
      <c r="C92" s="43"/>
      <c r="D92" s="43"/>
    </row>
    <row r="93" spans="1:7" s="44" customFormat="1" x14ac:dyDescent="0.25">
      <c r="A93" s="45">
        <v>4</v>
      </c>
      <c r="B93" s="45" t="s">
        <v>74</v>
      </c>
      <c r="C93" s="56" t="s">
        <v>33</v>
      </c>
      <c r="D93" s="46" t="s">
        <v>4</v>
      </c>
      <c r="E93" s="39"/>
      <c r="F93" s="39"/>
      <c r="G93" s="38"/>
    </row>
    <row r="94" spans="1:7" x14ac:dyDescent="0.25">
      <c r="A94" s="47" t="s">
        <v>31</v>
      </c>
      <c r="B94" s="1" t="s">
        <v>75</v>
      </c>
      <c r="C94" s="65">
        <f>C58</f>
        <v>0.15533333333333332</v>
      </c>
      <c r="D94" s="58">
        <f>D58</f>
        <v>228.55668999999997</v>
      </c>
    </row>
    <row r="95" spans="1:7" x14ac:dyDescent="0.25">
      <c r="A95" s="47" t="s">
        <v>43</v>
      </c>
      <c r="B95" s="1" t="s">
        <v>32</v>
      </c>
      <c r="C95" s="65">
        <f>C49</f>
        <v>0.39800000000000002</v>
      </c>
      <c r="D95" s="58">
        <f>D49</f>
        <v>585.61520999999993</v>
      </c>
    </row>
    <row r="96" spans="1:7" x14ac:dyDescent="0.25">
      <c r="A96" s="47" t="s">
        <v>50</v>
      </c>
      <c r="B96" s="1" t="s">
        <v>76</v>
      </c>
      <c r="C96" s="65">
        <f>C66</f>
        <v>1.0502962962962964E-2</v>
      </c>
      <c r="D96" s="58">
        <f>D66</f>
        <v>5.7907071888888888</v>
      </c>
    </row>
    <row r="97" spans="1:7" x14ac:dyDescent="0.25">
      <c r="A97" s="47" t="s">
        <v>54</v>
      </c>
      <c r="B97" s="1" t="s">
        <v>77</v>
      </c>
      <c r="C97" s="65">
        <f>C77</f>
        <v>7.4383333333333343E-2</v>
      </c>
      <c r="D97" s="58">
        <f>D77</f>
        <v>109.44726475</v>
      </c>
    </row>
    <row r="98" spans="1:7" x14ac:dyDescent="0.25">
      <c r="A98" s="47" t="s">
        <v>65</v>
      </c>
      <c r="B98" s="1" t="s">
        <v>78</v>
      </c>
      <c r="C98" s="65">
        <f>C89</f>
        <v>0.29075147310282345</v>
      </c>
      <c r="D98" s="58">
        <f>D89</f>
        <v>427.81026376612897</v>
      </c>
    </row>
    <row r="99" spans="1:7" x14ac:dyDescent="0.25">
      <c r="A99" s="47" t="s">
        <v>79</v>
      </c>
      <c r="B99" s="1" t="s">
        <v>18</v>
      </c>
      <c r="C99" s="65">
        <f>C90</f>
        <v>0</v>
      </c>
      <c r="D99" s="58">
        <v>0</v>
      </c>
    </row>
    <row r="100" spans="1:7" x14ac:dyDescent="0.25">
      <c r="A100" s="191" t="s">
        <v>41</v>
      </c>
      <c r="B100" s="166"/>
      <c r="C100" s="68">
        <f>SUM(C94:C99)</f>
        <v>0.92897110273245309</v>
      </c>
      <c r="D100" s="61">
        <f>SUM(D94:D99)</f>
        <v>1357.2201357050178</v>
      </c>
    </row>
    <row r="101" spans="1:7" x14ac:dyDescent="0.25">
      <c r="A101" s="43"/>
      <c r="B101" s="43"/>
      <c r="C101" s="43"/>
      <c r="D101" s="43"/>
    </row>
    <row r="102" spans="1:7" x14ac:dyDescent="0.25">
      <c r="A102" s="194" t="s">
        <v>80</v>
      </c>
      <c r="B102" s="195"/>
      <c r="C102" s="196"/>
      <c r="D102" s="61">
        <f>D100+C34+C25+C13</f>
        <v>5180.0251357050174</v>
      </c>
    </row>
    <row r="103" spans="1:7" x14ac:dyDescent="0.25">
      <c r="A103" s="43"/>
      <c r="B103" s="43"/>
      <c r="C103" s="43"/>
      <c r="D103" s="43"/>
    </row>
    <row r="104" spans="1:7" s="44" customFormat="1" x14ac:dyDescent="0.25">
      <c r="A104" s="44" t="s">
        <v>81</v>
      </c>
      <c r="E104" s="39"/>
      <c r="F104" s="39"/>
      <c r="G104" s="38"/>
    </row>
    <row r="105" spans="1:7" x14ac:dyDescent="0.25">
      <c r="A105" s="43"/>
      <c r="B105" s="41"/>
      <c r="C105" s="43"/>
      <c r="D105" s="43"/>
    </row>
    <row r="106" spans="1:7" x14ac:dyDescent="0.25">
      <c r="A106" s="45">
        <v>5</v>
      </c>
      <c r="B106" s="46" t="s">
        <v>82</v>
      </c>
      <c r="C106" s="56" t="s">
        <v>33</v>
      </c>
      <c r="D106" s="46" t="s">
        <v>4</v>
      </c>
    </row>
    <row r="107" spans="1:7" x14ac:dyDescent="0.25">
      <c r="A107" s="47" t="s">
        <v>5</v>
      </c>
      <c r="B107" s="47" t="s">
        <v>83</v>
      </c>
      <c r="C107" s="57">
        <f>F107</f>
        <v>0.05</v>
      </c>
      <c r="D107" s="58">
        <f>(D100+C34+C25+C13)*C107</f>
        <v>259.00125678525086</v>
      </c>
      <c r="E107" s="39" t="s">
        <v>83</v>
      </c>
      <c r="F107" s="75">
        <v>0.05</v>
      </c>
      <c r="G107" s="38" t="s">
        <v>118</v>
      </c>
    </row>
    <row r="108" spans="1:7" x14ac:dyDescent="0.25">
      <c r="A108" s="47" t="s">
        <v>7</v>
      </c>
      <c r="B108" s="47" t="s">
        <v>84</v>
      </c>
      <c r="C108" s="57">
        <f>F108</f>
        <v>0.1</v>
      </c>
      <c r="D108" s="58">
        <f>(D100+C34+C25+C13+D107)*C108</f>
        <v>543.90263924902683</v>
      </c>
      <c r="E108" s="39" t="s">
        <v>84</v>
      </c>
      <c r="F108" s="75">
        <v>0.1</v>
      </c>
      <c r="G108" s="38" t="s">
        <v>119</v>
      </c>
    </row>
    <row r="109" spans="1:7" x14ac:dyDescent="0.25">
      <c r="A109" s="47" t="s">
        <v>9</v>
      </c>
      <c r="B109" s="47" t="s">
        <v>85</v>
      </c>
      <c r="C109" s="76"/>
      <c r="D109" s="58"/>
    </row>
    <row r="110" spans="1:7" x14ac:dyDescent="0.25">
      <c r="A110" s="47"/>
      <c r="B110" s="47" t="s">
        <v>86</v>
      </c>
      <c r="C110" s="77">
        <f>1-(C111+C113)</f>
        <v>0.85749999999999993</v>
      </c>
      <c r="D110" s="58">
        <f>(D100+C34+C25+C13+D107+D108)/C110</f>
        <v>6977.1767133985959</v>
      </c>
      <c r="E110" s="39" t="s">
        <v>134</v>
      </c>
      <c r="F110" s="78">
        <v>7.5999999999999998E-2</v>
      </c>
    </row>
    <row r="111" spans="1:7" x14ac:dyDescent="0.25">
      <c r="A111" s="47"/>
      <c r="B111" s="47" t="s">
        <v>87</v>
      </c>
      <c r="C111" s="57">
        <f>F110+F111</f>
        <v>9.2499999999999999E-2</v>
      </c>
      <c r="D111" s="79">
        <f>C111*D110</f>
        <v>645.38884598937011</v>
      </c>
      <c r="E111" s="39" t="s">
        <v>135</v>
      </c>
      <c r="F111" s="78">
        <v>1.6500000000000001E-2</v>
      </c>
    </row>
    <row r="112" spans="1:7" x14ac:dyDescent="0.25">
      <c r="A112" s="47"/>
      <c r="B112" s="113" t="s">
        <v>88</v>
      </c>
      <c r="C112" s="76"/>
      <c r="D112" s="58"/>
    </row>
    <row r="113" spans="1:7" x14ac:dyDescent="0.25">
      <c r="A113" s="47"/>
      <c r="B113" s="47" t="s">
        <v>89</v>
      </c>
      <c r="C113" s="57">
        <f>F113</f>
        <v>0.05</v>
      </c>
      <c r="D113" s="79">
        <f>D110*C113</f>
        <v>348.85883566992982</v>
      </c>
      <c r="E113" s="39" t="s">
        <v>136</v>
      </c>
      <c r="F113" s="75">
        <v>0.05</v>
      </c>
    </row>
    <row r="114" spans="1:7" x14ac:dyDescent="0.25">
      <c r="A114" s="47"/>
      <c r="B114" s="47" t="s">
        <v>90</v>
      </c>
      <c r="C114" s="76"/>
      <c r="D114" s="58"/>
    </row>
    <row r="115" spans="1:7" x14ac:dyDescent="0.25">
      <c r="A115" s="182" t="s">
        <v>91</v>
      </c>
      <c r="B115" s="182"/>
      <c r="C115" s="182"/>
      <c r="D115" s="61">
        <f>SUM(D107,D111,D113,D108,D112)</f>
        <v>1797.1515776935776</v>
      </c>
    </row>
    <row r="116" spans="1:7" x14ac:dyDescent="0.25">
      <c r="A116" s="43"/>
      <c r="B116" s="43"/>
      <c r="C116" s="43"/>
      <c r="D116" s="43"/>
    </row>
    <row r="117" spans="1:7" x14ac:dyDescent="0.25">
      <c r="A117" s="44" t="s">
        <v>92</v>
      </c>
      <c r="B117" s="43"/>
      <c r="C117" s="43"/>
      <c r="D117" s="43"/>
    </row>
    <row r="118" spans="1:7" x14ac:dyDescent="0.25">
      <c r="A118" s="43"/>
      <c r="C118" s="43"/>
      <c r="D118" s="43"/>
    </row>
    <row r="119" spans="1:7" s="44" customFormat="1" x14ac:dyDescent="0.25">
      <c r="A119" s="46"/>
      <c r="B119" s="182" t="s">
        <v>93</v>
      </c>
      <c r="C119" s="182"/>
      <c r="D119" s="56" t="s">
        <v>94</v>
      </c>
      <c r="E119" s="39"/>
      <c r="F119" s="39"/>
      <c r="G119" s="38"/>
    </row>
    <row r="120" spans="1:7" x14ac:dyDescent="0.25">
      <c r="A120" s="47" t="s">
        <v>5</v>
      </c>
      <c r="B120" s="193" t="s">
        <v>95</v>
      </c>
      <c r="C120" s="193"/>
      <c r="D120" s="80">
        <f>C13</f>
        <v>1471.395</v>
      </c>
    </row>
    <row r="121" spans="1:7" x14ac:dyDescent="0.25">
      <c r="A121" s="47" t="s">
        <v>7</v>
      </c>
      <c r="B121" s="193" t="s">
        <v>96</v>
      </c>
      <c r="C121" s="193"/>
      <c r="D121" s="80">
        <f>C25</f>
        <v>775.52</v>
      </c>
    </row>
    <row r="122" spans="1:7" x14ac:dyDescent="0.25">
      <c r="A122" s="1" t="s">
        <v>9</v>
      </c>
      <c r="B122" s="193" t="s">
        <v>97</v>
      </c>
      <c r="C122" s="192"/>
      <c r="D122" s="80">
        <f>C34</f>
        <v>1575.8899999999999</v>
      </c>
    </row>
    <row r="123" spans="1:7" x14ac:dyDescent="0.25">
      <c r="A123" s="47" t="s">
        <v>11</v>
      </c>
      <c r="B123" s="47" t="s">
        <v>98</v>
      </c>
      <c r="C123" s="62">
        <f>C49+C58+C66+C77+C89</f>
        <v>0.92897110273245309</v>
      </c>
      <c r="D123" s="80">
        <f>D100</f>
        <v>1357.2201357050178</v>
      </c>
    </row>
    <row r="124" spans="1:7" x14ac:dyDescent="0.25">
      <c r="A124" s="47"/>
      <c r="B124" s="193" t="s">
        <v>99</v>
      </c>
      <c r="C124" s="192"/>
      <c r="D124" s="80">
        <f>SUM(D120:D123)</f>
        <v>5180.0251357050174</v>
      </c>
    </row>
    <row r="125" spans="1:7" x14ac:dyDescent="0.25">
      <c r="A125" s="47" t="s">
        <v>13</v>
      </c>
      <c r="B125" s="193" t="s">
        <v>100</v>
      </c>
      <c r="C125" s="193"/>
      <c r="D125" s="81">
        <f>SUM(D115)</f>
        <v>1797.1515776935776</v>
      </c>
    </row>
    <row r="126" spans="1:7" x14ac:dyDescent="0.25">
      <c r="A126" s="182" t="s">
        <v>101</v>
      </c>
      <c r="B126" s="182"/>
      <c r="C126" s="182"/>
      <c r="D126" s="81">
        <f>SUM(D124+D125)</f>
        <v>6977.176713398595</v>
      </c>
    </row>
    <row r="131" spans="1:8" s="39" customFormat="1" x14ac:dyDescent="0.25">
      <c r="A131" s="4"/>
      <c r="B131" s="82"/>
      <c r="C131" s="82"/>
      <c r="D131" s="4"/>
      <c r="G131" s="38"/>
      <c r="H131" s="4"/>
    </row>
    <row r="132" spans="1:8" s="39" customFormat="1" x14ac:dyDescent="0.25">
      <c r="A132" s="4"/>
      <c r="B132" s="82"/>
      <c r="C132" s="83"/>
      <c r="D132" s="4"/>
      <c r="G132" s="38"/>
      <c r="H132" s="4"/>
    </row>
    <row r="136" spans="1:8" s="39" customFormat="1" x14ac:dyDescent="0.25">
      <c r="A136" s="4"/>
      <c r="B136" s="43"/>
      <c r="C136" s="43"/>
      <c r="D136" s="4"/>
      <c r="G136" s="38"/>
      <c r="H136" s="4"/>
    </row>
    <row r="137" spans="1:8" s="39" customFormat="1" x14ac:dyDescent="0.25">
      <c r="A137" s="4"/>
      <c r="B137" s="43"/>
      <c r="C137" s="43"/>
      <c r="D137" s="4"/>
      <c r="G137" s="38"/>
      <c r="H137" s="4"/>
    </row>
    <row r="138" spans="1:8" s="39" customFormat="1" x14ac:dyDescent="0.25">
      <c r="A138" s="4"/>
      <c r="B138" s="43"/>
      <c r="C138" s="43"/>
      <c r="D138" s="4"/>
      <c r="G138" s="38"/>
      <c r="H138" s="4"/>
    </row>
    <row r="139" spans="1:8" s="39" customFormat="1" x14ac:dyDescent="0.25">
      <c r="A139" s="43"/>
      <c r="B139" s="44"/>
      <c r="C139" s="43"/>
      <c r="D139" s="43"/>
      <c r="G139" s="38"/>
      <c r="H139" s="4"/>
    </row>
    <row r="140" spans="1:8" s="39" customFormat="1" x14ac:dyDescent="0.25">
      <c r="A140" s="43"/>
      <c r="B140" s="44"/>
      <c r="C140" s="43"/>
      <c r="D140" s="43"/>
      <c r="G140" s="38"/>
      <c r="H140" s="4"/>
    </row>
    <row r="141" spans="1:8" s="39" customFormat="1" x14ac:dyDescent="0.25">
      <c r="A141" s="43"/>
      <c r="B141" s="43"/>
      <c r="C141" s="43"/>
      <c r="D141" s="43"/>
      <c r="G141" s="38"/>
      <c r="H141" s="4"/>
    </row>
    <row r="142" spans="1:8" s="39" customFormat="1" x14ac:dyDescent="0.25">
      <c r="A142" s="44"/>
      <c r="B142" s="4"/>
      <c r="C142" s="4"/>
      <c r="D142" s="43"/>
      <c r="G142" s="38"/>
      <c r="H142" s="4"/>
    </row>
    <row r="143" spans="1:8" s="39" customFormat="1" x14ac:dyDescent="0.25">
      <c r="A143" s="44"/>
      <c r="B143" s="4"/>
      <c r="C143" s="4"/>
      <c r="D143" s="43"/>
      <c r="G143" s="38"/>
      <c r="H143" s="4"/>
    </row>
    <row r="144" spans="1:8" s="39" customFormat="1" x14ac:dyDescent="0.25">
      <c r="A144" s="43"/>
      <c r="B144" s="4"/>
      <c r="C144" s="4"/>
      <c r="D144" s="43"/>
      <c r="G144" s="38"/>
      <c r="H144" s="4"/>
    </row>
  </sheetData>
  <mergeCells count="45">
    <mergeCell ref="B121:C121"/>
    <mergeCell ref="B122:C122"/>
    <mergeCell ref="B124:C124"/>
    <mergeCell ref="B125:C125"/>
    <mergeCell ref="A126:C126"/>
    <mergeCell ref="A34:B34"/>
    <mergeCell ref="C34:D34"/>
    <mergeCell ref="B120:C120"/>
    <mergeCell ref="A49:B49"/>
    <mergeCell ref="A56:B56"/>
    <mergeCell ref="A58:B58"/>
    <mergeCell ref="A66:B66"/>
    <mergeCell ref="A77:B77"/>
    <mergeCell ref="A87:B87"/>
    <mergeCell ref="A89:B89"/>
    <mergeCell ref="A100:B100"/>
    <mergeCell ref="A102:C102"/>
    <mergeCell ref="A115:C115"/>
    <mergeCell ref="B119:C119"/>
    <mergeCell ref="A27:B27"/>
    <mergeCell ref="C30:D30"/>
    <mergeCell ref="C31:D31"/>
    <mergeCell ref="C32:D32"/>
    <mergeCell ref="C33:D33"/>
    <mergeCell ref="C29:D29"/>
    <mergeCell ref="C13:D13"/>
    <mergeCell ref="C17:D17"/>
    <mergeCell ref="C18:D18"/>
    <mergeCell ref="C19:D19"/>
    <mergeCell ref="C20:D20"/>
    <mergeCell ref="C21:D21"/>
    <mergeCell ref="C23:D23"/>
    <mergeCell ref="C24:D24"/>
    <mergeCell ref="C25:D25"/>
    <mergeCell ref="C22:D22"/>
    <mergeCell ref="C9:D9"/>
    <mergeCell ref="C10:D10"/>
    <mergeCell ref="C11:D11"/>
    <mergeCell ref="C12:D12"/>
    <mergeCell ref="A1:D1"/>
    <mergeCell ref="C4:D4"/>
    <mergeCell ref="C5:D5"/>
    <mergeCell ref="C6:D6"/>
    <mergeCell ref="C7:D7"/>
    <mergeCell ref="C8:D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5" orientation="portrait" verticalDpi="597" r:id="rId1"/>
  <rowBreaks count="1" manualBreakCount="1">
    <brk id="66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zoomScaleNormal="100" workbookViewId="0">
      <selection activeCell="C27" sqref="C27"/>
    </sheetView>
  </sheetViews>
  <sheetFormatPr defaultRowHeight="11.25" x14ac:dyDescent="0.25"/>
  <cols>
    <col min="1" max="1" width="3.7109375" style="29" customWidth="1"/>
    <col min="2" max="2" width="25.7109375" style="29" customWidth="1"/>
    <col min="3" max="3" width="14.140625" style="29" customWidth="1"/>
    <col min="4" max="4" width="15.42578125" style="29" customWidth="1"/>
    <col min="5" max="5" width="11.5703125" style="29" customWidth="1"/>
    <col min="6" max="8" width="15.7109375" style="29" customWidth="1"/>
    <col min="9" max="16384" width="9.140625" style="29"/>
  </cols>
  <sheetData>
    <row r="2" spans="1:7" ht="17.25" customHeight="1" thickBot="1" x14ac:dyDescent="0.3">
      <c r="A2" s="197" t="s">
        <v>161</v>
      </c>
      <c r="B2" s="197"/>
      <c r="C2" s="197"/>
      <c r="D2" s="197"/>
      <c r="E2" s="197"/>
      <c r="F2" s="197"/>
      <c r="G2" s="197"/>
    </row>
    <row r="3" spans="1:7" ht="15" thickBot="1" x14ac:dyDescent="0.3">
      <c r="A3" s="198" t="s">
        <v>250</v>
      </c>
      <c r="B3" s="199"/>
      <c r="C3" s="199"/>
      <c r="D3" s="199"/>
      <c r="E3" s="199"/>
      <c r="F3" s="199"/>
      <c r="G3" s="200"/>
    </row>
    <row r="5" spans="1:7" s="30" customFormat="1" ht="30" customHeight="1" x14ac:dyDescent="0.25">
      <c r="A5" s="201" t="s">
        <v>195</v>
      </c>
      <c r="B5" s="201"/>
      <c r="C5" s="86" t="s">
        <v>196</v>
      </c>
      <c r="D5" s="86" t="s">
        <v>197</v>
      </c>
      <c r="E5" s="86" t="s">
        <v>198</v>
      </c>
      <c r="F5" s="86" t="s">
        <v>199</v>
      </c>
      <c r="G5" s="85" t="s">
        <v>200</v>
      </c>
    </row>
    <row r="6" spans="1:7" ht="22.5" customHeight="1" x14ac:dyDescent="0.25">
      <c r="A6" s="28">
        <v>1</v>
      </c>
      <c r="B6" s="106" t="s">
        <v>245</v>
      </c>
      <c r="C6" s="31">
        <v>62.43</v>
      </c>
      <c r="D6" s="107">
        <v>3</v>
      </c>
      <c r="E6" s="107">
        <v>6</v>
      </c>
      <c r="F6" s="32">
        <f>C6*D6*(12/E6)</f>
        <v>374.58</v>
      </c>
      <c r="G6" s="32">
        <f>F6/12</f>
        <v>31.215</v>
      </c>
    </row>
    <row r="7" spans="1:7" ht="22.5" customHeight="1" x14ac:dyDescent="0.25">
      <c r="A7" s="28">
        <f>A6+1</f>
        <v>2</v>
      </c>
      <c r="B7" s="106" t="s">
        <v>241</v>
      </c>
      <c r="C7" s="31">
        <v>69.959999999999994</v>
      </c>
      <c r="D7" s="107">
        <v>2</v>
      </c>
      <c r="E7" s="107">
        <v>6</v>
      </c>
      <c r="F7" s="32">
        <f>C7*D7*(12/E7)</f>
        <v>279.83999999999997</v>
      </c>
      <c r="G7" s="32">
        <f>F7/12</f>
        <v>23.319999999999997</v>
      </c>
    </row>
    <row r="8" spans="1:7" ht="22.5" customHeight="1" x14ac:dyDescent="0.25">
      <c r="A8" s="28">
        <f>A7+1</f>
        <v>3</v>
      </c>
      <c r="B8" s="106" t="s">
        <v>242</v>
      </c>
      <c r="C8" s="31">
        <v>12.93</v>
      </c>
      <c r="D8" s="107">
        <v>3</v>
      </c>
      <c r="E8" s="107">
        <v>6</v>
      </c>
      <c r="F8" s="32">
        <f>C8*D8*(12/E8)</f>
        <v>77.58</v>
      </c>
      <c r="G8" s="32">
        <f>F8/12</f>
        <v>6.4649999999999999</v>
      </c>
    </row>
    <row r="9" spans="1:7" ht="22.5" customHeight="1" x14ac:dyDescent="0.25">
      <c r="A9" s="28">
        <f>A8+1</f>
        <v>4</v>
      </c>
      <c r="B9" s="106" t="s">
        <v>203</v>
      </c>
      <c r="C9" s="31">
        <v>42.47</v>
      </c>
      <c r="D9" s="107">
        <v>1</v>
      </c>
      <c r="E9" s="107">
        <v>6</v>
      </c>
      <c r="F9" s="32">
        <f>C9*D9*(12/E9)</f>
        <v>84.94</v>
      </c>
      <c r="G9" s="32">
        <f>F9/12</f>
        <v>7.0783333333333331</v>
      </c>
    </row>
    <row r="10" spans="1:7" ht="22.5" customHeight="1" x14ac:dyDescent="0.25">
      <c r="A10" s="28">
        <f>A9+1</f>
        <v>5</v>
      </c>
      <c r="B10" s="106" t="s">
        <v>202</v>
      </c>
      <c r="C10" s="31">
        <v>123.74</v>
      </c>
      <c r="D10" s="107">
        <v>1</v>
      </c>
      <c r="E10" s="107">
        <v>6</v>
      </c>
      <c r="F10" s="32">
        <f>C10*D10*(12/E10)</f>
        <v>247.48</v>
      </c>
      <c r="G10" s="32">
        <f>F10/12</f>
        <v>20.623333333333331</v>
      </c>
    </row>
    <row r="11" spans="1:7" ht="22.5" customHeight="1" x14ac:dyDescent="0.25">
      <c r="A11" s="18"/>
      <c r="B11" s="33"/>
      <c r="C11" s="34"/>
      <c r="D11" s="34"/>
      <c r="E11" s="202" t="s">
        <v>208</v>
      </c>
      <c r="F11" s="203"/>
      <c r="G11" s="93">
        <f>ROUND(SUM(G6:G10),2)</f>
        <v>88.7</v>
      </c>
    </row>
    <row r="12" spans="1:7" ht="21.75" customHeight="1" thickBot="1" x14ac:dyDescent="0.3"/>
    <row r="13" spans="1:7" ht="15" thickBot="1" x14ac:dyDescent="0.3">
      <c r="A13" s="198" t="s">
        <v>251</v>
      </c>
      <c r="B13" s="199"/>
      <c r="C13" s="199"/>
      <c r="D13" s="199"/>
      <c r="E13" s="199"/>
      <c r="F13" s="199"/>
      <c r="G13" s="200"/>
    </row>
    <row r="15" spans="1:7" ht="22.5" x14ac:dyDescent="0.25">
      <c r="A15" s="201" t="s">
        <v>195</v>
      </c>
      <c r="B15" s="201"/>
      <c r="C15" s="97" t="s">
        <v>196</v>
      </c>
      <c r="D15" s="97" t="s">
        <v>197</v>
      </c>
      <c r="E15" s="97" t="s">
        <v>198</v>
      </c>
      <c r="F15" s="97" t="s">
        <v>199</v>
      </c>
      <c r="G15" s="96" t="s">
        <v>200</v>
      </c>
    </row>
    <row r="16" spans="1:7" ht="22.5" customHeight="1" x14ac:dyDescent="0.25">
      <c r="A16" s="28">
        <v>1</v>
      </c>
      <c r="B16" s="106" t="s">
        <v>243</v>
      </c>
      <c r="C16" s="31">
        <v>189.66</v>
      </c>
      <c r="D16" s="107">
        <v>2</v>
      </c>
      <c r="E16" s="107">
        <v>6</v>
      </c>
      <c r="F16" s="32">
        <f t="shared" ref="F16:F21" si="0">C16*D16*(12/E16)</f>
        <v>758.64</v>
      </c>
      <c r="G16" s="32">
        <f t="shared" ref="G16:G21" si="1">F16/12</f>
        <v>63.22</v>
      </c>
    </row>
    <row r="17" spans="1:7" ht="22.5" customHeight="1" x14ac:dyDescent="0.25">
      <c r="A17" s="28">
        <f>A16+1</f>
        <v>2</v>
      </c>
      <c r="B17" s="106" t="s">
        <v>201</v>
      </c>
      <c r="C17" s="31">
        <v>82.22</v>
      </c>
      <c r="D17" s="107">
        <v>3</v>
      </c>
      <c r="E17" s="107">
        <v>6</v>
      </c>
      <c r="F17" s="32">
        <f t="shared" si="0"/>
        <v>493.32</v>
      </c>
      <c r="G17" s="32">
        <f t="shared" si="1"/>
        <v>41.11</v>
      </c>
    </row>
    <row r="18" spans="1:7" ht="22.5" customHeight="1" x14ac:dyDescent="0.25">
      <c r="A18" s="28">
        <f>A17+1</f>
        <v>3</v>
      </c>
      <c r="B18" s="106" t="s">
        <v>244</v>
      </c>
      <c r="C18" s="31">
        <v>35.86</v>
      </c>
      <c r="D18" s="107">
        <v>2</v>
      </c>
      <c r="E18" s="107">
        <v>6</v>
      </c>
      <c r="F18" s="32">
        <f t="shared" si="0"/>
        <v>143.44</v>
      </c>
      <c r="G18" s="32">
        <f t="shared" si="1"/>
        <v>11.953333333333333</v>
      </c>
    </row>
    <row r="19" spans="1:7" ht="22.5" customHeight="1" x14ac:dyDescent="0.25">
      <c r="A19" s="28">
        <f>A18+1</f>
        <v>4</v>
      </c>
      <c r="B19" s="106" t="s">
        <v>203</v>
      </c>
      <c r="C19" s="31">
        <v>42.47</v>
      </c>
      <c r="D19" s="107">
        <v>1</v>
      </c>
      <c r="E19" s="107">
        <v>6</v>
      </c>
      <c r="F19" s="32">
        <f t="shared" si="0"/>
        <v>84.94</v>
      </c>
      <c r="G19" s="32">
        <f t="shared" si="1"/>
        <v>7.0783333333333331</v>
      </c>
    </row>
    <row r="20" spans="1:7" ht="22.5" customHeight="1" x14ac:dyDescent="0.25">
      <c r="A20" s="28">
        <f>A19+1</f>
        <v>5</v>
      </c>
      <c r="B20" s="106" t="s">
        <v>204</v>
      </c>
      <c r="C20" s="31">
        <v>11.56</v>
      </c>
      <c r="D20" s="107">
        <v>3</v>
      </c>
      <c r="E20" s="107">
        <v>6</v>
      </c>
      <c r="F20" s="32">
        <f t="shared" si="0"/>
        <v>69.36</v>
      </c>
      <c r="G20" s="32">
        <f t="shared" si="1"/>
        <v>5.78</v>
      </c>
    </row>
    <row r="21" spans="1:7" ht="22.5" customHeight="1" x14ac:dyDescent="0.25">
      <c r="A21" s="28">
        <f>A20+1</f>
        <v>6</v>
      </c>
      <c r="B21" s="106" t="s">
        <v>202</v>
      </c>
      <c r="C21" s="31">
        <v>123.74</v>
      </c>
      <c r="D21" s="107">
        <v>1</v>
      </c>
      <c r="E21" s="107">
        <v>6</v>
      </c>
      <c r="F21" s="32">
        <f t="shared" si="0"/>
        <v>247.48</v>
      </c>
      <c r="G21" s="32">
        <f t="shared" si="1"/>
        <v>20.623333333333331</v>
      </c>
    </row>
    <row r="22" spans="1:7" ht="22.5" customHeight="1" x14ac:dyDescent="0.25">
      <c r="A22" s="18"/>
      <c r="B22" s="33"/>
      <c r="C22" s="34"/>
      <c r="D22" s="34"/>
      <c r="E22" s="202" t="s">
        <v>208</v>
      </c>
      <c r="F22" s="203"/>
      <c r="G22" s="93">
        <f>ROUND(SUM(G16:G21),2)</f>
        <v>149.77000000000001</v>
      </c>
    </row>
    <row r="23" spans="1:7" ht="22.5" customHeight="1" thickBot="1" x14ac:dyDescent="0.3"/>
    <row r="24" spans="1:7" ht="15" customHeight="1" thickBot="1" x14ac:dyDescent="0.3">
      <c r="A24" s="198" t="s">
        <v>206</v>
      </c>
      <c r="B24" s="199"/>
      <c r="C24" s="199"/>
      <c r="D24" s="199"/>
      <c r="E24" s="199"/>
      <c r="F24" s="199"/>
      <c r="G24" s="200"/>
    </row>
    <row r="26" spans="1:7" s="30" customFormat="1" ht="30" customHeight="1" x14ac:dyDescent="0.25">
      <c r="A26" s="201" t="s">
        <v>195</v>
      </c>
      <c r="B26" s="201"/>
      <c r="C26" s="86" t="s">
        <v>196</v>
      </c>
      <c r="D26" s="86" t="s">
        <v>207</v>
      </c>
      <c r="E26" s="86" t="s">
        <v>205</v>
      </c>
      <c r="F26" s="85" t="s">
        <v>199</v>
      </c>
      <c r="G26" s="85" t="s">
        <v>200</v>
      </c>
    </row>
    <row r="27" spans="1:7" ht="22.5" customHeight="1" x14ac:dyDescent="0.25">
      <c r="A27" s="28">
        <v>1</v>
      </c>
      <c r="B27" s="106" t="s">
        <v>247</v>
      </c>
      <c r="C27" s="31">
        <f>52.74*12</f>
        <v>632.88</v>
      </c>
      <c r="D27" s="107">
        <v>1</v>
      </c>
      <c r="E27" s="107">
        <v>12</v>
      </c>
      <c r="F27" s="32">
        <f>C27*D27*(12/E27)</f>
        <v>632.88</v>
      </c>
      <c r="G27" s="32">
        <f>F27/12</f>
        <v>52.74</v>
      </c>
    </row>
    <row r="28" spans="1:7" s="35" customFormat="1" ht="22.5" customHeight="1" x14ac:dyDescent="0.25">
      <c r="A28" s="18"/>
      <c r="B28" s="33"/>
      <c r="C28" s="34"/>
      <c r="E28" s="202" t="s">
        <v>208</v>
      </c>
      <c r="F28" s="203"/>
      <c r="G28" s="85">
        <f>SUM(G27:G27)</f>
        <v>52.74</v>
      </c>
    </row>
  </sheetData>
  <mergeCells count="10">
    <mergeCell ref="A26:B26"/>
    <mergeCell ref="E28:F28"/>
    <mergeCell ref="A13:G13"/>
    <mergeCell ref="A15:B15"/>
    <mergeCell ref="E22:F22"/>
    <mergeCell ref="A2:G2"/>
    <mergeCell ref="A3:G3"/>
    <mergeCell ref="A5:B5"/>
    <mergeCell ref="E11:F11"/>
    <mergeCell ref="A24:G2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G41" sqref="G41"/>
    </sheetView>
  </sheetViews>
  <sheetFormatPr defaultRowHeight="11.25" x14ac:dyDescent="0.25"/>
  <cols>
    <col min="1" max="1" width="3" style="4" customWidth="1"/>
    <col min="2" max="2" width="18" style="4" customWidth="1"/>
    <col min="3" max="7" width="15.7109375" style="4" customWidth="1"/>
    <col min="8" max="16384" width="9.140625" style="4"/>
  </cols>
  <sheetData>
    <row r="1" spans="1:7" ht="23.25" customHeight="1" thickBot="1" x14ac:dyDescent="0.3"/>
    <row r="2" spans="1:7" ht="23.25" customHeight="1" thickBot="1" x14ac:dyDescent="0.3">
      <c r="A2" s="122" t="s">
        <v>259</v>
      </c>
      <c r="B2" s="123"/>
      <c r="C2" s="123"/>
      <c r="D2" s="123"/>
      <c r="E2" s="123"/>
      <c r="F2" s="123"/>
      <c r="G2" s="124"/>
    </row>
    <row r="3" spans="1:7" ht="23.25" customHeight="1" x14ac:dyDescent="0.25"/>
    <row r="4" spans="1:7" ht="40.5" customHeight="1" x14ac:dyDescent="0.25">
      <c r="A4" s="174" t="s">
        <v>186</v>
      </c>
      <c r="B4" s="174"/>
      <c r="C4" s="17" t="s">
        <v>187</v>
      </c>
      <c r="D4" s="17" t="s">
        <v>188</v>
      </c>
      <c r="E4" s="17" t="s">
        <v>189</v>
      </c>
      <c r="F4" s="17" t="s">
        <v>190</v>
      </c>
      <c r="G4" s="17" t="s">
        <v>191</v>
      </c>
    </row>
    <row r="5" spans="1:7" ht="23.25" customHeight="1" x14ac:dyDescent="0.25">
      <c r="A5" s="28" t="s">
        <v>192</v>
      </c>
      <c r="B5" s="102" t="s">
        <v>260</v>
      </c>
      <c r="C5" s="99">
        <f>'Motorista Executivo'!D126</f>
        <v>12260.126066020293</v>
      </c>
      <c r="D5" s="98">
        <v>1</v>
      </c>
      <c r="E5" s="36">
        <f>C5*D5</f>
        <v>12260.126066020293</v>
      </c>
      <c r="F5" s="98">
        <v>6</v>
      </c>
      <c r="G5" s="36">
        <f>E5*F5</f>
        <v>73560.756396121753</v>
      </c>
    </row>
    <row r="6" spans="1:7" ht="23.25" customHeight="1" x14ac:dyDescent="0.25">
      <c r="A6" s="28" t="s">
        <v>193</v>
      </c>
      <c r="B6" s="102" t="s">
        <v>261</v>
      </c>
      <c r="C6" s="99">
        <f>'Motorista Comercial'!D126</f>
        <v>6977.176713398595</v>
      </c>
      <c r="D6" s="98">
        <v>1</v>
      </c>
      <c r="E6" s="36">
        <f>C6*D6</f>
        <v>6977.176713398595</v>
      </c>
      <c r="F6" s="98">
        <v>1</v>
      </c>
      <c r="G6" s="36">
        <f>E6*F6</f>
        <v>6977.176713398595</v>
      </c>
    </row>
    <row r="7" spans="1:7" ht="23.25" customHeight="1" x14ac:dyDescent="0.25">
      <c r="D7" s="204" t="s">
        <v>194</v>
      </c>
      <c r="E7" s="204"/>
      <c r="F7" s="204"/>
      <c r="G7" s="37">
        <f>G5+G6</f>
        <v>80537.933109520352</v>
      </c>
    </row>
    <row r="8" spans="1:7" ht="23.25" customHeight="1" x14ac:dyDescent="0.25"/>
    <row r="11" spans="1:7" x14ac:dyDescent="0.25">
      <c r="G11" s="115"/>
    </row>
  </sheetData>
  <mergeCells count="3">
    <mergeCell ref="A2:G2"/>
    <mergeCell ref="A4:B4"/>
    <mergeCell ref="D7:F7"/>
  </mergeCells>
  <printOptions horizontalCentered="1"/>
  <pageMargins left="0.9055118110236221" right="0.9055118110236221" top="0.78740157480314965" bottom="0.78740157480314965" header="0.31496062992125984" footer="0.31496062992125984"/>
  <pageSetup paperSize="9" scale="82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Proposta</vt:lpstr>
      <vt:lpstr>Capa</vt:lpstr>
      <vt:lpstr>Motorista Executivo</vt:lpstr>
      <vt:lpstr>Motorista Comercial</vt:lpstr>
      <vt:lpstr>Insumos</vt:lpstr>
      <vt:lpstr>Quadro Resumo</vt:lpstr>
      <vt:lpstr>'Motorista Comercial'!Area_de_impressao</vt:lpstr>
      <vt:lpstr>'Motorista Comercial'!legislacaoDetalhe.asp?ctdCod_411</vt:lpstr>
      <vt:lpstr>'Motorista Executivo'!legislacaoDetalhe.asp?ctdCod_411</vt:lpstr>
      <vt:lpstr>'Motorista Comercial'!legislacaoDetalhe.asp?ctdCod_411_1</vt:lpstr>
      <vt:lpstr>'Motorista Executivo'!legislacaoDetalhe.asp?ctdCod_411_1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Helena Lopes de Nova</dc:creator>
  <cp:lastModifiedBy>Felipe Mazza Mascarenhas</cp:lastModifiedBy>
  <cp:lastPrinted>2017-11-24T17:39:05Z</cp:lastPrinted>
  <dcterms:created xsi:type="dcterms:W3CDTF">2013-10-29T18:52:46Z</dcterms:created>
  <dcterms:modified xsi:type="dcterms:W3CDTF">2017-11-24T18:00:09Z</dcterms:modified>
</cp:coreProperties>
</file>