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-195" windowWidth="13035" windowHeight="13545" tabRatio="707" activeTab="5"/>
  </bookViews>
  <sheets>
    <sheet name="Fisioterapeuta" sheetId="25" r:id="rId1"/>
    <sheet name="Psicólogo" sheetId="26" r:id="rId2"/>
    <sheet name="Prof. educ.física" sheetId="27" r:id="rId3"/>
    <sheet name="Consolidada" sheetId="6" r:id="rId4"/>
    <sheet name="Uniformes" sheetId="24" r:id="rId5"/>
    <sheet name="Passagens" sheetId="28" r:id="rId6"/>
  </sheets>
  <definedNames>
    <definedName name="_xlnm.Print_Area" localSheetId="0">Fisioterapeuta!$B$1:$E$129</definedName>
    <definedName name="_xlnm.Print_Area" localSheetId="2">'Prof. educ.física'!$B$1:$E$129</definedName>
    <definedName name="_xlnm.Print_Area" localSheetId="1">Psicólogo!$B$1:$E$129</definedName>
    <definedName name="legislacaoDetalhe.asp?ctdCod_411" localSheetId="0">Fisioterapeuta!$B$1:$H$144</definedName>
    <definedName name="legislacaoDetalhe.asp?ctdCod_411" localSheetId="2">'Prof. educ.física'!$B$1:$H$144</definedName>
    <definedName name="legislacaoDetalhe.asp?ctdCod_411" localSheetId="1">Psicólogo!$B$1:$H$144</definedName>
    <definedName name="legislacaoDetalhe.asp?ctdCod_411_1" localSheetId="0">Fisioterapeuta!$B$1:$H$144</definedName>
    <definedName name="legislacaoDetalhe.asp?ctdCod_411_1" localSheetId="2">'Prof. educ.física'!$B$1:$H$144</definedName>
    <definedName name="legislacaoDetalhe.asp?ctdCod_411_1" localSheetId="1">Psicólogo!$B$1:$H$144</definedName>
  </definedNames>
  <calcPr calcId="145621"/>
</workbook>
</file>

<file path=xl/calcChain.xml><?xml version="1.0" encoding="utf-8"?>
<calcChain xmlns="http://schemas.openxmlformats.org/spreadsheetml/2006/main">
  <c r="D20" i="25" l="1"/>
  <c r="D20" i="26"/>
  <c r="D18" i="25"/>
  <c r="D18" i="26"/>
  <c r="D18" i="27" l="1"/>
  <c r="D19" i="27" l="1"/>
  <c r="D19" i="26" l="1"/>
  <c r="D19" i="25"/>
  <c r="C19" i="28" l="1"/>
  <c r="C18" i="28"/>
  <c r="E16" i="6" l="1"/>
  <c r="E15" i="6"/>
  <c r="E17" i="6" s="1"/>
  <c r="E18" i="6" s="1"/>
  <c r="E12" i="6"/>
  <c r="E11" i="6"/>
  <c r="D9" i="28" l="1"/>
  <c r="D8" i="28"/>
  <c r="D5" i="28"/>
  <c r="D4" i="28"/>
  <c r="D10" i="28" l="1"/>
  <c r="E7" i="28"/>
  <c r="D6" i="28"/>
  <c r="D11" i="28" l="1"/>
  <c r="C14" i="24"/>
  <c r="D14" i="24"/>
  <c r="D30" i="27" s="1"/>
  <c r="D34" i="27" s="1"/>
  <c r="C13" i="24"/>
  <c r="D13" i="24" s="1"/>
  <c r="D30" i="26" s="1"/>
  <c r="D34" i="26" s="1"/>
  <c r="C12" i="24"/>
  <c r="D12" i="24" s="1"/>
  <c r="D30" i="25" s="1"/>
  <c r="D34" i="25" s="1"/>
  <c r="D113" i="27" l="1"/>
  <c r="D111" i="27"/>
  <c r="D110" i="27"/>
  <c r="D108" i="27"/>
  <c r="D107" i="27"/>
  <c r="D99" i="27"/>
  <c r="G87" i="27"/>
  <c r="G84" i="27"/>
  <c r="D75" i="27"/>
  <c r="D74" i="27"/>
  <c r="D73" i="27"/>
  <c r="D71" i="27"/>
  <c r="D72" i="27" s="1"/>
  <c r="D64" i="27"/>
  <c r="D63" i="27"/>
  <c r="D55" i="27"/>
  <c r="D54" i="27"/>
  <c r="D56" i="27" s="1"/>
  <c r="D49" i="27"/>
  <c r="D13" i="27"/>
  <c r="E45" i="27" s="1"/>
  <c r="D113" i="26"/>
  <c r="D111" i="26"/>
  <c r="D110" i="26" s="1"/>
  <c r="D108" i="26"/>
  <c r="D107" i="26"/>
  <c r="D99" i="26"/>
  <c r="G87" i="26"/>
  <c r="G84" i="26"/>
  <c r="D75" i="26"/>
  <c r="D74" i="26"/>
  <c r="D73" i="26"/>
  <c r="D71" i="26"/>
  <c r="D72" i="26" s="1"/>
  <c r="D64" i="26"/>
  <c r="D63" i="26"/>
  <c r="D55" i="26"/>
  <c r="D54" i="26"/>
  <c r="D56" i="26" s="1"/>
  <c r="D49" i="26"/>
  <c r="E64" i="26"/>
  <c r="D13" i="26"/>
  <c r="D25" i="26" l="1"/>
  <c r="E121" i="26" s="1"/>
  <c r="E41" i="27"/>
  <c r="E55" i="27"/>
  <c r="E74" i="27"/>
  <c r="E64" i="27"/>
  <c r="E75" i="27"/>
  <c r="E73" i="27"/>
  <c r="D25" i="27"/>
  <c r="E121" i="27" s="1"/>
  <c r="E72" i="27"/>
  <c r="D58" i="27"/>
  <c r="D94" i="27" s="1"/>
  <c r="E42" i="27"/>
  <c r="E63" i="27"/>
  <c r="E71" i="27"/>
  <c r="E43" i="27"/>
  <c r="D76" i="27"/>
  <c r="E76" i="27" s="1"/>
  <c r="E44" i="27"/>
  <c r="E48" i="27"/>
  <c r="E54" i="27"/>
  <c r="E120" i="27"/>
  <c r="D57" i="27"/>
  <c r="D65" i="27"/>
  <c r="D66" i="27" s="1"/>
  <c r="D96" i="27" s="1"/>
  <c r="D77" i="27"/>
  <c r="D97" i="27" s="1"/>
  <c r="D95" i="27"/>
  <c r="E46" i="27"/>
  <c r="E47" i="27"/>
  <c r="E72" i="26"/>
  <c r="D58" i="26"/>
  <c r="D94" i="26" s="1"/>
  <c r="E73" i="26"/>
  <c r="E44" i="26"/>
  <c r="E48" i="26"/>
  <c r="E54" i="26"/>
  <c r="E74" i="26"/>
  <c r="E120" i="26"/>
  <c r="E46" i="26"/>
  <c r="E71" i="26"/>
  <c r="E41" i="26"/>
  <c r="E45" i="26"/>
  <c r="D57" i="26"/>
  <c r="D65" i="26"/>
  <c r="D66" i="26" s="1"/>
  <c r="D96" i="26" s="1"/>
  <c r="D95" i="26"/>
  <c r="E42" i="26"/>
  <c r="E63" i="26"/>
  <c r="E55" i="26"/>
  <c r="E65" i="26"/>
  <c r="E75" i="26"/>
  <c r="E43" i="26"/>
  <c r="E47" i="26"/>
  <c r="D76" i="26"/>
  <c r="E76" i="26" s="1"/>
  <c r="G84" i="25"/>
  <c r="E56" i="27" l="1"/>
  <c r="E57" i="27" s="1"/>
  <c r="E77" i="27"/>
  <c r="E97" i="27" s="1"/>
  <c r="E49" i="27"/>
  <c r="E95" i="27" s="1"/>
  <c r="E65" i="27"/>
  <c r="E66" i="27" s="1"/>
  <c r="E96" i="27" s="1"/>
  <c r="E58" i="27"/>
  <c r="E94" i="27" s="1"/>
  <c r="D77" i="26"/>
  <c r="E49" i="26"/>
  <c r="E95" i="26" s="1"/>
  <c r="E66" i="26"/>
  <c r="E96" i="26" s="1"/>
  <c r="E77" i="26"/>
  <c r="E97" i="26" s="1"/>
  <c r="E56" i="26"/>
  <c r="D64" i="25"/>
  <c r="G81" i="27" l="1"/>
  <c r="E57" i="26"/>
  <c r="E58" i="26" s="1"/>
  <c r="E94" i="26" s="1"/>
  <c r="D97" i="26"/>
  <c r="G87" i="25"/>
  <c r="D111" i="25"/>
  <c r="D113" i="25"/>
  <c r="D108" i="25"/>
  <c r="D107" i="25"/>
  <c r="D63" i="25"/>
  <c r="D83" i="27" l="1"/>
  <c r="E83" i="27" s="1"/>
  <c r="D86" i="27"/>
  <c r="E86" i="27" s="1"/>
  <c r="D84" i="27"/>
  <c r="E84" i="27" s="1"/>
  <c r="D82" i="27"/>
  <c r="H81" i="27"/>
  <c r="D85" i="27"/>
  <c r="E85" i="27" s="1"/>
  <c r="G81" i="26"/>
  <c r="D110" i="25"/>
  <c r="D99" i="25"/>
  <c r="D75" i="25"/>
  <c r="D74" i="25"/>
  <c r="D73" i="25"/>
  <c r="D71" i="25"/>
  <c r="D55" i="25"/>
  <c r="D54" i="25"/>
  <c r="D49" i="25"/>
  <c r="D65" i="25" s="1"/>
  <c r="D13" i="25"/>
  <c r="D25" i="25" l="1"/>
  <c r="E121" i="25" s="1"/>
  <c r="E64" i="25"/>
  <c r="E120" i="25"/>
  <c r="D56" i="25"/>
  <c r="E82" i="27"/>
  <c r="E87" i="27" s="1"/>
  <c r="D87" i="27"/>
  <c r="D83" i="26"/>
  <c r="E83" i="26" s="1"/>
  <c r="D86" i="26"/>
  <c r="E86" i="26" s="1"/>
  <c r="D84" i="26"/>
  <c r="E84" i="26" s="1"/>
  <c r="D82" i="26"/>
  <c r="H81" i="26"/>
  <c r="D85" i="26"/>
  <c r="E85" i="26" s="1"/>
  <c r="D95" i="25"/>
  <c r="E65" i="25"/>
  <c r="E46" i="25"/>
  <c r="E63" i="25"/>
  <c r="E73" i="25"/>
  <c r="E44" i="25"/>
  <c r="E48" i="25"/>
  <c r="E54" i="25"/>
  <c r="E74" i="25"/>
  <c r="E42" i="25"/>
  <c r="E55" i="25"/>
  <c r="E71" i="25"/>
  <c r="E41" i="25"/>
  <c r="E45" i="25"/>
  <c r="D57" i="25"/>
  <c r="D58" i="25" s="1"/>
  <c r="E75" i="25"/>
  <c r="E43" i="25"/>
  <c r="E47" i="25"/>
  <c r="D72" i="25"/>
  <c r="E72" i="25" s="1"/>
  <c r="D76" i="25"/>
  <c r="E76" i="25" s="1"/>
  <c r="E88" i="27" l="1"/>
  <c r="E89" i="27" s="1"/>
  <c r="E98" i="27" s="1"/>
  <c r="E100" i="27" s="1"/>
  <c r="D88" i="27"/>
  <c r="D89" i="27" s="1"/>
  <c r="E82" i="26"/>
  <c r="E87" i="26" s="1"/>
  <c r="D87" i="26"/>
  <c r="D66" i="25"/>
  <c r="D96" i="25" s="1"/>
  <c r="E66" i="25"/>
  <c r="E96" i="25" s="1"/>
  <c r="D94" i="25"/>
  <c r="D77" i="25"/>
  <c r="D97" i="25" s="1"/>
  <c r="E77" i="25"/>
  <c r="E97" i="25" s="1"/>
  <c r="E49" i="25"/>
  <c r="E95" i="25" s="1"/>
  <c r="E56" i="25"/>
  <c r="E123" i="27" l="1"/>
  <c r="D98" i="27"/>
  <c r="D100" i="27" s="1"/>
  <c r="D123" i="27"/>
  <c r="D88" i="26"/>
  <c r="D89" i="26" s="1"/>
  <c r="E88" i="26"/>
  <c r="E89" i="26" s="1"/>
  <c r="E98" i="26" s="1"/>
  <c r="E100" i="26" s="1"/>
  <c r="E57" i="25"/>
  <c r="E58" i="25" s="1"/>
  <c r="E94" i="25" s="1"/>
  <c r="G81" i="25" s="1"/>
  <c r="D86" i="25" s="1"/>
  <c r="E86" i="25" s="1"/>
  <c r="F6" i="24"/>
  <c r="G6" i="24" s="1"/>
  <c r="H6" i="24" s="1"/>
  <c r="F7" i="24"/>
  <c r="G7" i="24" s="1"/>
  <c r="H7" i="24" s="1"/>
  <c r="F5" i="24"/>
  <c r="G5" i="24" s="1"/>
  <c r="D83" i="25" l="1"/>
  <c r="E83" i="25" s="1"/>
  <c r="D84" i="25"/>
  <c r="E84" i="25" s="1"/>
  <c r="H81" i="25"/>
  <c r="D82" i="25"/>
  <c r="E82" i="25" s="1"/>
  <c r="D85" i="25"/>
  <c r="E85" i="25" s="1"/>
  <c r="D98" i="26"/>
  <c r="D100" i="26" s="1"/>
  <c r="D123" i="26"/>
  <c r="E123" i="26"/>
  <c r="G8" i="24"/>
  <c r="H5" i="24"/>
  <c r="H8" i="24" s="1"/>
  <c r="E122" i="25" l="1"/>
  <c r="D87" i="25"/>
  <c r="D88" i="25" s="1"/>
  <c r="D89" i="25" s="1"/>
  <c r="D98" i="25" s="1"/>
  <c r="D100" i="25" s="1"/>
  <c r="E87" i="25"/>
  <c r="E88" i="25" s="1"/>
  <c r="E89" i="25" s="1"/>
  <c r="E98" i="25" s="1"/>
  <c r="E100" i="25" s="1"/>
  <c r="E123" i="25" s="1"/>
  <c r="E124" i="25" l="1"/>
  <c r="E122" i="27"/>
  <c r="E124" i="27" s="1"/>
  <c r="E107" i="27"/>
  <c r="E108" i="27" s="1"/>
  <c r="E110" i="27" s="1"/>
  <c r="E102" i="27"/>
  <c r="E122" i="26"/>
  <c r="E124" i="26" s="1"/>
  <c r="E107" i="26"/>
  <c r="E102" i="26"/>
  <c r="D123" i="25"/>
  <c r="E102" i="25"/>
  <c r="E107" i="25"/>
  <c r="E108" i="25" s="1"/>
  <c r="E110" i="25" s="1"/>
  <c r="E108" i="26" l="1"/>
  <c r="E110" i="26" s="1"/>
  <c r="E111" i="26" s="1"/>
  <c r="E111" i="27"/>
  <c r="E113" i="27"/>
  <c r="E113" i="25"/>
  <c r="E111" i="25"/>
  <c r="B7" i="6"/>
  <c r="E113" i="26" l="1"/>
  <c r="E115" i="26" s="1"/>
  <c r="E125" i="26" s="1"/>
  <c r="E126" i="26" s="1"/>
  <c r="D5" i="6" s="1"/>
  <c r="E115" i="27"/>
  <c r="E125" i="27" s="1"/>
  <c r="E126" i="27" s="1"/>
  <c r="E127" i="27" s="1"/>
  <c r="E128" i="27" s="1"/>
  <c r="D6" i="6" s="1"/>
  <c r="E115" i="25"/>
  <c r="E125" i="25" s="1"/>
  <c r="E126" i="25" s="1"/>
  <c r="D4" i="6" s="1"/>
  <c r="E5" i="6" l="1"/>
  <c r="F5" i="6" s="1"/>
  <c r="E6" i="6"/>
  <c r="F6" i="6" s="1"/>
  <c r="E4" i="6" l="1"/>
  <c r="F4" i="6" l="1"/>
  <c r="F7" i="6" s="1"/>
  <c r="F8" i="6" s="1"/>
  <c r="E20" i="6" s="1"/>
  <c r="E7" i="6"/>
</calcChain>
</file>

<file path=xl/connections.xml><?xml version="1.0" encoding="utf-8"?>
<connections xmlns="http://schemas.openxmlformats.org/spreadsheetml/2006/main">
  <connection id="1" name="Conexão2111431" type="4" refreshedVersion="2" background="1" saveData="1">
    <webPr sourceData="1" parsePre="1" consecutive="1" xl2000="1" url="https://www.comprasnet.gov.br/legislacao/legislacaoDetalhe.asp?ctdCod=411"/>
  </connection>
  <connection id="2" name="Conexão21114311" type="4" refreshedVersion="2" background="1" saveData="1">
    <webPr sourceData="1" parsePre="1" consecutive="1" xl2000="1" url="https://www.comprasnet.gov.br/legislacao/legislacaoDetalhe.asp?ctdCod=411"/>
  </connection>
  <connection id="3" name="Conexão211143111" type="4" refreshedVersion="2" background="1" saveData="1">
    <webPr sourceData="1" parsePre="1" consecutive="1" xl2000="1" url="https://www.comprasnet.gov.br/legislacao/legislacaoDetalhe.asp?ctdCod=411"/>
  </connection>
  <connection id="4" name="Conexão22431" type="4" refreshedVersion="2" background="1" saveData="1">
    <webPr sourceData="1" parsePre="1" consecutive="1" xl2000="1" url="https://www.comprasnet.gov.br/legislacao/legislacaoDetalhe.asp?ctdCod=411"/>
  </connection>
  <connection id="5" name="Conexão224311" type="4" refreshedVersion="2" background="1" saveData="1">
    <webPr sourceData="1" parsePre="1" consecutive="1" xl2000="1" url="https://www.comprasnet.gov.br/legislacao/legislacaoDetalhe.asp?ctdCod=411"/>
  </connection>
  <connection id="6" name="Conexão22431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<sst xmlns="http://schemas.openxmlformats.org/spreadsheetml/2006/main" count="803" uniqueCount="218">
  <si>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</si>
  <si>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</si>
  <si>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</si>
  <si>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</si>
  <si>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</si>
  <si>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</si>
  <si>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</si>
  <si>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</si>
  <si>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</si>
  <si>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</si>
  <si>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</si>
  <si>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</si>
  <si>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</si>
  <si>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</si>
  <si>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</si>
  <si>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</si>
  <si>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</si>
  <si>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</si>
  <si>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</si>
  <si>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</si>
  <si>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</si>
  <si>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</si>
  <si>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</si>
  <si>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</si>
  <si>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</si>
  <si>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</si>
  <si>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</si>
  <si>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</si>
  <si>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</si>
  <si>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</si>
  <si>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</si>
  <si>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</si>
  <si>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</si>
  <si>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</si>
  <si>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</si>
  <si>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</si>
  <si>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</si>
  <si>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</si>
  <si>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</si>
  <si>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</si>
  <si>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</si>
  <si>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</si>
  <si>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</si>
  <si>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</si>
  <si>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</si>
  <si>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</si>
  <si>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</si>
  <si>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</si>
  <si>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</si>
  <si>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</si>
  <si>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</si>
  <si>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</si>
  <si>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</si>
  <si>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</si>
  <si>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</si>
  <si>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</si>
  <si>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</si>
  <si>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</si>
  <si>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</si>
  <si>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</si>
  <si>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</si>
  <si>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</si>
  <si>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</si>
  <si>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</si>
  <si>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</si>
  <si>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</si>
  <si>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</si>
  <si>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</si>
  <si>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</si>
  <si>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</si>
  <si>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</si>
  <si>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</si>
  <si>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</si>
  <si>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</si>
  <si>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</si>
  <si>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</si>
  <si>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</si>
  <si>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</si>
  <si>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</si>
  <si>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</si>
  <si>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</si>
  <si>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</si>
  <si>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</si>
  <si>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</si>
  <si>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</si>
  <si>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</si>
  <si>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</si>
  <si>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</si>
  <si>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</si>
  <si>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</si>
  <si>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</si>
  <si>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</si>
  <si>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</si>
  <si>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</si>
  <si>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</si>
  <si>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</si>
  <si>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</si>
  <si>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</si>
  <si>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</si>
  <si>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</si>
  <si>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</si>
  <si>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</si>
  <si>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</si>
  <si>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</si>
  <si>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</si>
  <si>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</si>
  <si>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</si>
  <si>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</si>
  <si>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</si>
  <si>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</si>
  <si>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</si>
  <si>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</si>
  <si>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</si>
  <si>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</si>
  <si>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</si>
  <si>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</si>
  <si>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</si>
  <si>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</si>
  <si>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</si>
  <si>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</si>
  <si>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</si>
  <si>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>Cargo</t>
  </si>
  <si>
    <t>Quantidade de postos</t>
  </si>
  <si>
    <t>Meses</t>
  </si>
  <si>
    <t>Valor Mensal</t>
  </si>
  <si>
    <t>Valor Anual</t>
  </si>
  <si>
    <t xml:space="preserve">Seguro de vida, invalidez </t>
  </si>
  <si>
    <t>Valor unitário por posto</t>
  </si>
  <si>
    <t>Plano de saúde</t>
  </si>
  <si>
    <t>Benefício social familiar</t>
  </si>
  <si>
    <t>Hora noturna Reduzida</t>
  </si>
  <si>
    <t>(((Sal+Per)/220*1,2ad noturno)-(Sal+Per)/220)*12h*30dias/2escala de trabalho</t>
  </si>
  <si>
    <t>(1h*30dias*(sal*Per)/220*1,2adnoturno)/2</t>
  </si>
  <si>
    <t>Observar o que diz a CCT e TR</t>
  </si>
  <si>
    <t>Passagem*22-(6%saláriobase)</t>
  </si>
  <si>
    <t>Contrinuição Patronal</t>
  </si>
  <si>
    <t>Equipamentos</t>
  </si>
  <si>
    <t>Peça de roupa</t>
  </si>
  <si>
    <t>Quantidade anual</t>
  </si>
  <si>
    <t>Valor</t>
  </si>
  <si>
    <t>loja 01</t>
  </si>
  <si>
    <t>loja 02</t>
  </si>
  <si>
    <t>loja 03</t>
  </si>
  <si>
    <t>Média</t>
  </si>
  <si>
    <t>Camisa polo</t>
  </si>
  <si>
    <t>Valor anual</t>
  </si>
  <si>
    <t>Valor mensal</t>
  </si>
  <si>
    <t xml:space="preserve">Valor Total </t>
  </si>
  <si>
    <t>Quadro Resumo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</si>
  <si>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</si>
  <si>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</si>
  <si>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</si>
  <si>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</si>
  <si>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</si>
  <si>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</si>
  <si>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</si>
  <si>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</si>
  <si>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</si>
  <si>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</si>
  <si>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</si>
  <si>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</si>
  <si>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</si>
  <si>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</si>
  <si>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</si>
  <si>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</si>
  <si>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</si>
  <si>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</si>
  <si>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</si>
  <si>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</si>
  <si>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</si>
  <si>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</si>
  <si>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</si>
  <si>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</si>
  <si>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</si>
  <si>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</si>
  <si>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</si>
  <si>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</si>
  <si>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</si>
  <si>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Ver Aba Uniformes se houver</t>
  </si>
  <si>
    <t>Ver Aba Materias se houver</t>
  </si>
  <si>
    <t>Ver Aba Equipamentos se houver</t>
  </si>
  <si>
    <t>Jaleco</t>
  </si>
  <si>
    <t>Calça desportiva</t>
  </si>
  <si>
    <t>Fisioterapeuta</t>
  </si>
  <si>
    <t>Psicólogo</t>
  </si>
  <si>
    <t>Prof. Educação Física</t>
  </si>
  <si>
    <t>Prof.Educ.Física</t>
  </si>
  <si>
    <t>1 camisa polo + 2 jalecos</t>
  </si>
  <si>
    <t>2 calças + 2 camisas polo</t>
  </si>
  <si>
    <t xml:space="preserve">Valor anual </t>
  </si>
  <si>
    <t>Quant. peças roupa</t>
  </si>
  <si>
    <t>Passagens</t>
  </si>
  <si>
    <t>Quantidade no ano</t>
  </si>
  <si>
    <t>Passagens aéreas Rio-São Paulo (ida e volta)</t>
  </si>
  <si>
    <t>Passagens aéreas Rio-Brasília (ida e volta)</t>
  </si>
  <si>
    <t>Total Passagens aéreas</t>
  </si>
  <si>
    <t>Diária São Paulo</t>
  </si>
  <si>
    <t>Diária Brasília</t>
  </si>
  <si>
    <t>Total Hospedagem</t>
  </si>
  <si>
    <t>Total Previsão de Viagens</t>
  </si>
  <si>
    <t>Previsão para viagens (anual)</t>
  </si>
  <si>
    <t>Diárias (locomoção, alimentação)</t>
  </si>
  <si>
    <t>Valor unitário</t>
  </si>
  <si>
    <t>Valor total</t>
  </si>
  <si>
    <t>Diárias (locomoção, alimentação, hospedagem)</t>
  </si>
  <si>
    <t>Valor total da licitação</t>
  </si>
  <si>
    <t>Valor total dos itens para lance no Comprasnet</t>
  </si>
  <si>
    <t>Total passagens aéreas (não irá a lance no Comprasnet)</t>
  </si>
  <si>
    <t>Total diárias (não irá a lance no Comprasnet)</t>
  </si>
  <si>
    <t>Obs: Preços cotados em 03/4/2017, já incluídas as taxas</t>
  </si>
  <si>
    <t>Valores de diárias com base na RES/DIR/0309/2013</t>
  </si>
  <si>
    <t>Diária p/ São Paulo (c/pernoite)</t>
  </si>
  <si>
    <t>Diária p/ Brasília (c/pernoite)</t>
  </si>
  <si>
    <t>Salário por hora (220h/mês)</t>
  </si>
  <si>
    <t>%VA</t>
  </si>
  <si>
    <t>PESQUISA DE PREÇOS - UNIFORME</t>
  </si>
  <si>
    <t>Salário médio mensal para 2h/dia de 2ª a 6ª, considerando  50h por mês.</t>
  </si>
  <si>
    <t>Educ.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</si>
</sst>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Tahoma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5">
    <xf numFmtId="0" fontId="0" fillId="0" borderId="0" xfId="0"/>
    <xf numFmtId="43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10" fontId="6" fillId="0" borderId="1" xfId="6" applyNumberFormat="1" applyFont="1" applyBorder="1" applyAlignment="1">
      <alignment horizontal="center"/>
    </xf>
    <xf numFmtId="166" fontId="6" fillId="0" borderId="1" xfId="0" applyNumberFormat="1" applyFont="1" applyBorder="1"/>
    <xf numFmtId="10" fontId="6" fillId="0" borderId="1" xfId="6" applyNumberFormat="1" applyFont="1" applyFill="1" applyBorder="1" applyAlignment="1">
      <alignment horizontal="center"/>
    </xf>
    <xf numFmtId="10" fontId="7" fillId="0" borderId="1" xfId="6" applyNumberFormat="1" applyFont="1" applyBorder="1" applyAlignment="1">
      <alignment horizontal="center"/>
    </xf>
    <xf numFmtId="166" fontId="7" fillId="0" borderId="1" xfId="0" applyNumberFormat="1" applyFont="1" applyBorder="1"/>
    <xf numFmtId="10" fontId="6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/>
    <xf numFmtId="166" fontId="6" fillId="0" borderId="1" xfId="0" applyNumberFormat="1" applyFont="1" applyFill="1" applyBorder="1"/>
    <xf numFmtId="166" fontId="7" fillId="0" borderId="1" xfId="0" applyNumberFormat="1" applyFont="1" applyFill="1" applyBorder="1"/>
    <xf numFmtId="0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/>
    <xf numFmtId="43" fontId="6" fillId="0" borderId="1" xfId="5" applyFont="1" applyBorder="1"/>
    <xf numFmtId="0" fontId="6" fillId="0" borderId="1" xfId="0" applyFont="1" applyBorder="1" applyAlignment="1">
      <alignment horizontal="left" vertical="center"/>
    </xf>
    <xf numFmtId="166" fontId="7" fillId="0" borderId="1" xfId="5" applyNumberFormat="1" applyFont="1" applyBorder="1"/>
    <xf numFmtId="166" fontId="10" fillId="0" borderId="0" xfId="0" applyNumberFormat="1" applyFont="1"/>
    <xf numFmtId="0" fontId="10" fillId="0" borderId="0" xfId="0" applyFont="1"/>
    <xf numFmtId="10" fontId="10" fillId="0" borderId="0" xfId="6" applyNumberFormat="1" applyFont="1"/>
    <xf numFmtId="0" fontId="10" fillId="0" borderId="0" xfId="0" applyFont="1" applyAlignment="1">
      <alignment wrapText="1"/>
    </xf>
    <xf numFmtId="0" fontId="8" fillId="0" borderId="0" xfId="0" applyFont="1" applyBorder="1"/>
    <xf numFmtId="44" fontId="8" fillId="0" borderId="0" xfId="0" applyNumberFormat="1" applyFont="1" applyBorder="1"/>
    <xf numFmtId="0" fontId="1" fillId="0" borderId="1" xfId="0" applyFont="1" applyFill="1" applyBorder="1" applyAlignment="1">
      <alignment horizontal="center" vertical="center"/>
    </xf>
    <xf numFmtId="44" fontId="1" fillId="0" borderId="1" xfId="7" applyFont="1" applyFill="1" applyBorder="1" applyAlignment="1">
      <alignment vertical="center"/>
    </xf>
    <xf numFmtId="44" fontId="1" fillId="0" borderId="9" xfId="7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2" fontId="0" fillId="0" borderId="1" xfId="0" applyNumberFormat="1" applyBorder="1"/>
    <xf numFmtId="2" fontId="11" fillId="0" borderId="1" xfId="0" applyNumberFormat="1" applyFont="1" applyBorder="1"/>
    <xf numFmtId="0" fontId="11" fillId="0" borderId="0" xfId="0" applyFont="1"/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0" fillId="0" borderId="0" xfId="6" applyFont="1" applyAlignment="1">
      <alignment wrapText="1"/>
    </xf>
    <xf numFmtId="9" fontId="10" fillId="0" borderId="0" xfId="0" applyNumberFormat="1" applyFont="1" applyAlignment="1">
      <alignment wrapText="1"/>
    </xf>
    <xf numFmtId="10" fontId="10" fillId="0" borderId="0" xfId="0" applyNumberFormat="1" applyFont="1" applyAlignment="1">
      <alignment wrapText="1"/>
    </xf>
    <xf numFmtId="10" fontId="10" fillId="0" borderId="0" xfId="6" applyNumberFormat="1" applyFont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2" fontId="10" fillId="0" borderId="0" xfId="6" applyNumberFormat="1" applyFont="1"/>
    <xf numFmtId="0" fontId="12" fillId="0" borderId="0" xfId="0" applyFont="1" applyAlignment="1">
      <alignment wrapText="1"/>
    </xf>
    <xf numFmtId="43" fontId="0" fillId="0" borderId="1" xfId="5" applyFont="1" applyBorder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Border="1" applyAlignment="1">
      <alignment horizontal="center"/>
    </xf>
    <xf numFmtId="2" fontId="0" fillId="0" borderId="0" xfId="0" applyNumberFormat="1" applyBorder="1"/>
    <xf numFmtId="2" fontId="11" fillId="0" borderId="0" xfId="0" applyNumberFormat="1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4" fontId="1" fillId="0" borderId="1" xfId="7" applyFont="1" applyBorder="1"/>
    <xf numFmtId="44" fontId="2" fillId="0" borderId="1" xfId="7" applyFont="1" applyBorder="1"/>
    <xf numFmtId="0" fontId="13" fillId="0" borderId="0" xfId="0" applyFont="1"/>
    <xf numFmtId="166" fontId="13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43" fontId="2" fillId="0" borderId="0" xfId="0" applyNumberFormat="1" applyFont="1" applyFill="1" applyBorder="1" applyAlignment="1">
      <alignment vertical="center"/>
    </xf>
    <xf numFmtId="0" fontId="0" fillId="0" borderId="14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0" fillId="4" borderId="0" xfId="0" applyFill="1" applyBorder="1"/>
    <xf numFmtId="0" fontId="2" fillId="3" borderId="16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1" xfId="0" applyNumberFormat="1" applyFont="1" applyFill="1" applyBorder="1" applyAlignment="1">
      <alignment vertical="center"/>
    </xf>
    <xf numFmtId="43" fontId="2" fillId="0" borderId="17" xfId="0" applyNumberFormat="1" applyFont="1" applyFill="1" applyBorder="1" applyAlignment="1">
      <alignment vertical="center"/>
    </xf>
    <xf numFmtId="43" fontId="2" fillId="5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4" fontId="0" fillId="0" borderId="0" xfId="7" applyFont="1" applyBorder="1"/>
    <xf numFmtId="0" fontId="0" fillId="0" borderId="0" xfId="0" applyBorder="1"/>
    <xf numFmtId="44" fontId="7" fillId="0" borderId="9" xfId="7" applyFont="1" applyFill="1" applyBorder="1"/>
    <xf numFmtId="44" fontId="7" fillId="0" borderId="20" xfId="7" applyFont="1" applyFill="1" applyBorder="1"/>
    <xf numFmtId="43" fontId="0" fillId="0" borderId="1" xfId="5" applyFont="1" applyBorder="1" applyAlignment="1">
      <alignment wrapText="1"/>
    </xf>
    <xf numFmtId="43" fontId="0" fillId="0" borderId="1" xfId="0" applyNumberFormat="1" applyBorder="1" applyAlignment="1">
      <alignment horizontal="center" wrapText="1"/>
    </xf>
    <xf numFmtId="0" fontId="6" fillId="0" borderId="1" xfId="0" applyFont="1" applyBorder="1" applyAlignment="1"/>
    <xf numFmtId="0" fontId="8" fillId="0" borderId="1" xfId="0" applyFont="1" applyBorder="1" applyAlignment="1"/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6" fillId="2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6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4" xfId="0" applyNumberFormat="1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4" fontId="14" fillId="0" borderId="2" xfId="7" applyFont="1" applyBorder="1" applyAlignment="1">
      <alignment horizontal="center" wrapText="1"/>
    </xf>
    <xf numFmtId="44" fontId="14" fillId="0" borderId="4" xfId="7" applyFont="1" applyBorder="1" applyAlignment="1">
      <alignment horizontal="center" wrapText="1"/>
    </xf>
    <xf numFmtId="44" fontId="14" fillId="0" borderId="2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4" fontId="15" fillId="3" borderId="13" xfId="7" applyFont="1" applyFill="1" applyBorder="1" applyAlignment="1">
      <alignment horizontal="center"/>
    </xf>
    <xf numFmtId="44" fontId="15" fillId="3" borderId="15" xfId="7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44" fontId="15" fillId="5" borderId="2" xfId="7" applyFont="1" applyFill="1" applyBorder="1" applyAlignment="1">
      <alignment horizontal="center"/>
    </xf>
    <xf numFmtId="44" fontId="15" fillId="5" borderId="4" xfId="7" applyFont="1" applyFill="1" applyBorder="1" applyAlignment="1">
      <alignment horizontal="center"/>
    </xf>
    <xf numFmtId="44" fontId="14" fillId="0" borderId="2" xfId="7" applyFont="1" applyBorder="1" applyAlignment="1">
      <alignment horizontal="center"/>
    </xf>
    <xf numFmtId="44" fontId="14" fillId="0" borderId="4" xfId="7" applyFont="1" applyBorder="1" applyAlignment="1">
      <alignment horizontal="center"/>
    </xf>
    <xf numFmtId="44" fontId="14" fillId="0" borderId="4" xfId="0" applyNumberFormat="1" applyFont="1" applyBorder="1" applyAlignment="1">
      <alignment horizontal="center"/>
    </xf>
    <xf numFmtId="44" fontId="15" fillId="3" borderId="2" xfId="7" applyFont="1" applyFill="1" applyBorder="1" applyAlignment="1">
      <alignment horizontal="center"/>
    </xf>
    <xf numFmtId="44" fontId="15" fillId="3" borderId="4" xfId="7" applyFont="1" applyFill="1" applyBorder="1" applyAlignment="1">
      <alignment horizontal="center"/>
    </xf>
    <xf numFmtId="44" fontId="15" fillId="3" borderId="3" xfId="7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legislacaoDetalhe.asp?ctdCod=411_1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legislacaoDetalhe.asp?ctdCod=411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6"/>
  <sheetViews>
    <sheetView zoomScaleNormal="100" zoomScaleSheetLayoutView="100" workbookViewId="0">
      <selection activeCell="D6" sqref="D6:E6"/>
    </sheetView>
  </sheetViews>
  <sheetFormatPr defaultRowHeight="11.25" x14ac:dyDescent="0.15"/>
  <cols>
    <col min="1" max="1" width="9.140625" style="3"/>
    <col min="2" max="2" width="5.7109375" style="3" customWidth="1"/>
    <col min="3" max="3" width="53.5703125" style="3" customWidth="1"/>
    <col min="4" max="4" width="10.7109375" style="3" customWidth="1"/>
    <col min="5" max="5" width="13.28515625" style="3" bestFit="1" customWidth="1"/>
    <col min="6" max="6" width="16.42578125" style="32" customWidth="1"/>
    <col min="7" max="7" width="6" style="32" customWidth="1"/>
    <col min="8" max="8" width="34.5703125" style="30" customWidth="1"/>
    <col min="9" max="257" width="8.85546875" style="3"/>
    <col min="258" max="258" width="5.7109375" style="3" customWidth="1"/>
    <col min="259" max="259" width="62.7109375" style="3" customWidth="1"/>
    <col min="260" max="260" width="12.42578125" style="3" customWidth="1"/>
    <col min="261" max="261" width="18" style="3" customWidth="1"/>
    <col min="262" max="262" width="59.7109375" style="3" customWidth="1"/>
    <col min="263" max="263" width="16.140625" style="3" customWidth="1"/>
    <col min="264" max="264" width="18.5703125" style="3" bestFit="1" customWidth="1"/>
    <col min="265" max="513" width="8.85546875" style="3"/>
    <col min="514" max="514" width="5.7109375" style="3" customWidth="1"/>
    <col min="515" max="515" width="62.7109375" style="3" customWidth="1"/>
    <col min="516" max="516" width="12.42578125" style="3" customWidth="1"/>
    <col min="517" max="517" width="18" style="3" customWidth="1"/>
    <col min="518" max="518" width="59.7109375" style="3" customWidth="1"/>
    <col min="519" max="519" width="16.140625" style="3" customWidth="1"/>
    <col min="520" max="520" width="18.5703125" style="3" bestFit="1" customWidth="1"/>
    <col min="521" max="769" width="8.85546875" style="3"/>
    <col min="770" max="770" width="5.7109375" style="3" customWidth="1"/>
    <col min="771" max="771" width="62.7109375" style="3" customWidth="1"/>
    <col min="772" max="772" width="12.42578125" style="3" customWidth="1"/>
    <col min="773" max="773" width="18" style="3" customWidth="1"/>
    <col min="774" max="774" width="59.7109375" style="3" customWidth="1"/>
    <col min="775" max="775" width="16.140625" style="3" customWidth="1"/>
    <col min="776" max="776" width="18.5703125" style="3" bestFit="1" customWidth="1"/>
    <col min="777" max="1025" width="8.85546875" style="3"/>
    <col min="1026" max="1026" width="5.7109375" style="3" customWidth="1"/>
    <col min="1027" max="1027" width="62.7109375" style="3" customWidth="1"/>
    <col min="1028" max="1028" width="12.42578125" style="3" customWidth="1"/>
    <col min="1029" max="1029" width="18" style="3" customWidth="1"/>
    <col min="1030" max="1030" width="59.7109375" style="3" customWidth="1"/>
    <col min="1031" max="1031" width="16.140625" style="3" customWidth="1"/>
    <col min="1032" max="1032" width="18.5703125" style="3" bestFit="1" customWidth="1"/>
    <col min="1033" max="1281" width="8.85546875" style="3"/>
    <col min="1282" max="1282" width="5.7109375" style="3" customWidth="1"/>
    <col min="1283" max="1283" width="62.7109375" style="3" customWidth="1"/>
    <col min="1284" max="1284" width="12.42578125" style="3" customWidth="1"/>
    <col min="1285" max="1285" width="18" style="3" customWidth="1"/>
    <col min="1286" max="1286" width="59.7109375" style="3" customWidth="1"/>
    <col min="1287" max="1287" width="16.140625" style="3" customWidth="1"/>
    <col min="1288" max="1288" width="18.5703125" style="3" bestFit="1" customWidth="1"/>
    <col min="1289" max="1537" width="8.85546875" style="3"/>
    <col min="1538" max="1538" width="5.7109375" style="3" customWidth="1"/>
    <col min="1539" max="1539" width="62.7109375" style="3" customWidth="1"/>
    <col min="1540" max="1540" width="12.42578125" style="3" customWidth="1"/>
    <col min="1541" max="1541" width="18" style="3" customWidth="1"/>
    <col min="1542" max="1542" width="59.7109375" style="3" customWidth="1"/>
    <col min="1543" max="1543" width="16.140625" style="3" customWidth="1"/>
    <col min="1544" max="1544" width="18.5703125" style="3" bestFit="1" customWidth="1"/>
    <col min="1545" max="1793" width="8.85546875" style="3"/>
    <col min="1794" max="1794" width="5.7109375" style="3" customWidth="1"/>
    <col min="1795" max="1795" width="62.7109375" style="3" customWidth="1"/>
    <col min="1796" max="1796" width="12.42578125" style="3" customWidth="1"/>
    <col min="1797" max="1797" width="18" style="3" customWidth="1"/>
    <col min="1798" max="1798" width="59.7109375" style="3" customWidth="1"/>
    <col min="1799" max="1799" width="16.140625" style="3" customWidth="1"/>
    <col min="1800" max="1800" width="18.5703125" style="3" bestFit="1" customWidth="1"/>
    <col min="1801" max="2049" width="8.85546875" style="3"/>
    <col min="2050" max="2050" width="5.7109375" style="3" customWidth="1"/>
    <col min="2051" max="2051" width="62.7109375" style="3" customWidth="1"/>
    <col min="2052" max="2052" width="12.42578125" style="3" customWidth="1"/>
    <col min="2053" max="2053" width="18" style="3" customWidth="1"/>
    <col min="2054" max="2054" width="59.7109375" style="3" customWidth="1"/>
    <col min="2055" max="2055" width="16.140625" style="3" customWidth="1"/>
    <col min="2056" max="2056" width="18.5703125" style="3" bestFit="1" customWidth="1"/>
    <col min="2057" max="2305" width="8.85546875" style="3"/>
    <col min="2306" max="2306" width="5.7109375" style="3" customWidth="1"/>
    <col min="2307" max="2307" width="62.7109375" style="3" customWidth="1"/>
    <col min="2308" max="2308" width="12.42578125" style="3" customWidth="1"/>
    <col min="2309" max="2309" width="18" style="3" customWidth="1"/>
    <col min="2310" max="2310" width="59.7109375" style="3" customWidth="1"/>
    <col min="2311" max="2311" width="16.140625" style="3" customWidth="1"/>
    <col min="2312" max="2312" width="18.5703125" style="3" bestFit="1" customWidth="1"/>
    <col min="2313" max="2561" width="8.85546875" style="3"/>
    <col min="2562" max="2562" width="5.7109375" style="3" customWidth="1"/>
    <col min="2563" max="2563" width="62.7109375" style="3" customWidth="1"/>
    <col min="2564" max="2564" width="12.42578125" style="3" customWidth="1"/>
    <col min="2565" max="2565" width="18" style="3" customWidth="1"/>
    <col min="2566" max="2566" width="59.7109375" style="3" customWidth="1"/>
    <col min="2567" max="2567" width="16.140625" style="3" customWidth="1"/>
    <col min="2568" max="2568" width="18.5703125" style="3" bestFit="1" customWidth="1"/>
    <col min="2569" max="2817" width="8.85546875" style="3"/>
    <col min="2818" max="2818" width="5.7109375" style="3" customWidth="1"/>
    <col min="2819" max="2819" width="62.7109375" style="3" customWidth="1"/>
    <col min="2820" max="2820" width="12.42578125" style="3" customWidth="1"/>
    <col min="2821" max="2821" width="18" style="3" customWidth="1"/>
    <col min="2822" max="2822" width="59.7109375" style="3" customWidth="1"/>
    <col min="2823" max="2823" width="16.140625" style="3" customWidth="1"/>
    <col min="2824" max="2824" width="18.5703125" style="3" bestFit="1" customWidth="1"/>
    <col min="2825" max="3073" width="8.85546875" style="3"/>
    <col min="3074" max="3074" width="5.7109375" style="3" customWidth="1"/>
    <col min="3075" max="3075" width="62.7109375" style="3" customWidth="1"/>
    <col min="3076" max="3076" width="12.42578125" style="3" customWidth="1"/>
    <col min="3077" max="3077" width="18" style="3" customWidth="1"/>
    <col min="3078" max="3078" width="59.7109375" style="3" customWidth="1"/>
    <col min="3079" max="3079" width="16.140625" style="3" customWidth="1"/>
    <col min="3080" max="3080" width="18.5703125" style="3" bestFit="1" customWidth="1"/>
    <col min="3081" max="3329" width="8.85546875" style="3"/>
    <col min="3330" max="3330" width="5.7109375" style="3" customWidth="1"/>
    <col min="3331" max="3331" width="62.7109375" style="3" customWidth="1"/>
    <col min="3332" max="3332" width="12.42578125" style="3" customWidth="1"/>
    <col min="3333" max="3333" width="18" style="3" customWidth="1"/>
    <col min="3334" max="3334" width="59.7109375" style="3" customWidth="1"/>
    <col min="3335" max="3335" width="16.140625" style="3" customWidth="1"/>
    <col min="3336" max="3336" width="18.5703125" style="3" bestFit="1" customWidth="1"/>
    <col min="3337" max="3585" width="8.85546875" style="3"/>
    <col min="3586" max="3586" width="5.7109375" style="3" customWidth="1"/>
    <col min="3587" max="3587" width="62.7109375" style="3" customWidth="1"/>
    <col min="3588" max="3588" width="12.42578125" style="3" customWidth="1"/>
    <col min="3589" max="3589" width="18" style="3" customWidth="1"/>
    <col min="3590" max="3590" width="59.7109375" style="3" customWidth="1"/>
    <col min="3591" max="3591" width="16.140625" style="3" customWidth="1"/>
    <col min="3592" max="3592" width="18.5703125" style="3" bestFit="1" customWidth="1"/>
    <col min="3593" max="3841" width="8.85546875" style="3"/>
    <col min="3842" max="3842" width="5.7109375" style="3" customWidth="1"/>
    <col min="3843" max="3843" width="62.7109375" style="3" customWidth="1"/>
    <col min="3844" max="3844" width="12.42578125" style="3" customWidth="1"/>
    <col min="3845" max="3845" width="18" style="3" customWidth="1"/>
    <col min="3846" max="3846" width="59.7109375" style="3" customWidth="1"/>
    <col min="3847" max="3847" width="16.140625" style="3" customWidth="1"/>
    <col min="3848" max="3848" width="18.5703125" style="3" bestFit="1" customWidth="1"/>
    <col min="3849" max="4097" width="8.85546875" style="3"/>
    <col min="4098" max="4098" width="5.7109375" style="3" customWidth="1"/>
    <col min="4099" max="4099" width="62.7109375" style="3" customWidth="1"/>
    <col min="4100" max="4100" width="12.42578125" style="3" customWidth="1"/>
    <col min="4101" max="4101" width="18" style="3" customWidth="1"/>
    <col min="4102" max="4102" width="59.7109375" style="3" customWidth="1"/>
    <col min="4103" max="4103" width="16.140625" style="3" customWidth="1"/>
    <col min="4104" max="4104" width="18.5703125" style="3" bestFit="1" customWidth="1"/>
    <col min="4105" max="4353" width="8.85546875" style="3"/>
    <col min="4354" max="4354" width="5.7109375" style="3" customWidth="1"/>
    <col min="4355" max="4355" width="62.7109375" style="3" customWidth="1"/>
    <col min="4356" max="4356" width="12.42578125" style="3" customWidth="1"/>
    <col min="4357" max="4357" width="18" style="3" customWidth="1"/>
    <col min="4358" max="4358" width="59.7109375" style="3" customWidth="1"/>
    <col min="4359" max="4359" width="16.140625" style="3" customWidth="1"/>
    <col min="4360" max="4360" width="18.5703125" style="3" bestFit="1" customWidth="1"/>
    <col min="4361" max="4609" width="8.85546875" style="3"/>
    <col min="4610" max="4610" width="5.7109375" style="3" customWidth="1"/>
    <col min="4611" max="4611" width="62.7109375" style="3" customWidth="1"/>
    <col min="4612" max="4612" width="12.42578125" style="3" customWidth="1"/>
    <col min="4613" max="4613" width="18" style="3" customWidth="1"/>
    <col min="4614" max="4614" width="59.7109375" style="3" customWidth="1"/>
    <col min="4615" max="4615" width="16.140625" style="3" customWidth="1"/>
    <col min="4616" max="4616" width="18.5703125" style="3" bestFit="1" customWidth="1"/>
    <col min="4617" max="4865" width="8.85546875" style="3"/>
    <col min="4866" max="4866" width="5.7109375" style="3" customWidth="1"/>
    <col min="4867" max="4867" width="62.7109375" style="3" customWidth="1"/>
    <col min="4868" max="4868" width="12.42578125" style="3" customWidth="1"/>
    <col min="4869" max="4869" width="18" style="3" customWidth="1"/>
    <col min="4870" max="4870" width="59.7109375" style="3" customWidth="1"/>
    <col min="4871" max="4871" width="16.140625" style="3" customWidth="1"/>
    <col min="4872" max="4872" width="18.5703125" style="3" bestFit="1" customWidth="1"/>
    <col min="4873" max="5121" width="8.85546875" style="3"/>
    <col min="5122" max="5122" width="5.7109375" style="3" customWidth="1"/>
    <col min="5123" max="5123" width="62.7109375" style="3" customWidth="1"/>
    <col min="5124" max="5124" width="12.42578125" style="3" customWidth="1"/>
    <col min="5125" max="5125" width="18" style="3" customWidth="1"/>
    <col min="5126" max="5126" width="59.7109375" style="3" customWidth="1"/>
    <col min="5127" max="5127" width="16.140625" style="3" customWidth="1"/>
    <col min="5128" max="5128" width="18.5703125" style="3" bestFit="1" customWidth="1"/>
    <col min="5129" max="5377" width="8.85546875" style="3"/>
    <col min="5378" max="5378" width="5.7109375" style="3" customWidth="1"/>
    <col min="5379" max="5379" width="62.7109375" style="3" customWidth="1"/>
    <col min="5380" max="5380" width="12.42578125" style="3" customWidth="1"/>
    <col min="5381" max="5381" width="18" style="3" customWidth="1"/>
    <col min="5382" max="5382" width="59.7109375" style="3" customWidth="1"/>
    <col min="5383" max="5383" width="16.140625" style="3" customWidth="1"/>
    <col min="5384" max="5384" width="18.5703125" style="3" bestFit="1" customWidth="1"/>
    <col min="5385" max="5633" width="8.85546875" style="3"/>
    <col min="5634" max="5634" width="5.7109375" style="3" customWidth="1"/>
    <col min="5635" max="5635" width="62.7109375" style="3" customWidth="1"/>
    <col min="5636" max="5636" width="12.42578125" style="3" customWidth="1"/>
    <col min="5637" max="5637" width="18" style="3" customWidth="1"/>
    <col min="5638" max="5638" width="59.7109375" style="3" customWidth="1"/>
    <col min="5639" max="5639" width="16.140625" style="3" customWidth="1"/>
    <col min="5640" max="5640" width="18.5703125" style="3" bestFit="1" customWidth="1"/>
    <col min="5641" max="5889" width="8.85546875" style="3"/>
    <col min="5890" max="5890" width="5.7109375" style="3" customWidth="1"/>
    <col min="5891" max="5891" width="62.7109375" style="3" customWidth="1"/>
    <col min="5892" max="5892" width="12.42578125" style="3" customWidth="1"/>
    <col min="5893" max="5893" width="18" style="3" customWidth="1"/>
    <col min="5894" max="5894" width="59.7109375" style="3" customWidth="1"/>
    <col min="5895" max="5895" width="16.140625" style="3" customWidth="1"/>
    <col min="5896" max="5896" width="18.5703125" style="3" bestFit="1" customWidth="1"/>
    <col min="5897" max="6145" width="8.85546875" style="3"/>
    <col min="6146" max="6146" width="5.7109375" style="3" customWidth="1"/>
    <col min="6147" max="6147" width="62.7109375" style="3" customWidth="1"/>
    <col min="6148" max="6148" width="12.42578125" style="3" customWidth="1"/>
    <col min="6149" max="6149" width="18" style="3" customWidth="1"/>
    <col min="6150" max="6150" width="59.7109375" style="3" customWidth="1"/>
    <col min="6151" max="6151" width="16.140625" style="3" customWidth="1"/>
    <col min="6152" max="6152" width="18.5703125" style="3" bestFit="1" customWidth="1"/>
    <col min="6153" max="6401" width="8.85546875" style="3"/>
    <col min="6402" max="6402" width="5.7109375" style="3" customWidth="1"/>
    <col min="6403" max="6403" width="62.7109375" style="3" customWidth="1"/>
    <col min="6404" max="6404" width="12.42578125" style="3" customWidth="1"/>
    <col min="6405" max="6405" width="18" style="3" customWidth="1"/>
    <col min="6406" max="6406" width="59.7109375" style="3" customWidth="1"/>
    <col min="6407" max="6407" width="16.140625" style="3" customWidth="1"/>
    <col min="6408" max="6408" width="18.5703125" style="3" bestFit="1" customWidth="1"/>
    <col min="6409" max="6657" width="8.85546875" style="3"/>
    <col min="6658" max="6658" width="5.7109375" style="3" customWidth="1"/>
    <col min="6659" max="6659" width="62.7109375" style="3" customWidth="1"/>
    <col min="6660" max="6660" width="12.42578125" style="3" customWidth="1"/>
    <col min="6661" max="6661" width="18" style="3" customWidth="1"/>
    <col min="6662" max="6662" width="59.7109375" style="3" customWidth="1"/>
    <col min="6663" max="6663" width="16.140625" style="3" customWidth="1"/>
    <col min="6664" max="6664" width="18.5703125" style="3" bestFit="1" customWidth="1"/>
    <col min="6665" max="6913" width="8.85546875" style="3"/>
    <col min="6914" max="6914" width="5.7109375" style="3" customWidth="1"/>
    <col min="6915" max="6915" width="62.7109375" style="3" customWidth="1"/>
    <col min="6916" max="6916" width="12.42578125" style="3" customWidth="1"/>
    <col min="6917" max="6917" width="18" style="3" customWidth="1"/>
    <col min="6918" max="6918" width="59.7109375" style="3" customWidth="1"/>
    <col min="6919" max="6919" width="16.140625" style="3" customWidth="1"/>
    <col min="6920" max="6920" width="18.5703125" style="3" bestFit="1" customWidth="1"/>
    <col min="6921" max="7169" width="8.85546875" style="3"/>
    <col min="7170" max="7170" width="5.7109375" style="3" customWidth="1"/>
    <col min="7171" max="7171" width="62.7109375" style="3" customWidth="1"/>
    <col min="7172" max="7172" width="12.42578125" style="3" customWidth="1"/>
    <col min="7173" max="7173" width="18" style="3" customWidth="1"/>
    <col min="7174" max="7174" width="59.7109375" style="3" customWidth="1"/>
    <col min="7175" max="7175" width="16.140625" style="3" customWidth="1"/>
    <col min="7176" max="7176" width="18.5703125" style="3" bestFit="1" customWidth="1"/>
    <col min="7177" max="7425" width="8.85546875" style="3"/>
    <col min="7426" max="7426" width="5.7109375" style="3" customWidth="1"/>
    <col min="7427" max="7427" width="62.7109375" style="3" customWidth="1"/>
    <col min="7428" max="7428" width="12.42578125" style="3" customWidth="1"/>
    <col min="7429" max="7429" width="18" style="3" customWidth="1"/>
    <col min="7430" max="7430" width="59.7109375" style="3" customWidth="1"/>
    <col min="7431" max="7431" width="16.140625" style="3" customWidth="1"/>
    <col min="7432" max="7432" width="18.5703125" style="3" bestFit="1" customWidth="1"/>
    <col min="7433" max="7681" width="8.85546875" style="3"/>
    <col min="7682" max="7682" width="5.7109375" style="3" customWidth="1"/>
    <col min="7683" max="7683" width="62.7109375" style="3" customWidth="1"/>
    <col min="7684" max="7684" width="12.42578125" style="3" customWidth="1"/>
    <col min="7685" max="7685" width="18" style="3" customWidth="1"/>
    <col min="7686" max="7686" width="59.7109375" style="3" customWidth="1"/>
    <col min="7687" max="7687" width="16.140625" style="3" customWidth="1"/>
    <col min="7688" max="7688" width="18.5703125" style="3" bestFit="1" customWidth="1"/>
    <col min="7689" max="7937" width="8.85546875" style="3"/>
    <col min="7938" max="7938" width="5.7109375" style="3" customWidth="1"/>
    <col min="7939" max="7939" width="62.7109375" style="3" customWidth="1"/>
    <col min="7940" max="7940" width="12.42578125" style="3" customWidth="1"/>
    <col min="7941" max="7941" width="18" style="3" customWidth="1"/>
    <col min="7942" max="7942" width="59.7109375" style="3" customWidth="1"/>
    <col min="7943" max="7943" width="16.140625" style="3" customWidth="1"/>
    <col min="7944" max="7944" width="18.5703125" style="3" bestFit="1" customWidth="1"/>
    <col min="7945" max="8193" width="8.85546875" style="3"/>
    <col min="8194" max="8194" width="5.7109375" style="3" customWidth="1"/>
    <col min="8195" max="8195" width="62.7109375" style="3" customWidth="1"/>
    <col min="8196" max="8196" width="12.42578125" style="3" customWidth="1"/>
    <col min="8197" max="8197" width="18" style="3" customWidth="1"/>
    <col min="8198" max="8198" width="59.7109375" style="3" customWidth="1"/>
    <col min="8199" max="8199" width="16.140625" style="3" customWidth="1"/>
    <col min="8200" max="8200" width="18.5703125" style="3" bestFit="1" customWidth="1"/>
    <col min="8201" max="8449" width="8.85546875" style="3"/>
    <col min="8450" max="8450" width="5.7109375" style="3" customWidth="1"/>
    <col min="8451" max="8451" width="62.7109375" style="3" customWidth="1"/>
    <col min="8452" max="8452" width="12.42578125" style="3" customWidth="1"/>
    <col min="8453" max="8453" width="18" style="3" customWidth="1"/>
    <col min="8454" max="8454" width="59.7109375" style="3" customWidth="1"/>
    <col min="8455" max="8455" width="16.140625" style="3" customWidth="1"/>
    <col min="8456" max="8456" width="18.5703125" style="3" bestFit="1" customWidth="1"/>
    <col min="8457" max="8705" width="8.85546875" style="3"/>
    <col min="8706" max="8706" width="5.7109375" style="3" customWidth="1"/>
    <col min="8707" max="8707" width="62.7109375" style="3" customWidth="1"/>
    <col min="8708" max="8708" width="12.42578125" style="3" customWidth="1"/>
    <col min="8709" max="8709" width="18" style="3" customWidth="1"/>
    <col min="8710" max="8710" width="59.7109375" style="3" customWidth="1"/>
    <col min="8711" max="8711" width="16.140625" style="3" customWidth="1"/>
    <col min="8712" max="8712" width="18.5703125" style="3" bestFit="1" customWidth="1"/>
    <col min="8713" max="8961" width="8.85546875" style="3"/>
    <col min="8962" max="8962" width="5.7109375" style="3" customWidth="1"/>
    <col min="8963" max="8963" width="62.7109375" style="3" customWidth="1"/>
    <col min="8964" max="8964" width="12.42578125" style="3" customWidth="1"/>
    <col min="8965" max="8965" width="18" style="3" customWidth="1"/>
    <col min="8966" max="8966" width="59.7109375" style="3" customWidth="1"/>
    <col min="8967" max="8967" width="16.140625" style="3" customWidth="1"/>
    <col min="8968" max="8968" width="18.5703125" style="3" bestFit="1" customWidth="1"/>
    <col min="8969" max="9217" width="8.85546875" style="3"/>
    <col min="9218" max="9218" width="5.7109375" style="3" customWidth="1"/>
    <col min="9219" max="9219" width="62.7109375" style="3" customWidth="1"/>
    <col min="9220" max="9220" width="12.42578125" style="3" customWidth="1"/>
    <col min="9221" max="9221" width="18" style="3" customWidth="1"/>
    <col min="9222" max="9222" width="59.7109375" style="3" customWidth="1"/>
    <col min="9223" max="9223" width="16.140625" style="3" customWidth="1"/>
    <col min="9224" max="9224" width="18.5703125" style="3" bestFit="1" customWidth="1"/>
    <col min="9225" max="9473" width="8.85546875" style="3"/>
    <col min="9474" max="9474" width="5.7109375" style="3" customWidth="1"/>
    <col min="9475" max="9475" width="62.7109375" style="3" customWidth="1"/>
    <col min="9476" max="9476" width="12.42578125" style="3" customWidth="1"/>
    <col min="9477" max="9477" width="18" style="3" customWidth="1"/>
    <col min="9478" max="9478" width="59.7109375" style="3" customWidth="1"/>
    <col min="9479" max="9479" width="16.140625" style="3" customWidth="1"/>
    <col min="9480" max="9480" width="18.5703125" style="3" bestFit="1" customWidth="1"/>
    <col min="9481" max="9729" width="8.85546875" style="3"/>
    <col min="9730" max="9730" width="5.7109375" style="3" customWidth="1"/>
    <col min="9731" max="9731" width="62.7109375" style="3" customWidth="1"/>
    <col min="9732" max="9732" width="12.42578125" style="3" customWidth="1"/>
    <col min="9733" max="9733" width="18" style="3" customWidth="1"/>
    <col min="9734" max="9734" width="59.7109375" style="3" customWidth="1"/>
    <col min="9735" max="9735" width="16.140625" style="3" customWidth="1"/>
    <col min="9736" max="9736" width="18.5703125" style="3" bestFit="1" customWidth="1"/>
    <col min="9737" max="9985" width="8.85546875" style="3"/>
    <col min="9986" max="9986" width="5.7109375" style="3" customWidth="1"/>
    <col min="9987" max="9987" width="62.7109375" style="3" customWidth="1"/>
    <col min="9988" max="9988" width="12.42578125" style="3" customWidth="1"/>
    <col min="9989" max="9989" width="18" style="3" customWidth="1"/>
    <col min="9990" max="9990" width="59.7109375" style="3" customWidth="1"/>
    <col min="9991" max="9991" width="16.140625" style="3" customWidth="1"/>
    <col min="9992" max="9992" width="18.5703125" style="3" bestFit="1" customWidth="1"/>
    <col min="9993" max="10241" width="8.85546875" style="3"/>
    <col min="10242" max="10242" width="5.7109375" style="3" customWidth="1"/>
    <col min="10243" max="10243" width="62.7109375" style="3" customWidth="1"/>
    <col min="10244" max="10244" width="12.42578125" style="3" customWidth="1"/>
    <col min="10245" max="10245" width="18" style="3" customWidth="1"/>
    <col min="10246" max="10246" width="59.7109375" style="3" customWidth="1"/>
    <col min="10247" max="10247" width="16.140625" style="3" customWidth="1"/>
    <col min="10248" max="10248" width="18.5703125" style="3" bestFit="1" customWidth="1"/>
    <col min="10249" max="10497" width="8.85546875" style="3"/>
    <col min="10498" max="10498" width="5.7109375" style="3" customWidth="1"/>
    <col min="10499" max="10499" width="62.7109375" style="3" customWidth="1"/>
    <col min="10500" max="10500" width="12.42578125" style="3" customWidth="1"/>
    <col min="10501" max="10501" width="18" style="3" customWidth="1"/>
    <col min="10502" max="10502" width="59.7109375" style="3" customWidth="1"/>
    <col min="10503" max="10503" width="16.140625" style="3" customWidth="1"/>
    <col min="10504" max="10504" width="18.5703125" style="3" bestFit="1" customWidth="1"/>
    <col min="10505" max="10753" width="8.85546875" style="3"/>
    <col min="10754" max="10754" width="5.7109375" style="3" customWidth="1"/>
    <col min="10755" max="10755" width="62.7109375" style="3" customWidth="1"/>
    <col min="10756" max="10756" width="12.42578125" style="3" customWidth="1"/>
    <col min="10757" max="10757" width="18" style="3" customWidth="1"/>
    <col min="10758" max="10758" width="59.7109375" style="3" customWidth="1"/>
    <col min="10759" max="10759" width="16.140625" style="3" customWidth="1"/>
    <col min="10760" max="10760" width="18.5703125" style="3" bestFit="1" customWidth="1"/>
    <col min="10761" max="11009" width="8.85546875" style="3"/>
    <col min="11010" max="11010" width="5.7109375" style="3" customWidth="1"/>
    <col min="11011" max="11011" width="62.7109375" style="3" customWidth="1"/>
    <col min="11012" max="11012" width="12.42578125" style="3" customWidth="1"/>
    <col min="11013" max="11013" width="18" style="3" customWidth="1"/>
    <col min="11014" max="11014" width="59.7109375" style="3" customWidth="1"/>
    <col min="11015" max="11015" width="16.140625" style="3" customWidth="1"/>
    <col min="11016" max="11016" width="18.5703125" style="3" bestFit="1" customWidth="1"/>
    <col min="11017" max="11265" width="8.85546875" style="3"/>
    <col min="11266" max="11266" width="5.7109375" style="3" customWidth="1"/>
    <col min="11267" max="11267" width="62.7109375" style="3" customWidth="1"/>
    <col min="11268" max="11268" width="12.42578125" style="3" customWidth="1"/>
    <col min="11269" max="11269" width="18" style="3" customWidth="1"/>
    <col min="11270" max="11270" width="59.7109375" style="3" customWidth="1"/>
    <col min="11271" max="11271" width="16.140625" style="3" customWidth="1"/>
    <col min="11272" max="11272" width="18.5703125" style="3" bestFit="1" customWidth="1"/>
    <col min="11273" max="11521" width="8.85546875" style="3"/>
    <col min="11522" max="11522" width="5.7109375" style="3" customWidth="1"/>
    <col min="11523" max="11523" width="62.7109375" style="3" customWidth="1"/>
    <col min="11524" max="11524" width="12.42578125" style="3" customWidth="1"/>
    <col min="11525" max="11525" width="18" style="3" customWidth="1"/>
    <col min="11526" max="11526" width="59.7109375" style="3" customWidth="1"/>
    <col min="11527" max="11527" width="16.140625" style="3" customWidth="1"/>
    <col min="11528" max="11528" width="18.5703125" style="3" bestFit="1" customWidth="1"/>
    <col min="11529" max="11777" width="8.85546875" style="3"/>
    <col min="11778" max="11778" width="5.7109375" style="3" customWidth="1"/>
    <col min="11779" max="11779" width="62.7109375" style="3" customWidth="1"/>
    <col min="11780" max="11780" width="12.42578125" style="3" customWidth="1"/>
    <col min="11781" max="11781" width="18" style="3" customWidth="1"/>
    <col min="11782" max="11782" width="59.7109375" style="3" customWidth="1"/>
    <col min="11783" max="11783" width="16.140625" style="3" customWidth="1"/>
    <col min="11784" max="11784" width="18.5703125" style="3" bestFit="1" customWidth="1"/>
    <col min="11785" max="12033" width="8.85546875" style="3"/>
    <col min="12034" max="12034" width="5.7109375" style="3" customWidth="1"/>
    <col min="12035" max="12035" width="62.7109375" style="3" customWidth="1"/>
    <col min="12036" max="12036" width="12.42578125" style="3" customWidth="1"/>
    <col min="12037" max="12037" width="18" style="3" customWidth="1"/>
    <col min="12038" max="12038" width="59.7109375" style="3" customWidth="1"/>
    <col min="12039" max="12039" width="16.140625" style="3" customWidth="1"/>
    <col min="12040" max="12040" width="18.5703125" style="3" bestFit="1" customWidth="1"/>
    <col min="12041" max="12289" width="8.85546875" style="3"/>
    <col min="12290" max="12290" width="5.7109375" style="3" customWidth="1"/>
    <col min="12291" max="12291" width="62.7109375" style="3" customWidth="1"/>
    <col min="12292" max="12292" width="12.42578125" style="3" customWidth="1"/>
    <col min="12293" max="12293" width="18" style="3" customWidth="1"/>
    <col min="12294" max="12294" width="59.7109375" style="3" customWidth="1"/>
    <col min="12295" max="12295" width="16.140625" style="3" customWidth="1"/>
    <col min="12296" max="12296" width="18.5703125" style="3" bestFit="1" customWidth="1"/>
    <col min="12297" max="12545" width="8.85546875" style="3"/>
    <col min="12546" max="12546" width="5.7109375" style="3" customWidth="1"/>
    <col min="12547" max="12547" width="62.7109375" style="3" customWidth="1"/>
    <col min="12548" max="12548" width="12.42578125" style="3" customWidth="1"/>
    <col min="12549" max="12549" width="18" style="3" customWidth="1"/>
    <col min="12550" max="12550" width="59.7109375" style="3" customWidth="1"/>
    <col min="12551" max="12551" width="16.140625" style="3" customWidth="1"/>
    <col min="12552" max="12552" width="18.5703125" style="3" bestFit="1" customWidth="1"/>
    <col min="12553" max="12801" width="8.85546875" style="3"/>
    <col min="12802" max="12802" width="5.7109375" style="3" customWidth="1"/>
    <col min="12803" max="12803" width="62.7109375" style="3" customWidth="1"/>
    <col min="12804" max="12804" width="12.42578125" style="3" customWidth="1"/>
    <col min="12805" max="12805" width="18" style="3" customWidth="1"/>
    <col min="12806" max="12806" width="59.7109375" style="3" customWidth="1"/>
    <col min="12807" max="12807" width="16.140625" style="3" customWidth="1"/>
    <col min="12808" max="12808" width="18.5703125" style="3" bestFit="1" customWidth="1"/>
    <col min="12809" max="13057" width="8.85546875" style="3"/>
    <col min="13058" max="13058" width="5.7109375" style="3" customWidth="1"/>
    <col min="13059" max="13059" width="62.7109375" style="3" customWidth="1"/>
    <col min="13060" max="13060" width="12.42578125" style="3" customWidth="1"/>
    <col min="13061" max="13061" width="18" style="3" customWidth="1"/>
    <col min="13062" max="13062" width="59.7109375" style="3" customWidth="1"/>
    <col min="13063" max="13063" width="16.140625" style="3" customWidth="1"/>
    <col min="13064" max="13064" width="18.5703125" style="3" bestFit="1" customWidth="1"/>
    <col min="13065" max="13313" width="8.85546875" style="3"/>
    <col min="13314" max="13314" width="5.7109375" style="3" customWidth="1"/>
    <col min="13315" max="13315" width="62.7109375" style="3" customWidth="1"/>
    <col min="13316" max="13316" width="12.42578125" style="3" customWidth="1"/>
    <col min="13317" max="13317" width="18" style="3" customWidth="1"/>
    <col min="13318" max="13318" width="59.7109375" style="3" customWidth="1"/>
    <col min="13319" max="13319" width="16.140625" style="3" customWidth="1"/>
    <col min="13320" max="13320" width="18.5703125" style="3" bestFit="1" customWidth="1"/>
    <col min="13321" max="13569" width="8.85546875" style="3"/>
    <col min="13570" max="13570" width="5.7109375" style="3" customWidth="1"/>
    <col min="13571" max="13571" width="62.7109375" style="3" customWidth="1"/>
    <col min="13572" max="13572" width="12.42578125" style="3" customWidth="1"/>
    <col min="13573" max="13573" width="18" style="3" customWidth="1"/>
    <col min="13574" max="13574" width="59.7109375" style="3" customWidth="1"/>
    <col min="13575" max="13575" width="16.140625" style="3" customWidth="1"/>
    <col min="13576" max="13576" width="18.5703125" style="3" bestFit="1" customWidth="1"/>
    <col min="13577" max="13825" width="8.85546875" style="3"/>
    <col min="13826" max="13826" width="5.7109375" style="3" customWidth="1"/>
    <col min="13827" max="13827" width="62.7109375" style="3" customWidth="1"/>
    <col min="13828" max="13828" width="12.42578125" style="3" customWidth="1"/>
    <col min="13829" max="13829" width="18" style="3" customWidth="1"/>
    <col min="13830" max="13830" width="59.7109375" style="3" customWidth="1"/>
    <col min="13831" max="13831" width="16.140625" style="3" customWidth="1"/>
    <col min="13832" max="13832" width="18.5703125" style="3" bestFit="1" customWidth="1"/>
    <col min="13833" max="14081" width="8.85546875" style="3"/>
    <col min="14082" max="14082" width="5.7109375" style="3" customWidth="1"/>
    <col min="14083" max="14083" width="62.7109375" style="3" customWidth="1"/>
    <col min="14084" max="14084" width="12.42578125" style="3" customWidth="1"/>
    <col min="14085" max="14085" width="18" style="3" customWidth="1"/>
    <col min="14086" max="14086" width="59.7109375" style="3" customWidth="1"/>
    <col min="14087" max="14087" width="16.140625" style="3" customWidth="1"/>
    <col min="14088" max="14088" width="18.5703125" style="3" bestFit="1" customWidth="1"/>
    <col min="14089" max="14337" width="8.85546875" style="3"/>
    <col min="14338" max="14338" width="5.7109375" style="3" customWidth="1"/>
    <col min="14339" max="14339" width="62.7109375" style="3" customWidth="1"/>
    <col min="14340" max="14340" width="12.42578125" style="3" customWidth="1"/>
    <col min="14341" max="14341" width="18" style="3" customWidth="1"/>
    <col min="14342" max="14342" width="59.7109375" style="3" customWidth="1"/>
    <col min="14343" max="14343" width="16.140625" style="3" customWidth="1"/>
    <col min="14344" max="14344" width="18.5703125" style="3" bestFit="1" customWidth="1"/>
    <col min="14345" max="14593" width="8.85546875" style="3"/>
    <col min="14594" max="14594" width="5.7109375" style="3" customWidth="1"/>
    <col min="14595" max="14595" width="62.7109375" style="3" customWidth="1"/>
    <col min="14596" max="14596" width="12.42578125" style="3" customWidth="1"/>
    <col min="14597" max="14597" width="18" style="3" customWidth="1"/>
    <col min="14598" max="14598" width="59.7109375" style="3" customWidth="1"/>
    <col min="14599" max="14599" width="16.140625" style="3" customWidth="1"/>
    <col min="14600" max="14600" width="18.5703125" style="3" bestFit="1" customWidth="1"/>
    <col min="14601" max="14849" width="8.85546875" style="3"/>
    <col min="14850" max="14850" width="5.7109375" style="3" customWidth="1"/>
    <col min="14851" max="14851" width="62.7109375" style="3" customWidth="1"/>
    <col min="14852" max="14852" width="12.42578125" style="3" customWidth="1"/>
    <col min="14853" max="14853" width="18" style="3" customWidth="1"/>
    <col min="14854" max="14854" width="59.7109375" style="3" customWidth="1"/>
    <col min="14855" max="14855" width="16.140625" style="3" customWidth="1"/>
    <col min="14856" max="14856" width="18.5703125" style="3" bestFit="1" customWidth="1"/>
    <col min="14857" max="15105" width="8.85546875" style="3"/>
    <col min="15106" max="15106" width="5.7109375" style="3" customWidth="1"/>
    <col min="15107" max="15107" width="62.7109375" style="3" customWidth="1"/>
    <col min="15108" max="15108" width="12.42578125" style="3" customWidth="1"/>
    <col min="15109" max="15109" width="18" style="3" customWidth="1"/>
    <col min="15110" max="15110" width="59.7109375" style="3" customWidth="1"/>
    <col min="15111" max="15111" width="16.140625" style="3" customWidth="1"/>
    <col min="15112" max="15112" width="18.5703125" style="3" bestFit="1" customWidth="1"/>
    <col min="15113" max="15361" width="8.85546875" style="3"/>
    <col min="15362" max="15362" width="5.7109375" style="3" customWidth="1"/>
    <col min="15363" max="15363" width="62.7109375" style="3" customWidth="1"/>
    <col min="15364" max="15364" width="12.42578125" style="3" customWidth="1"/>
    <col min="15365" max="15365" width="18" style="3" customWidth="1"/>
    <col min="15366" max="15366" width="59.7109375" style="3" customWidth="1"/>
    <col min="15367" max="15367" width="16.140625" style="3" customWidth="1"/>
    <col min="15368" max="15368" width="18.5703125" style="3" bestFit="1" customWidth="1"/>
    <col min="15369" max="15617" width="8.85546875" style="3"/>
    <col min="15618" max="15618" width="5.7109375" style="3" customWidth="1"/>
    <col min="15619" max="15619" width="62.7109375" style="3" customWidth="1"/>
    <col min="15620" max="15620" width="12.42578125" style="3" customWidth="1"/>
    <col min="15621" max="15621" width="18" style="3" customWidth="1"/>
    <col min="15622" max="15622" width="59.7109375" style="3" customWidth="1"/>
    <col min="15623" max="15623" width="16.140625" style="3" customWidth="1"/>
    <col min="15624" max="15624" width="18.5703125" style="3" bestFit="1" customWidth="1"/>
    <col min="15625" max="15873" width="8.85546875" style="3"/>
    <col min="15874" max="15874" width="5.7109375" style="3" customWidth="1"/>
    <col min="15875" max="15875" width="62.7109375" style="3" customWidth="1"/>
    <col min="15876" max="15876" width="12.42578125" style="3" customWidth="1"/>
    <col min="15877" max="15877" width="18" style="3" customWidth="1"/>
    <col min="15878" max="15878" width="59.7109375" style="3" customWidth="1"/>
    <col min="15879" max="15879" width="16.140625" style="3" customWidth="1"/>
    <col min="15880" max="15880" width="18.5703125" style="3" bestFit="1" customWidth="1"/>
    <col min="15881" max="16129" width="8.85546875" style="3"/>
    <col min="16130" max="16130" width="5.7109375" style="3" customWidth="1"/>
    <col min="16131" max="16131" width="62.7109375" style="3" customWidth="1"/>
    <col min="16132" max="16132" width="12.42578125" style="3" customWidth="1"/>
    <col min="16133" max="16133" width="18" style="3" customWidth="1"/>
    <col min="16134" max="16134" width="59.7109375" style="3" customWidth="1"/>
    <col min="16135" max="16135" width="16.140625" style="3" customWidth="1"/>
    <col min="16136" max="16136" width="18.5703125" style="3" bestFit="1" customWidth="1"/>
    <col min="16137" max="16384" width="8.85546875" style="3"/>
  </cols>
  <sheetData>
    <row r="1" spans="2:8" x14ac:dyDescent="0.15">
      <c r="B1" s="130" t="s">
        <v>0</v>
      </c>
      <c r="C1" s="130"/>
      <c r="D1" s="130"/>
      <c r="E1" s="130"/>
    </row>
    <row r="2" spans="2:8" x14ac:dyDescent="0.15">
      <c r="B2" s="4"/>
      <c r="C2" s="5"/>
      <c r="D2" s="51"/>
      <c r="E2" s="51"/>
    </row>
    <row r="3" spans="2:8" x14ac:dyDescent="0.15">
      <c r="B3" s="2"/>
      <c r="C3" s="2"/>
      <c r="D3" s="2"/>
      <c r="E3" s="2"/>
    </row>
    <row r="4" spans="2:8" x14ac:dyDescent="0.15">
      <c r="B4" s="6" t="s">
        <v>2</v>
      </c>
      <c r="C4" s="6"/>
      <c r="D4" s="131"/>
      <c r="E4" s="131"/>
    </row>
    <row r="5" spans="2:8" ht="16.5" customHeight="1" x14ac:dyDescent="0.15">
      <c r="B5" s="2"/>
      <c r="C5" s="5"/>
      <c r="D5" s="132" t="s">
        <v>183</v>
      </c>
      <c r="E5" s="132"/>
      <c r="H5" s="5" t="s">
        <v>1</v>
      </c>
    </row>
    <row r="6" spans="2:8" x14ac:dyDescent="0.15">
      <c r="B6" s="49"/>
      <c r="C6" s="7" t="s">
        <v>3</v>
      </c>
      <c r="D6" s="113" t="s">
        <v>4</v>
      </c>
      <c r="E6" s="113"/>
    </row>
    <row r="7" spans="2:8" x14ac:dyDescent="0.15">
      <c r="B7" s="8" t="s">
        <v>5</v>
      </c>
      <c r="C7" s="8" t="s">
        <v>6</v>
      </c>
      <c r="D7" s="125">
        <v>3563.86</v>
      </c>
      <c r="E7" s="125"/>
    </row>
    <row r="8" spans="2:8" ht="11.25" customHeight="1" x14ac:dyDescent="0.15">
      <c r="B8" s="8" t="s">
        <v>7</v>
      </c>
      <c r="C8" s="8" t="s">
        <v>8</v>
      </c>
      <c r="D8" s="125" t="s">
        <v>117</v>
      </c>
      <c r="E8" s="125"/>
    </row>
    <row r="9" spans="2:8" x14ac:dyDescent="0.15">
      <c r="B9" s="8" t="s">
        <v>9</v>
      </c>
      <c r="C9" s="8" t="s">
        <v>10</v>
      </c>
      <c r="D9" s="125" t="s">
        <v>117</v>
      </c>
      <c r="E9" s="125"/>
    </row>
    <row r="10" spans="2:8" x14ac:dyDescent="0.15">
      <c r="B10" s="8" t="s">
        <v>11</v>
      </c>
      <c r="C10" s="8" t="s">
        <v>12</v>
      </c>
      <c r="D10" s="125" t="s">
        <v>117</v>
      </c>
      <c r="E10" s="125"/>
      <c r="H10" s="30" t="s">
        <v>131</v>
      </c>
    </row>
    <row r="11" spans="2:8" x14ac:dyDescent="0.15">
      <c r="B11" s="8" t="s">
        <v>13</v>
      </c>
      <c r="C11" s="8" t="s">
        <v>130</v>
      </c>
      <c r="D11" s="125" t="s">
        <v>117</v>
      </c>
      <c r="E11" s="125"/>
      <c r="H11" s="30" t="s">
        <v>132</v>
      </c>
    </row>
    <row r="12" spans="2:8" x14ac:dyDescent="0.15">
      <c r="B12" s="8" t="s">
        <v>14</v>
      </c>
      <c r="C12" s="8" t="s">
        <v>15</v>
      </c>
      <c r="D12" s="125" t="s">
        <v>117</v>
      </c>
      <c r="E12" s="125"/>
    </row>
    <row r="13" spans="2:8" x14ac:dyDescent="0.15">
      <c r="B13" s="7"/>
      <c r="C13" s="7" t="s">
        <v>19</v>
      </c>
      <c r="D13" s="114">
        <f>SUM(D7:E12)</f>
        <v>3563.86</v>
      </c>
      <c r="E13" s="114"/>
    </row>
    <row r="14" spans="2:8" x14ac:dyDescent="0.15">
      <c r="B14" s="2"/>
      <c r="C14" s="2"/>
      <c r="D14" s="2"/>
      <c r="E14" s="2"/>
    </row>
    <row r="15" spans="2:8" x14ac:dyDescent="0.15">
      <c r="B15" s="6" t="s">
        <v>20</v>
      </c>
      <c r="C15" s="6"/>
      <c r="D15" s="2"/>
      <c r="E15" s="2"/>
    </row>
    <row r="16" spans="2:8" x14ac:dyDescent="0.15">
      <c r="B16" s="2"/>
      <c r="C16" s="5"/>
      <c r="D16" s="2"/>
      <c r="E16" s="2"/>
      <c r="F16" s="64" t="s">
        <v>177</v>
      </c>
    </row>
    <row r="17" spans="2:8" x14ac:dyDescent="0.15">
      <c r="B17" s="9">
        <v>2</v>
      </c>
      <c r="C17" s="8" t="s">
        <v>21</v>
      </c>
      <c r="D17" s="123" t="s">
        <v>4</v>
      </c>
      <c r="E17" s="123"/>
      <c r="F17" s="32" t="s">
        <v>149</v>
      </c>
      <c r="G17" s="32">
        <v>22</v>
      </c>
    </row>
    <row r="18" spans="2:8" x14ac:dyDescent="0.15">
      <c r="B18" s="8" t="s">
        <v>5</v>
      </c>
      <c r="C18" s="8" t="s">
        <v>22</v>
      </c>
      <c r="D18" s="124">
        <f>((3.8+4.3)*2*G17)-(G18*D7)</f>
        <v>142.56839999999997</v>
      </c>
      <c r="E18" s="124"/>
      <c r="F18" s="32" t="s">
        <v>150</v>
      </c>
      <c r="G18" s="57">
        <v>0.06</v>
      </c>
      <c r="H18" s="30" t="s">
        <v>134</v>
      </c>
    </row>
    <row r="19" spans="2:8" x14ac:dyDescent="0.15">
      <c r="B19" s="8" t="s">
        <v>7</v>
      </c>
      <c r="C19" s="10" t="s">
        <v>23</v>
      </c>
      <c r="D19" s="124">
        <f>24.8*G17*G19</f>
        <v>545.6</v>
      </c>
      <c r="E19" s="124"/>
      <c r="G19" s="57">
        <v>1</v>
      </c>
      <c r="H19" s="30" t="s">
        <v>133</v>
      </c>
    </row>
    <row r="20" spans="2:8" x14ac:dyDescent="0.15">
      <c r="B20" s="8" t="s">
        <v>9</v>
      </c>
      <c r="C20" s="8" t="s">
        <v>128</v>
      </c>
      <c r="D20" s="125">
        <f>329.14*2</f>
        <v>658.28</v>
      </c>
      <c r="E20" s="125"/>
      <c r="H20" s="30" t="s">
        <v>133</v>
      </c>
    </row>
    <row r="21" spans="2:8" x14ac:dyDescent="0.15">
      <c r="B21" s="8" t="s">
        <v>11</v>
      </c>
      <c r="C21" s="8" t="s">
        <v>129</v>
      </c>
      <c r="D21" s="126">
        <v>0</v>
      </c>
      <c r="E21" s="127"/>
      <c r="H21" s="30" t="s">
        <v>133</v>
      </c>
    </row>
    <row r="22" spans="2:8" ht="15" customHeight="1" x14ac:dyDescent="0.15">
      <c r="B22" s="8" t="s">
        <v>13</v>
      </c>
      <c r="C22" s="8" t="s">
        <v>126</v>
      </c>
      <c r="D22" s="126">
        <v>0</v>
      </c>
      <c r="E22" s="127"/>
      <c r="H22" s="30" t="s">
        <v>133</v>
      </c>
    </row>
    <row r="23" spans="2:8" ht="15" customHeight="1" x14ac:dyDescent="0.15">
      <c r="B23" s="8" t="s">
        <v>14</v>
      </c>
      <c r="C23" s="8" t="s">
        <v>135</v>
      </c>
      <c r="D23" s="126">
        <v>0</v>
      </c>
      <c r="E23" s="127"/>
      <c r="H23" s="30" t="s">
        <v>133</v>
      </c>
    </row>
    <row r="24" spans="2:8" ht="15" customHeight="1" x14ac:dyDescent="0.15">
      <c r="B24" s="8" t="s">
        <v>16</v>
      </c>
      <c r="C24" s="8" t="s">
        <v>18</v>
      </c>
      <c r="D24" s="128">
        <v>0</v>
      </c>
      <c r="E24" s="129"/>
    </row>
    <row r="25" spans="2:8" x14ac:dyDescent="0.15">
      <c r="B25" s="8"/>
      <c r="C25" s="7" t="s">
        <v>24</v>
      </c>
      <c r="D25" s="114">
        <f>SUM(D18:D23)</f>
        <v>1346.4484</v>
      </c>
      <c r="E25" s="114"/>
    </row>
    <row r="26" spans="2:8" x14ac:dyDescent="0.15">
      <c r="B26" s="2"/>
      <c r="C26" s="2"/>
      <c r="D26" s="2"/>
      <c r="E26" s="2"/>
    </row>
    <row r="27" spans="2:8" x14ac:dyDescent="0.15">
      <c r="B27" s="120" t="s">
        <v>25</v>
      </c>
      <c r="C27" s="120"/>
      <c r="D27" s="2"/>
      <c r="E27" s="2"/>
    </row>
    <row r="28" spans="2:8" x14ac:dyDescent="0.15">
      <c r="B28" s="2"/>
      <c r="C28" s="5"/>
      <c r="D28" s="2"/>
      <c r="E28" s="2"/>
    </row>
    <row r="29" spans="2:8" x14ac:dyDescent="0.15">
      <c r="B29" s="9">
        <v>3</v>
      </c>
      <c r="C29" s="8" t="s">
        <v>26</v>
      </c>
      <c r="D29" s="123" t="s">
        <v>4</v>
      </c>
      <c r="E29" s="123"/>
    </row>
    <row r="30" spans="2:8" x14ac:dyDescent="0.15">
      <c r="B30" s="8" t="s">
        <v>5</v>
      </c>
      <c r="C30" s="8" t="s">
        <v>27</v>
      </c>
      <c r="D30" s="121">
        <f>Uniformes!D12</f>
        <v>13.153333333333334</v>
      </c>
      <c r="E30" s="121"/>
      <c r="H30" s="30" t="s">
        <v>178</v>
      </c>
    </row>
    <row r="31" spans="2:8" x14ac:dyDescent="0.15">
      <c r="B31" s="8" t="s">
        <v>7</v>
      </c>
      <c r="C31" s="8" t="s">
        <v>28</v>
      </c>
      <c r="D31" s="121">
        <v>766.66</v>
      </c>
      <c r="E31" s="121"/>
      <c r="H31" s="30" t="s">
        <v>179</v>
      </c>
    </row>
    <row r="32" spans="2:8" ht="11.25" customHeight="1" x14ac:dyDescent="0.15">
      <c r="B32" s="8" t="s">
        <v>9</v>
      </c>
      <c r="C32" s="8" t="s">
        <v>136</v>
      </c>
      <c r="D32" s="122">
        <v>0</v>
      </c>
      <c r="E32" s="122"/>
      <c r="H32" s="30" t="s">
        <v>180</v>
      </c>
    </row>
    <row r="33" spans="2:8" x14ac:dyDescent="0.15">
      <c r="B33" s="8" t="s">
        <v>11</v>
      </c>
      <c r="C33" s="8" t="s">
        <v>18</v>
      </c>
      <c r="D33" s="122">
        <v>0</v>
      </c>
      <c r="E33" s="122"/>
    </row>
    <row r="34" spans="2:8" x14ac:dyDescent="0.15">
      <c r="B34" s="113" t="s">
        <v>29</v>
      </c>
      <c r="C34" s="113"/>
      <c r="D34" s="114">
        <f>SUM(D30:E33)</f>
        <v>779.81333333333328</v>
      </c>
      <c r="E34" s="114"/>
    </row>
    <row r="35" spans="2:8" x14ac:dyDescent="0.15">
      <c r="B35" s="2"/>
      <c r="C35" s="2"/>
      <c r="D35" s="2"/>
      <c r="E35" s="2"/>
    </row>
    <row r="36" spans="2:8" x14ac:dyDescent="0.15">
      <c r="B36" s="6" t="s">
        <v>30</v>
      </c>
      <c r="C36" s="6"/>
      <c r="D36" s="2"/>
      <c r="E36" s="2"/>
    </row>
    <row r="37" spans="2:8" x14ac:dyDescent="0.15">
      <c r="B37" s="2"/>
      <c r="C37" s="2"/>
      <c r="D37" s="2"/>
      <c r="E37" s="2"/>
    </row>
    <row r="38" spans="2:8" x14ac:dyDescent="0.15">
      <c r="B38" s="6" t="s">
        <v>31</v>
      </c>
      <c r="C38" s="6"/>
      <c r="D38" s="2"/>
      <c r="E38" s="2"/>
    </row>
    <row r="39" spans="2:8" x14ac:dyDescent="0.15">
      <c r="B39" s="2"/>
      <c r="C39" s="5"/>
      <c r="D39" s="2"/>
      <c r="E39" s="2"/>
    </row>
    <row r="40" spans="2:8" x14ac:dyDescent="0.15">
      <c r="B40" s="7" t="s">
        <v>32</v>
      </c>
      <c r="C40" s="7" t="s">
        <v>33</v>
      </c>
      <c r="D40" s="48" t="s">
        <v>34</v>
      </c>
      <c r="E40" s="7" t="s">
        <v>4</v>
      </c>
    </row>
    <row r="41" spans="2:8" x14ac:dyDescent="0.15">
      <c r="B41" s="8" t="s">
        <v>5</v>
      </c>
      <c r="C41" s="8" t="s">
        <v>35</v>
      </c>
      <c r="D41" s="11">
        <v>0.2</v>
      </c>
      <c r="E41" s="12">
        <f>D41*D13</f>
        <v>712.77200000000005</v>
      </c>
      <c r="H41" s="30" t="s">
        <v>103</v>
      </c>
    </row>
    <row r="42" spans="2:8" x14ac:dyDescent="0.15">
      <c r="B42" s="8" t="s">
        <v>13</v>
      </c>
      <c r="C42" s="8" t="s">
        <v>36</v>
      </c>
      <c r="D42" s="13">
        <v>2.5000000000000001E-2</v>
      </c>
      <c r="E42" s="12">
        <f>D42*D13</f>
        <v>89.096500000000006</v>
      </c>
      <c r="H42" s="30" t="s">
        <v>104</v>
      </c>
    </row>
    <row r="43" spans="2:8" x14ac:dyDescent="0.15">
      <c r="B43" s="8" t="s">
        <v>17</v>
      </c>
      <c r="C43" s="8" t="s">
        <v>37</v>
      </c>
      <c r="D43" s="11">
        <v>6.0000000000000001E-3</v>
      </c>
      <c r="E43" s="12">
        <f>D43*D13</f>
        <v>21.38316</v>
      </c>
      <c r="H43" s="30" t="s">
        <v>105</v>
      </c>
    </row>
    <row r="44" spans="2:8" x14ac:dyDescent="0.15">
      <c r="B44" s="8" t="s">
        <v>7</v>
      </c>
      <c r="C44" s="8" t="s">
        <v>38</v>
      </c>
      <c r="D44" s="11">
        <v>1.4999999999999999E-2</v>
      </c>
      <c r="E44" s="12">
        <f>D44*D13</f>
        <v>53.457900000000002</v>
      </c>
      <c r="H44" s="30" t="s">
        <v>106</v>
      </c>
    </row>
    <row r="45" spans="2:8" x14ac:dyDescent="0.15">
      <c r="B45" s="8" t="s">
        <v>9</v>
      </c>
      <c r="C45" s="8" t="s">
        <v>39</v>
      </c>
      <c r="D45" s="11">
        <v>0.01</v>
      </c>
      <c r="E45" s="12">
        <f>D45*D13</f>
        <v>35.638600000000004</v>
      </c>
      <c r="H45" s="30" t="s">
        <v>107</v>
      </c>
    </row>
    <row r="46" spans="2:8" x14ac:dyDescent="0.15">
      <c r="B46" s="8" t="s">
        <v>11</v>
      </c>
      <c r="C46" s="8" t="s">
        <v>40</v>
      </c>
      <c r="D46" s="11">
        <v>2E-3</v>
      </c>
      <c r="E46" s="12">
        <f>D46*D13</f>
        <v>7.1277200000000001</v>
      </c>
      <c r="H46" s="30" t="s">
        <v>108</v>
      </c>
    </row>
    <row r="47" spans="2:8" x14ac:dyDescent="0.15">
      <c r="B47" s="8" t="s">
        <v>14</v>
      </c>
      <c r="C47" s="8" t="s">
        <v>41</v>
      </c>
      <c r="D47" s="11">
        <v>0.08</v>
      </c>
      <c r="E47" s="12">
        <f>D47*D13</f>
        <v>285.10880000000003</v>
      </c>
      <c r="H47" s="30" t="s">
        <v>109</v>
      </c>
    </row>
    <row r="48" spans="2:8" x14ac:dyDescent="0.15">
      <c r="B48" s="8" t="s">
        <v>16</v>
      </c>
      <c r="C48" s="8" t="s">
        <v>118</v>
      </c>
      <c r="D48" s="11">
        <v>0.06</v>
      </c>
      <c r="E48" s="12">
        <f>D48*D13</f>
        <v>213.83160000000001</v>
      </c>
      <c r="H48" s="30" t="s">
        <v>110</v>
      </c>
    </row>
    <row r="49" spans="2:9" x14ac:dyDescent="0.15">
      <c r="B49" s="113" t="s">
        <v>42</v>
      </c>
      <c r="C49" s="113"/>
      <c r="D49" s="14">
        <f>SUM(D41:D48)</f>
        <v>0.39800000000000002</v>
      </c>
      <c r="E49" s="15">
        <f>SUM(E41:E48)</f>
        <v>1418.4162799999999</v>
      </c>
    </row>
    <row r="50" spans="2:9" x14ac:dyDescent="0.15">
      <c r="B50" s="2"/>
      <c r="C50" s="2"/>
      <c r="D50" s="2"/>
      <c r="E50" s="2"/>
    </row>
    <row r="51" spans="2:9" x14ac:dyDescent="0.15">
      <c r="B51" s="6" t="s">
        <v>43</v>
      </c>
      <c r="C51" s="6"/>
      <c r="D51" s="2"/>
      <c r="E51" s="2"/>
    </row>
    <row r="52" spans="2:9" x14ac:dyDescent="0.15">
      <c r="B52" s="2"/>
      <c r="C52" s="5"/>
      <c r="D52" s="2"/>
      <c r="E52" s="2"/>
    </row>
    <row r="53" spans="2:9" x14ac:dyDescent="0.15">
      <c r="B53" s="7" t="s">
        <v>44</v>
      </c>
      <c r="C53" s="49" t="s">
        <v>45</v>
      </c>
      <c r="D53" s="48" t="s">
        <v>34</v>
      </c>
      <c r="E53" s="7" t="s">
        <v>4</v>
      </c>
    </row>
    <row r="54" spans="2:9" x14ac:dyDescent="0.15">
      <c r="B54" s="8" t="s">
        <v>5</v>
      </c>
      <c r="C54" s="9" t="s">
        <v>46</v>
      </c>
      <c r="D54" s="11">
        <f>1/12</f>
        <v>8.3333333333333329E-2</v>
      </c>
      <c r="E54" s="12">
        <f>D13*D54</f>
        <v>296.98833333333334</v>
      </c>
      <c r="H54" s="30" t="s">
        <v>111</v>
      </c>
    </row>
    <row r="55" spans="2:9" x14ac:dyDescent="0.15">
      <c r="B55" s="8" t="s">
        <v>7</v>
      </c>
      <c r="C55" s="9" t="s">
        <v>47</v>
      </c>
      <c r="D55" s="16">
        <f>1/3/12</f>
        <v>2.7777777777777776E-2</v>
      </c>
      <c r="E55" s="12">
        <f>D55*D13</f>
        <v>98.996111111111105</v>
      </c>
      <c r="H55" s="30" t="s">
        <v>112</v>
      </c>
    </row>
    <row r="56" spans="2:9" x14ac:dyDescent="0.15">
      <c r="B56" s="113" t="s">
        <v>48</v>
      </c>
      <c r="C56" s="113"/>
      <c r="D56" s="17">
        <f>SUM(D54:D55)</f>
        <v>0.1111111111111111</v>
      </c>
      <c r="E56" s="15">
        <f>SUM(E54:E55)</f>
        <v>395.98444444444442</v>
      </c>
    </row>
    <row r="57" spans="2:9" x14ac:dyDescent="0.15">
      <c r="B57" s="8" t="s">
        <v>9</v>
      </c>
      <c r="C57" s="9" t="s">
        <v>49</v>
      </c>
      <c r="D57" s="11">
        <f>D49*D56</f>
        <v>4.4222222222222225E-2</v>
      </c>
      <c r="E57" s="12">
        <f>D49*E56</f>
        <v>157.60180888888888</v>
      </c>
    </row>
    <row r="58" spans="2:9" x14ac:dyDescent="0.15">
      <c r="B58" s="113" t="s">
        <v>42</v>
      </c>
      <c r="C58" s="113"/>
      <c r="D58" s="17">
        <f>SUM(D56:D57)</f>
        <v>0.15533333333333332</v>
      </c>
      <c r="E58" s="15">
        <f>SUM(E56:E57)</f>
        <v>553.58625333333327</v>
      </c>
      <c r="H58" s="29"/>
    </row>
    <row r="59" spans="2:9" x14ac:dyDescent="0.15">
      <c r="B59" s="2"/>
      <c r="C59" s="2"/>
      <c r="D59" s="2"/>
      <c r="E59" s="2"/>
    </row>
    <row r="60" spans="2:9" x14ac:dyDescent="0.15">
      <c r="B60" s="6" t="s">
        <v>50</v>
      </c>
      <c r="C60" s="2"/>
      <c r="D60" s="2"/>
      <c r="E60" s="2"/>
    </row>
    <row r="61" spans="2:9" x14ac:dyDescent="0.15">
      <c r="B61" s="2"/>
      <c r="C61" s="5"/>
      <c r="D61" s="2"/>
      <c r="E61" s="2"/>
    </row>
    <row r="62" spans="2:9" x14ac:dyDescent="0.15">
      <c r="B62" s="7" t="s">
        <v>51</v>
      </c>
      <c r="C62" s="49" t="s">
        <v>52</v>
      </c>
      <c r="D62" s="48" t="s">
        <v>34</v>
      </c>
      <c r="E62" s="7" t="s">
        <v>4</v>
      </c>
    </row>
    <row r="63" spans="2:9" x14ac:dyDescent="0.15">
      <c r="B63" s="8" t="s">
        <v>5</v>
      </c>
      <c r="C63" s="9" t="s">
        <v>53</v>
      </c>
      <c r="D63" s="18">
        <f>4/3*4/12/12*G63</f>
        <v>7.407407407407407E-4</v>
      </c>
      <c r="E63" s="12">
        <f>D63*D13</f>
        <v>2.6398962962962962</v>
      </c>
      <c r="F63" s="32" t="s">
        <v>152</v>
      </c>
      <c r="G63" s="57">
        <v>0.02</v>
      </c>
      <c r="H63" s="30" t="s">
        <v>113</v>
      </c>
      <c r="I63" s="21"/>
    </row>
    <row r="64" spans="2:9" ht="22.5" x14ac:dyDescent="0.15">
      <c r="B64" s="8" t="s">
        <v>7</v>
      </c>
      <c r="C64" s="61" t="s">
        <v>173</v>
      </c>
      <c r="D64" s="18">
        <f>4*G63/12</f>
        <v>6.6666666666666671E-3</v>
      </c>
      <c r="E64" s="12">
        <f>SUM(D20:E24)*D64</f>
        <v>4.3885333333333332</v>
      </c>
      <c r="H64" s="2" t="s">
        <v>172</v>
      </c>
    </row>
    <row r="65" spans="2:8" ht="22.5" x14ac:dyDescent="0.15">
      <c r="B65" s="8" t="s">
        <v>9</v>
      </c>
      <c r="C65" s="62" t="s">
        <v>170</v>
      </c>
      <c r="D65" s="18">
        <f>((4+1/3+1/3)/12)*D49*G63</f>
        <v>3.0955555555555554E-3</v>
      </c>
      <c r="E65" s="12">
        <f>D13*D65</f>
        <v>11.032126622222222</v>
      </c>
      <c r="H65" s="2" t="s">
        <v>171</v>
      </c>
    </row>
    <row r="66" spans="2:8" x14ac:dyDescent="0.15">
      <c r="B66" s="113" t="s">
        <v>42</v>
      </c>
      <c r="C66" s="113"/>
      <c r="D66" s="19">
        <f>SUM(D63:D65)</f>
        <v>1.0502962962962964E-2</v>
      </c>
      <c r="E66" s="15">
        <f>SUM(E63:E65)</f>
        <v>18.06055625185185</v>
      </c>
    </row>
    <row r="67" spans="2:8" x14ac:dyDescent="0.15">
      <c r="B67" s="2"/>
      <c r="C67" s="2"/>
      <c r="D67" s="2"/>
      <c r="E67" s="2"/>
    </row>
    <row r="68" spans="2:8" x14ac:dyDescent="0.15">
      <c r="B68" s="6" t="s">
        <v>54</v>
      </c>
      <c r="C68" s="2"/>
      <c r="D68" s="2"/>
      <c r="E68" s="2"/>
    </row>
    <row r="69" spans="2:8" x14ac:dyDescent="0.15">
      <c r="B69" s="2"/>
      <c r="C69" s="5"/>
      <c r="D69" s="2"/>
      <c r="E69" s="2"/>
    </row>
    <row r="70" spans="2:8" s="6" customFormat="1" x14ac:dyDescent="0.15">
      <c r="B70" s="7" t="s">
        <v>55</v>
      </c>
      <c r="C70" s="49" t="s">
        <v>56</v>
      </c>
      <c r="D70" s="48" t="s">
        <v>34</v>
      </c>
      <c r="E70" s="7" t="s">
        <v>4</v>
      </c>
      <c r="F70" s="32"/>
      <c r="G70" s="32"/>
      <c r="H70" s="30"/>
    </row>
    <row r="71" spans="2:8" ht="21" x14ac:dyDescent="0.15">
      <c r="B71" s="8" t="s">
        <v>5</v>
      </c>
      <c r="C71" s="20" t="s">
        <v>57</v>
      </c>
      <c r="D71" s="18">
        <f>(1/12*1.5+1/30*3/12)*5%</f>
        <v>6.6666666666666671E-3</v>
      </c>
      <c r="E71" s="12">
        <f>D71*D13</f>
        <v>23.759066666666669</v>
      </c>
      <c r="F71" s="32" t="s">
        <v>153</v>
      </c>
      <c r="G71" s="57">
        <v>0.05</v>
      </c>
      <c r="H71" s="30" t="s">
        <v>174</v>
      </c>
    </row>
    <row r="72" spans="2:8" x14ac:dyDescent="0.15">
      <c r="B72" s="8" t="s">
        <v>7</v>
      </c>
      <c r="C72" s="9" t="s">
        <v>58</v>
      </c>
      <c r="D72" s="18">
        <f>D47*D71</f>
        <v>5.3333333333333336E-4</v>
      </c>
      <c r="E72" s="12">
        <f>D72*D13</f>
        <v>1.9007253333333336</v>
      </c>
    </row>
    <row r="73" spans="2:8" x14ac:dyDescent="0.15">
      <c r="B73" s="8" t="s">
        <v>59</v>
      </c>
      <c r="C73" s="20" t="s">
        <v>60</v>
      </c>
      <c r="D73" s="18">
        <f>0.4*D47</f>
        <v>3.2000000000000001E-2</v>
      </c>
      <c r="E73" s="22">
        <f>D73*D13</f>
        <v>114.04352</v>
      </c>
      <c r="H73" s="30" t="s">
        <v>114</v>
      </c>
    </row>
    <row r="74" spans="2:8" x14ac:dyDescent="0.15">
      <c r="B74" s="8" t="s">
        <v>61</v>
      </c>
      <c r="C74" s="20" t="s">
        <v>62</v>
      </c>
      <c r="D74" s="18">
        <f>D47*10%</f>
        <v>8.0000000000000002E-3</v>
      </c>
      <c r="E74" s="22">
        <f>D74*D13</f>
        <v>28.51088</v>
      </c>
      <c r="H74" s="30" t="s">
        <v>115</v>
      </c>
    </row>
    <row r="75" spans="2:8" ht="21" x14ac:dyDescent="0.15">
      <c r="B75" s="8" t="s">
        <v>11</v>
      </c>
      <c r="C75" s="20" t="s">
        <v>63</v>
      </c>
      <c r="D75" s="18">
        <f>7/30/12*100%</f>
        <v>1.9444444444444445E-2</v>
      </c>
      <c r="E75" s="22">
        <f>D75*D13</f>
        <v>69.297277777777779</v>
      </c>
      <c r="F75" s="32" t="s">
        <v>154</v>
      </c>
      <c r="G75" s="57">
        <v>1</v>
      </c>
      <c r="H75" s="30" t="s">
        <v>116</v>
      </c>
    </row>
    <row r="76" spans="2:8" x14ac:dyDescent="0.15">
      <c r="B76" s="8" t="s">
        <v>13</v>
      </c>
      <c r="C76" s="20" t="s">
        <v>64</v>
      </c>
      <c r="D76" s="18">
        <f>D49*D75</f>
        <v>7.7388888888888898E-3</v>
      </c>
      <c r="E76" s="12">
        <f>D76*D13</f>
        <v>27.580316555555559</v>
      </c>
    </row>
    <row r="77" spans="2:8" x14ac:dyDescent="0.15">
      <c r="B77" s="113" t="s">
        <v>42</v>
      </c>
      <c r="C77" s="113"/>
      <c r="D77" s="19">
        <f>SUM(D71:D76)</f>
        <v>7.4383333333333343E-2</v>
      </c>
      <c r="E77" s="23">
        <f>SUM(E71:E76)</f>
        <v>265.09178633333335</v>
      </c>
    </row>
    <row r="78" spans="2:8" x14ac:dyDescent="0.15">
      <c r="B78" s="2"/>
      <c r="C78" s="2"/>
      <c r="D78" s="2"/>
      <c r="E78" s="2"/>
    </row>
    <row r="79" spans="2:8" x14ac:dyDescent="0.15">
      <c r="B79" s="6" t="s">
        <v>65</v>
      </c>
      <c r="C79" s="2"/>
      <c r="D79" s="2"/>
      <c r="E79" s="2"/>
      <c r="H79" s="31"/>
    </row>
    <row r="80" spans="2:8" x14ac:dyDescent="0.15">
      <c r="B80" s="2"/>
      <c r="C80" s="5"/>
      <c r="D80" s="2"/>
      <c r="E80" s="2"/>
    </row>
    <row r="81" spans="2:8" x14ac:dyDescent="0.15">
      <c r="B81" s="7" t="s">
        <v>66</v>
      </c>
      <c r="C81" s="7" t="s">
        <v>67</v>
      </c>
      <c r="D81" s="48" t="s">
        <v>34</v>
      </c>
      <c r="E81" s="7" t="s">
        <v>4</v>
      </c>
      <c r="F81" s="32" t="s">
        <v>158</v>
      </c>
      <c r="G81" s="60">
        <f>((D13+E94+E95+E96+E97)/30)/D13</f>
        <v>5.4426145395895818E-2</v>
      </c>
      <c r="H81" s="63">
        <f>G81*D13</f>
        <v>193.96716253061729</v>
      </c>
    </row>
    <row r="82" spans="2:8" x14ac:dyDescent="0.15">
      <c r="B82" s="8" t="s">
        <v>5</v>
      </c>
      <c r="C82" s="9" t="s">
        <v>68</v>
      </c>
      <c r="D82" s="18">
        <f>G81*G82/12</f>
        <v>0.13606536348973955</v>
      </c>
      <c r="E82" s="12">
        <f>D82*D13</f>
        <v>484.91790632654323</v>
      </c>
      <c r="F82" s="60" t="s">
        <v>164</v>
      </c>
      <c r="G82" s="32">
        <v>30</v>
      </c>
      <c r="H82" s="30" t="s">
        <v>159</v>
      </c>
    </row>
    <row r="83" spans="2:8" x14ac:dyDescent="0.15">
      <c r="B83" s="8" t="s">
        <v>7</v>
      </c>
      <c r="C83" s="9" t="s">
        <v>69</v>
      </c>
      <c r="D83" s="18">
        <f>G81*G83*G83/360</f>
        <v>3.7795934302705431E-3</v>
      </c>
      <c r="E83" s="12">
        <f>D83*D13</f>
        <v>13.469941842403978</v>
      </c>
      <c r="F83" s="32" t="s">
        <v>160</v>
      </c>
      <c r="G83" s="32">
        <v>5</v>
      </c>
      <c r="H83" s="30" t="s">
        <v>175</v>
      </c>
    </row>
    <row r="84" spans="2:8" x14ac:dyDescent="0.15">
      <c r="B84" s="8" t="s">
        <v>9</v>
      </c>
      <c r="C84" s="9" t="s">
        <v>70</v>
      </c>
      <c r="D84" s="18">
        <f>5*G81*1%</f>
        <v>2.7213072697947912E-3</v>
      </c>
      <c r="E84" s="12">
        <f>D84*D13</f>
        <v>9.6983581265308647</v>
      </c>
      <c r="F84" s="32" t="s">
        <v>176</v>
      </c>
      <c r="G84" s="60">
        <f>G83/360</f>
        <v>1.3888888888888888E-2</v>
      </c>
      <c r="H84" s="30" t="s">
        <v>163</v>
      </c>
    </row>
    <row r="85" spans="2:8" x14ac:dyDescent="0.15">
      <c r="B85" s="8" t="s">
        <v>11</v>
      </c>
      <c r="C85" s="9" t="s">
        <v>71</v>
      </c>
      <c r="D85" s="18">
        <f>G86*G87*G81</f>
        <v>2.4340581690942301E-4</v>
      </c>
      <c r="E85" s="12">
        <f>D85*D13</f>
        <v>0.86746425465081634</v>
      </c>
      <c r="F85" s="32" t="s">
        <v>161</v>
      </c>
      <c r="G85" s="58">
        <v>0.01</v>
      </c>
      <c r="H85" s="30" t="s">
        <v>167</v>
      </c>
    </row>
    <row r="86" spans="2:8" x14ac:dyDescent="0.15">
      <c r="B86" s="8" t="s">
        <v>13</v>
      </c>
      <c r="C86" s="9" t="s">
        <v>72</v>
      </c>
      <c r="D86" s="18">
        <f>15*G81*G88</f>
        <v>6.5311374475074985E-2</v>
      </c>
      <c r="E86" s="12">
        <f>D86*D13</f>
        <v>232.76059503674074</v>
      </c>
      <c r="F86" s="32" t="s">
        <v>165</v>
      </c>
      <c r="G86" s="32">
        <v>7</v>
      </c>
      <c r="H86" s="30" t="s">
        <v>168</v>
      </c>
    </row>
    <row r="87" spans="2:8" ht="21" x14ac:dyDescent="0.15">
      <c r="B87" s="113" t="s">
        <v>48</v>
      </c>
      <c r="C87" s="113"/>
      <c r="D87" s="19">
        <f>SUM(D82:D86)</f>
        <v>0.20812104448178931</v>
      </c>
      <c r="E87" s="15">
        <f>SUM(E82:E86)</f>
        <v>741.7142655868696</v>
      </c>
      <c r="F87" s="32" t="s">
        <v>166</v>
      </c>
      <c r="G87" s="60">
        <f>(3*5%+2*2%+1*2%+1*2%)/360</f>
        <v>6.3888888888888893E-4</v>
      </c>
      <c r="H87" s="30" t="s">
        <v>169</v>
      </c>
    </row>
    <row r="88" spans="2:8" x14ac:dyDescent="0.15">
      <c r="B88" s="8" t="s">
        <v>16</v>
      </c>
      <c r="C88" s="9" t="s">
        <v>73</v>
      </c>
      <c r="D88" s="18">
        <f>D49*D87</f>
        <v>8.2832175703752148E-2</v>
      </c>
      <c r="E88" s="12">
        <f>E87*D49</f>
        <v>295.20227770357411</v>
      </c>
      <c r="F88" s="32" t="s">
        <v>162</v>
      </c>
      <c r="G88" s="58">
        <v>0.08</v>
      </c>
    </row>
    <row r="89" spans="2:8" x14ac:dyDescent="0.15">
      <c r="B89" s="113" t="s">
        <v>42</v>
      </c>
      <c r="C89" s="112"/>
      <c r="D89" s="19">
        <f>SUM(D87:D88)</f>
        <v>0.29095322018554148</v>
      </c>
      <c r="E89" s="15">
        <f>SUM(E87:E88)</f>
        <v>1036.9165432904438</v>
      </c>
    </row>
    <row r="90" spans="2:8" x14ac:dyDescent="0.15">
      <c r="B90" s="2"/>
      <c r="C90" s="2"/>
      <c r="D90" s="2"/>
      <c r="E90" s="2"/>
    </row>
    <row r="91" spans="2:8" x14ac:dyDescent="0.15">
      <c r="B91" s="6" t="s">
        <v>74</v>
      </c>
      <c r="C91" s="2"/>
      <c r="D91" s="2"/>
      <c r="E91" s="2"/>
    </row>
    <row r="92" spans="2:8" x14ac:dyDescent="0.15">
      <c r="B92" s="2"/>
      <c r="C92" s="5"/>
      <c r="D92" s="2"/>
      <c r="E92" s="2"/>
    </row>
    <row r="93" spans="2:8" s="6" customFormat="1" x14ac:dyDescent="0.15">
      <c r="B93" s="49">
        <v>4</v>
      </c>
      <c r="C93" s="49" t="s">
        <v>75</v>
      </c>
      <c r="D93" s="48" t="s">
        <v>34</v>
      </c>
      <c r="E93" s="7" t="s">
        <v>4</v>
      </c>
      <c r="F93" s="32"/>
      <c r="G93" s="32"/>
      <c r="H93" s="30"/>
    </row>
    <row r="94" spans="2:8" x14ac:dyDescent="0.15">
      <c r="B94" s="8" t="s">
        <v>32</v>
      </c>
      <c r="C94" s="9" t="s">
        <v>76</v>
      </c>
      <c r="D94" s="18">
        <f>D58</f>
        <v>0.15533333333333332</v>
      </c>
      <c r="E94" s="12">
        <f>E58</f>
        <v>553.58625333333327</v>
      </c>
    </row>
    <row r="95" spans="2:8" x14ac:dyDescent="0.15">
      <c r="B95" s="8" t="s">
        <v>44</v>
      </c>
      <c r="C95" s="9" t="s">
        <v>33</v>
      </c>
      <c r="D95" s="18">
        <f>D49</f>
        <v>0.39800000000000002</v>
      </c>
      <c r="E95" s="12">
        <f>E49</f>
        <v>1418.4162799999999</v>
      </c>
    </row>
    <row r="96" spans="2:8" x14ac:dyDescent="0.15">
      <c r="B96" s="8" t="s">
        <v>51</v>
      </c>
      <c r="C96" s="9" t="s">
        <v>77</v>
      </c>
      <c r="D96" s="18">
        <f>D66</f>
        <v>1.0502962962962964E-2</v>
      </c>
      <c r="E96" s="12">
        <f>E66</f>
        <v>18.06055625185185</v>
      </c>
    </row>
    <row r="97" spans="2:8" x14ac:dyDescent="0.15">
      <c r="B97" s="8" t="s">
        <v>55</v>
      </c>
      <c r="C97" s="9" t="s">
        <v>78</v>
      </c>
      <c r="D97" s="18">
        <f>D77</f>
        <v>7.4383333333333343E-2</v>
      </c>
      <c r="E97" s="12">
        <f>E77</f>
        <v>265.09178633333335</v>
      </c>
    </row>
    <row r="98" spans="2:8" x14ac:dyDescent="0.15">
      <c r="B98" s="8" t="s">
        <v>66</v>
      </c>
      <c r="C98" s="9" t="s">
        <v>79</v>
      </c>
      <c r="D98" s="18">
        <f>D89</f>
        <v>0.29095322018554148</v>
      </c>
      <c r="E98" s="12">
        <f>E89</f>
        <v>1036.9165432904438</v>
      </c>
    </row>
    <row r="99" spans="2:8" x14ac:dyDescent="0.15">
      <c r="B99" s="8" t="s">
        <v>80</v>
      </c>
      <c r="C99" s="9" t="s">
        <v>18</v>
      </c>
      <c r="D99" s="18">
        <f>D90</f>
        <v>0</v>
      </c>
      <c r="E99" s="12">
        <v>0</v>
      </c>
    </row>
    <row r="100" spans="2:8" x14ac:dyDescent="0.15">
      <c r="B100" s="115" t="s">
        <v>42</v>
      </c>
      <c r="C100" s="116"/>
      <c r="D100" s="19">
        <f>SUM(D94:D99)</f>
        <v>0.92917284981517112</v>
      </c>
      <c r="E100" s="15">
        <f>SUM(E94:E99)</f>
        <v>3292.0714192089622</v>
      </c>
    </row>
    <row r="101" spans="2:8" x14ac:dyDescent="0.15">
      <c r="B101" s="2"/>
      <c r="C101" s="2"/>
      <c r="D101" s="2"/>
      <c r="E101" s="2"/>
    </row>
    <row r="102" spans="2:8" x14ac:dyDescent="0.15">
      <c r="B102" s="117" t="s">
        <v>81</v>
      </c>
      <c r="C102" s="118"/>
      <c r="D102" s="119"/>
      <c r="E102" s="15">
        <f>E100+D34+D25+D13</f>
        <v>8982.1931525422951</v>
      </c>
    </row>
    <row r="103" spans="2:8" x14ac:dyDescent="0.15">
      <c r="B103" s="2"/>
      <c r="C103" s="2"/>
      <c r="D103" s="2"/>
      <c r="E103" s="2"/>
    </row>
    <row r="104" spans="2:8" s="6" customFormat="1" x14ac:dyDescent="0.15">
      <c r="B104" s="6" t="s">
        <v>82</v>
      </c>
      <c r="F104" s="32"/>
      <c r="G104" s="32"/>
      <c r="H104" s="30"/>
    </row>
    <row r="105" spans="2:8" x14ac:dyDescent="0.15">
      <c r="B105" s="2"/>
      <c r="C105" s="5"/>
      <c r="D105" s="2"/>
      <c r="E105" s="2"/>
    </row>
    <row r="106" spans="2:8" x14ac:dyDescent="0.15">
      <c r="B106" s="49">
        <v>5</v>
      </c>
      <c r="C106" s="7" t="s">
        <v>83</v>
      </c>
      <c r="D106" s="48" t="s">
        <v>34</v>
      </c>
      <c r="E106" s="7" t="s">
        <v>4</v>
      </c>
    </row>
    <row r="107" spans="2:8" x14ac:dyDescent="0.15">
      <c r="B107" s="8" t="s">
        <v>5</v>
      </c>
      <c r="C107" s="8" t="s">
        <v>84</v>
      </c>
      <c r="D107" s="11">
        <f>G107</f>
        <v>0.05</v>
      </c>
      <c r="E107" s="12">
        <f>(E100+D34+D25+D13)*D107</f>
        <v>449.10965762711476</v>
      </c>
      <c r="F107" s="32" t="s">
        <v>84</v>
      </c>
      <c r="G107" s="58">
        <v>0.05</v>
      </c>
      <c r="H107" s="30" t="s">
        <v>119</v>
      </c>
    </row>
    <row r="108" spans="2:8" x14ac:dyDescent="0.15">
      <c r="B108" s="8" t="s">
        <v>7</v>
      </c>
      <c r="C108" s="8" t="s">
        <v>85</v>
      </c>
      <c r="D108" s="11">
        <f>G108</f>
        <v>0.1</v>
      </c>
      <c r="E108" s="12">
        <f>(E100+D34+D25+D13+E107)*D108</f>
        <v>943.13028101694113</v>
      </c>
      <c r="F108" s="32" t="s">
        <v>85</v>
      </c>
      <c r="G108" s="58">
        <v>0.1</v>
      </c>
      <c r="H108" s="30" t="s">
        <v>120</v>
      </c>
    </row>
    <row r="109" spans="2:8" x14ac:dyDescent="0.15">
      <c r="B109" s="8" t="s">
        <v>9</v>
      </c>
      <c r="C109" s="8" t="s">
        <v>86</v>
      </c>
      <c r="D109" s="50"/>
      <c r="E109" s="12"/>
    </row>
    <row r="110" spans="2:8" x14ac:dyDescent="0.15">
      <c r="B110" s="8"/>
      <c r="C110" s="8" t="s">
        <v>87</v>
      </c>
      <c r="D110" s="24">
        <f>1-(D111+D113)</f>
        <v>0.85749999999999993</v>
      </c>
      <c r="E110" s="12">
        <f>(E100+D34+D25+D13+E107+E108)/D110</f>
        <v>12098.464246281461</v>
      </c>
      <c r="F110" s="32" t="s">
        <v>155</v>
      </c>
      <c r="G110" s="59">
        <v>7.5999999999999998E-2</v>
      </c>
    </row>
    <row r="111" spans="2:8" x14ac:dyDescent="0.15">
      <c r="B111" s="8"/>
      <c r="C111" s="8" t="s">
        <v>88</v>
      </c>
      <c r="D111" s="11">
        <f>G110+G111</f>
        <v>9.2499999999999999E-2</v>
      </c>
      <c r="E111" s="25">
        <f>D111*E110</f>
        <v>1119.107942781035</v>
      </c>
      <c r="F111" s="32" t="s">
        <v>156</v>
      </c>
      <c r="G111" s="59">
        <v>1.6500000000000001E-2</v>
      </c>
    </row>
    <row r="112" spans="2:8" x14ac:dyDescent="0.15">
      <c r="B112" s="8"/>
      <c r="C112" s="8" t="s">
        <v>89</v>
      </c>
      <c r="D112" s="50"/>
      <c r="E112" s="12"/>
    </row>
    <row r="113" spans="2:8" x14ac:dyDescent="0.15">
      <c r="B113" s="8"/>
      <c r="C113" s="8" t="s">
        <v>90</v>
      </c>
      <c r="D113" s="11">
        <f>G113</f>
        <v>0.05</v>
      </c>
      <c r="E113" s="25">
        <f>E110*D113</f>
        <v>604.92321231407311</v>
      </c>
      <c r="F113" s="32" t="s">
        <v>157</v>
      </c>
      <c r="G113" s="58">
        <v>0.05</v>
      </c>
    </row>
    <row r="114" spans="2:8" x14ac:dyDescent="0.15">
      <c r="B114" s="8"/>
      <c r="C114" s="8" t="s">
        <v>91</v>
      </c>
      <c r="D114" s="50"/>
      <c r="E114" s="12"/>
    </row>
    <row r="115" spans="2:8" x14ac:dyDescent="0.15">
      <c r="B115" s="113" t="s">
        <v>92</v>
      </c>
      <c r="C115" s="113"/>
      <c r="D115" s="113"/>
      <c r="E115" s="15">
        <f>SUM(E107,E111,E113,E108)</f>
        <v>3116.2710937391639</v>
      </c>
    </row>
    <row r="116" spans="2:8" x14ac:dyDescent="0.15">
      <c r="B116" s="2"/>
      <c r="C116" s="2"/>
      <c r="D116" s="2"/>
      <c r="E116" s="2"/>
    </row>
    <row r="117" spans="2:8" x14ac:dyDescent="0.15">
      <c r="B117" s="6" t="s">
        <v>93</v>
      </c>
      <c r="C117" s="2"/>
      <c r="D117" s="2"/>
      <c r="E117" s="2"/>
    </row>
    <row r="118" spans="2:8" x14ac:dyDescent="0.15">
      <c r="B118" s="2"/>
      <c r="D118" s="2"/>
      <c r="E118" s="2"/>
    </row>
    <row r="119" spans="2:8" s="6" customFormat="1" x14ac:dyDescent="0.15">
      <c r="B119" s="7"/>
      <c r="C119" s="113" t="s">
        <v>94</v>
      </c>
      <c r="D119" s="113"/>
      <c r="E119" s="48" t="s">
        <v>95</v>
      </c>
      <c r="F119" s="32"/>
      <c r="G119" s="32"/>
      <c r="H119" s="30"/>
    </row>
    <row r="120" spans="2:8" x14ac:dyDescent="0.15">
      <c r="B120" s="8" t="s">
        <v>5</v>
      </c>
      <c r="C120" s="111" t="s">
        <v>96</v>
      </c>
      <c r="D120" s="111"/>
      <c r="E120" s="26">
        <f>D13</f>
        <v>3563.86</v>
      </c>
    </row>
    <row r="121" spans="2:8" x14ac:dyDescent="0.15">
      <c r="B121" s="8" t="s">
        <v>7</v>
      </c>
      <c r="C121" s="111" t="s">
        <v>97</v>
      </c>
      <c r="D121" s="111"/>
      <c r="E121" s="26">
        <f>D25</f>
        <v>1346.4484</v>
      </c>
    </row>
    <row r="122" spans="2:8" x14ac:dyDescent="0.15">
      <c r="B122" s="27" t="s">
        <v>9</v>
      </c>
      <c r="C122" s="111" t="s">
        <v>98</v>
      </c>
      <c r="D122" s="112"/>
      <c r="E122" s="26">
        <f>D34</f>
        <v>779.81333333333328</v>
      </c>
    </row>
    <row r="123" spans="2:8" x14ac:dyDescent="0.15">
      <c r="B123" s="8" t="s">
        <v>11</v>
      </c>
      <c r="C123" s="47" t="s">
        <v>99</v>
      </c>
      <c r="D123" s="16">
        <f>D49+D58+D66+D77+D89</f>
        <v>0.92917284981517112</v>
      </c>
      <c r="E123" s="26">
        <f>E100</f>
        <v>3292.0714192089622</v>
      </c>
    </row>
    <row r="124" spans="2:8" x14ac:dyDescent="0.15">
      <c r="B124" s="8"/>
      <c r="C124" s="111" t="s">
        <v>100</v>
      </c>
      <c r="D124" s="112"/>
      <c r="E124" s="26">
        <f>SUM(E120:E123)</f>
        <v>8982.1931525422951</v>
      </c>
    </row>
    <row r="125" spans="2:8" x14ac:dyDescent="0.15">
      <c r="B125" s="8" t="s">
        <v>13</v>
      </c>
      <c r="C125" s="111" t="s">
        <v>101</v>
      </c>
      <c r="D125" s="111"/>
      <c r="E125" s="28">
        <f>SUM(E115)</f>
        <v>3116.2710937391639</v>
      </c>
    </row>
    <row r="126" spans="2:8" x14ac:dyDescent="0.15">
      <c r="B126" s="113" t="s">
        <v>102</v>
      </c>
      <c r="C126" s="113"/>
      <c r="D126" s="113"/>
      <c r="E126" s="28">
        <f>SUM(E124+E125)</f>
        <v>12098.464246281459</v>
      </c>
    </row>
    <row r="127" spans="2:8" x14ac:dyDescent="0.15">
      <c r="B127" s="2"/>
      <c r="C127" s="2"/>
      <c r="D127" s="2"/>
      <c r="E127" s="2"/>
    </row>
    <row r="133" spans="2:5" x14ac:dyDescent="0.15">
      <c r="C133" s="33"/>
      <c r="D133" s="33"/>
    </row>
    <row r="134" spans="2:5" x14ac:dyDescent="0.15">
      <c r="C134" s="33"/>
      <c r="D134" s="34"/>
    </row>
    <row r="138" spans="2:5" x14ac:dyDescent="0.15">
      <c r="C138" s="2"/>
      <c r="D138" s="2"/>
    </row>
    <row r="139" spans="2:5" x14ac:dyDescent="0.15">
      <c r="C139" s="2"/>
      <c r="D139" s="2"/>
    </row>
    <row r="140" spans="2:5" x14ac:dyDescent="0.15">
      <c r="C140" s="2"/>
      <c r="D140" s="2"/>
    </row>
    <row r="141" spans="2:5" x14ac:dyDescent="0.15">
      <c r="B141" s="2"/>
      <c r="C141" s="6"/>
      <c r="D141" s="2"/>
      <c r="E141" s="2"/>
    </row>
    <row r="142" spans="2:5" x14ac:dyDescent="0.15">
      <c r="B142" s="2"/>
      <c r="C142" s="6"/>
      <c r="D142" s="2"/>
      <c r="E142" s="2"/>
    </row>
    <row r="143" spans="2:5" x14ac:dyDescent="0.15">
      <c r="B143" s="2"/>
      <c r="C143" s="2"/>
      <c r="D143" s="2"/>
      <c r="E143" s="2"/>
    </row>
    <row r="144" spans="2:5" x14ac:dyDescent="0.15">
      <c r="B144" s="6"/>
      <c r="E144" s="2"/>
    </row>
    <row r="145" spans="2:5" x14ac:dyDescent="0.15">
      <c r="B145" s="6"/>
      <c r="E145" s="2"/>
    </row>
    <row r="146" spans="2:5" x14ac:dyDescent="0.15">
      <c r="B146" s="2"/>
      <c r="E146" s="2"/>
    </row>
  </sheetData>
  <mergeCells count="45">
    <mergeCell ref="D8:E8"/>
    <mergeCell ref="D9:E9"/>
    <mergeCell ref="D10:E10"/>
    <mergeCell ref="D11:E11"/>
    <mergeCell ref="D12:E12"/>
    <mergeCell ref="B1:E1"/>
    <mergeCell ref="D4:E4"/>
    <mergeCell ref="D5:E5"/>
    <mergeCell ref="D6:E6"/>
    <mergeCell ref="D7:E7"/>
    <mergeCell ref="D21:E21"/>
    <mergeCell ref="D22:E22"/>
    <mergeCell ref="D23:E23"/>
    <mergeCell ref="D24:E24"/>
    <mergeCell ref="D25:E25"/>
    <mergeCell ref="D13:E13"/>
    <mergeCell ref="D17:E17"/>
    <mergeCell ref="D18:E18"/>
    <mergeCell ref="D19:E19"/>
    <mergeCell ref="D20:E20"/>
    <mergeCell ref="B27:C27"/>
    <mergeCell ref="D30:E30"/>
    <mergeCell ref="D31:E31"/>
    <mergeCell ref="D32:E32"/>
    <mergeCell ref="D33:E33"/>
    <mergeCell ref="D29:E29"/>
    <mergeCell ref="B34:C34"/>
    <mergeCell ref="D34:E34"/>
    <mergeCell ref="C120:D120"/>
    <mergeCell ref="B49:C49"/>
    <mergeCell ref="B56:C56"/>
    <mergeCell ref="B58:C58"/>
    <mergeCell ref="B66:C66"/>
    <mergeCell ref="B77:C77"/>
    <mergeCell ref="B87:C87"/>
    <mergeCell ref="B89:C89"/>
    <mergeCell ref="B100:C100"/>
    <mergeCell ref="B102:D102"/>
    <mergeCell ref="B115:D115"/>
    <mergeCell ref="C119:D119"/>
    <mergeCell ref="C121:D121"/>
    <mergeCell ref="C122:D122"/>
    <mergeCell ref="C124:D124"/>
    <mergeCell ref="C125:D125"/>
    <mergeCell ref="B126:D126"/>
  </mergeCells>
  <pageMargins left="0.98425196850393704" right="0.51181102362204722" top="0.74803149606299213" bottom="0.74803149606299213" header="0.31496062992125984" footer="0.31496062992125984"/>
  <pageSetup paperSize="9" scale="67" orientation="portrait" verticalDpi="597" r:id="rId1"/>
  <rowBreaks count="1" manualBreakCount="1">
    <brk id="6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6"/>
  <sheetViews>
    <sheetView zoomScaleNormal="100" zoomScaleSheetLayoutView="100" workbookViewId="0">
      <selection activeCell="D6" sqref="D6:E6"/>
    </sheetView>
  </sheetViews>
  <sheetFormatPr defaultRowHeight="11.25" x14ac:dyDescent="0.15"/>
  <cols>
    <col min="1" max="1" width="9.140625" style="3"/>
    <col min="2" max="2" width="5.7109375" style="3" customWidth="1"/>
    <col min="3" max="3" width="53.5703125" style="3" customWidth="1"/>
    <col min="4" max="4" width="10.7109375" style="3" customWidth="1"/>
    <col min="5" max="5" width="13.28515625" style="3" bestFit="1" customWidth="1"/>
    <col min="6" max="6" width="16.42578125" style="32" customWidth="1"/>
    <col min="7" max="7" width="6" style="32" customWidth="1"/>
    <col min="8" max="8" width="34.5703125" style="30" customWidth="1"/>
    <col min="9" max="257" width="8.85546875" style="3"/>
    <col min="258" max="258" width="5.7109375" style="3" customWidth="1"/>
    <col min="259" max="259" width="62.7109375" style="3" customWidth="1"/>
    <col min="260" max="260" width="12.42578125" style="3" customWidth="1"/>
    <col min="261" max="261" width="18" style="3" customWidth="1"/>
    <col min="262" max="262" width="59.7109375" style="3" customWidth="1"/>
    <col min="263" max="263" width="16.140625" style="3" customWidth="1"/>
    <col min="264" max="264" width="18.5703125" style="3" bestFit="1" customWidth="1"/>
    <col min="265" max="513" width="8.85546875" style="3"/>
    <col min="514" max="514" width="5.7109375" style="3" customWidth="1"/>
    <col min="515" max="515" width="62.7109375" style="3" customWidth="1"/>
    <col min="516" max="516" width="12.42578125" style="3" customWidth="1"/>
    <col min="517" max="517" width="18" style="3" customWidth="1"/>
    <col min="518" max="518" width="59.7109375" style="3" customWidth="1"/>
    <col min="519" max="519" width="16.140625" style="3" customWidth="1"/>
    <col min="520" max="520" width="18.5703125" style="3" bestFit="1" customWidth="1"/>
    <col min="521" max="769" width="8.85546875" style="3"/>
    <col min="770" max="770" width="5.7109375" style="3" customWidth="1"/>
    <col min="771" max="771" width="62.7109375" style="3" customWidth="1"/>
    <col min="772" max="772" width="12.42578125" style="3" customWidth="1"/>
    <col min="773" max="773" width="18" style="3" customWidth="1"/>
    <col min="774" max="774" width="59.7109375" style="3" customWidth="1"/>
    <col min="775" max="775" width="16.140625" style="3" customWidth="1"/>
    <col min="776" max="776" width="18.5703125" style="3" bestFit="1" customWidth="1"/>
    <col min="777" max="1025" width="8.85546875" style="3"/>
    <col min="1026" max="1026" width="5.7109375" style="3" customWidth="1"/>
    <col min="1027" max="1027" width="62.7109375" style="3" customWidth="1"/>
    <col min="1028" max="1028" width="12.42578125" style="3" customWidth="1"/>
    <col min="1029" max="1029" width="18" style="3" customWidth="1"/>
    <col min="1030" max="1030" width="59.7109375" style="3" customWidth="1"/>
    <col min="1031" max="1031" width="16.140625" style="3" customWidth="1"/>
    <col min="1032" max="1032" width="18.5703125" style="3" bestFit="1" customWidth="1"/>
    <col min="1033" max="1281" width="8.85546875" style="3"/>
    <col min="1282" max="1282" width="5.7109375" style="3" customWidth="1"/>
    <col min="1283" max="1283" width="62.7109375" style="3" customWidth="1"/>
    <col min="1284" max="1284" width="12.42578125" style="3" customWidth="1"/>
    <col min="1285" max="1285" width="18" style="3" customWidth="1"/>
    <col min="1286" max="1286" width="59.7109375" style="3" customWidth="1"/>
    <col min="1287" max="1287" width="16.140625" style="3" customWidth="1"/>
    <col min="1288" max="1288" width="18.5703125" style="3" bestFit="1" customWidth="1"/>
    <col min="1289" max="1537" width="8.85546875" style="3"/>
    <col min="1538" max="1538" width="5.7109375" style="3" customWidth="1"/>
    <col min="1539" max="1539" width="62.7109375" style="3" customWidth="1"/>
    <col min="1540" max="1540" width="12.42578125" style="3" customWidth="1"/>
    <col min="1541" max="1541" width="18" style="3" customWidth="1"/>
    <col min="1542" max="1542" width="59.7109375" style="3" customWidth="1"/>
    <col min="1543" max="1543" width="16.140625" style="3" customWidth="1"/>
    <col min="1544" max="1544" width="18.5703125" style="3" bestFit="1" customWidth="1"/>
    <col min="1545" max="1793" width="8.85546875" style="3"/>
    <col min="1794" max="1794" width="5.7109375" style="3" customWidth="1"/>
    <col min="1795" max="1795" width="62.7109375" style="3" customWidth="1"/>
    <col min="1796" max="1796" width="12.42578125" style="3" customWidth="1"/>
    <col min="1797" max="1797" width="18" style="3" customWidth="1"/>
    <col min="1798" max="1798" width="59.7109375" style="3" customWidth="1"/>
    <col min="1799" max="1799" width="16.140625" style="3" customWidth="1"/>
    <col min="1800" max="1800" width="18.5703125" style="3" bestFit="1" customWidth="1"/>
    <col min="1801" max="2049" width="8.85546875" style="3"/>
    <col min="2050" max="2050" width="5.7109375" style="3" customWidth="1"/>
    <col min="2051" max="2051" width="62.7109375" style="3" customWidth="1"/>
    <col min="2052" max="2052" width="12.42578125" style="3" customWidth="1"/>
    <col min="2053" max="2053" width="18" style="3" customWidth="1"/>
    <col min="2054" max="2054" width="59.7109375" style="3" customWidth="1"/>
    <col min="2055" max="2055" width="16.140625" style="3" customWidth="1"/>
    <col min="2056" max="2056" width="18.5703125" style="3" bestFit="1" customWidth="1"/>
    <col min="2057" max="2305" width="8.85546875" style="3"/>
    <col min="2306" max="2306" width="5.7109375" style="3" customWidth="1"/>
    <col min="2307" max="2307" width="62.7109375" style="3" customWidth="1"/>
    <col min="2308" max="2308" width="12.42578125" style="3" customWidth="1"/>
    <col min="2309" max="2309" width="18" style="3" customWidth="1"/>
    <col min="2310" max="2310" width="59.7109375" style="3" customWidth="1"/>
    <col min="2311" max="2311" width="16.140625" style="3" customWidth="1"/>
    <col min="2312" max="2312" width="18.5703125" style="3" bestFit="1" customWidth="1"/>
    <col min="2313" max="2561" width="8.85546875" style="3"/>
    <col min="2562" max="2562" width="5.7109375" style="3" customWidth="1"/>
    <col min="2563" max="2563" width="62.7109375" style="3" customWidth="1"/>
    <col min="2564" max="2564" width="12.42578125" style="3" customWidth="1"/>
    <col min="2565" max="2565" width="18" style="3" customWidth="1"/>
    <col min="2566" max="2566" width="59.7109375" style="3" customWidth="1"/>
    <col min="2567" max="2567" width="16.140625" style="3" customWidth="1"/>
    <col min="2568" max="2568" width="18.5703125" style="3" bestFit="1" customWidth="1"/>
    <col min="2569" max="2817" width="8.85546875" style="3"/>
    <col min="2818" max="2818" width="5.7109375" style="3" customWidth="1"/>
    <col min="2819" max="2819" width="62.7109375" style="3" customWidth="1"/>
    <col min="2820" max="2820" width="12.42578125" style="3" customWidth="1"/>
    <col min="2821" max="2821" width="18" style="3" customWidth="1"/>
    <col min="2822" max="2822" width="59.7109375" style="3" customWidth="1"/>
    <col min="2823" max="2823" width="16.140625" style="3" customWidth="1"/>
    <col min="2824" max="2824" width="18.5703125" style="3" bestFit="1" customWidth="1"/>
    <col min="2825" max="3073" width="8.85546875" style="3"/>
    <col min="3074" max="3074" width="5.7109375" style="3" customWidth="1"/>
    <col min="3075" max="3075" width="62.7109375" style="3" customWidth="1"/>
    <col min="3076" max="3076" width="12.42578125" style="3" customWidth="1"/>
    <col min="3077" max="3077" width="18" style="3" customWidth="1"/>
    <col min="3078" max="3078" width="59.7109375" style="3" customWidth="1"/>
    <col min="3079" max="3079" width="16.140625" style="3" customWidth="1"/>
    <col min="3080" max="3080" width="18.5703125" style="3" bestFit="1" customWidth="1"/>
    <col min="3081" max="3329" width="8.85546875" style="3"/>
    <col min="3330" max="3330" width="5.7109375" style="3" customWidth="1"/>
    <col min="3331" max="3331" width="62.7109375" style="3" customWidth="1"/>
    <col min="3332" max="3332" width="12.42578125" style="3" customWidth="1"/>
    <col min="3333" max="3333" width="18" style="3" customWidth="1"/>
    <col min="3334" max="3334" width="59.7109375" style="3" customWidth="1"/>
    <col min="3335" max="3335" width="16.140625" style="3" customWidth="1"/>
    <col min="3336" max="3336" width="18.5703125" style="3" bestFit="1" customWidth="1"/>
    <col min="3337" max="3585" width="8.85546875" style="3"/>
    <col min="3586" max="3586" width="5.7109375" style="3" customWidth="1"/>
    <col min="3587" max="3587" width="62.7109375" style="3" customWidth="1"/>
    <col min="3588" max="3588" width="12.42578125" style="3" customWidth="1"/>
    <col min="3589" max="3589" width="18" style="3" customWidth="1"/>
    <col min="3590" max="3590" width="59.7109375" style="3" customWidth="1"/>
    <col min="3591" max="3591" width="16.140625" style="3" customWidth="1"/>
    <col min="3592" max="3592" width="18.5703125" style="3" bestFit="1" customWidth="1"/>
    <col min="3593" max="3841" width="8.85546875" style="3"/>
    <col min="3842" max="3842" width="5.7109375" style="3" customWidth="1"/>
    <col min="3843" max="3843" width="62.7109375" style="3" customWidth="1"/>
    <col min="3844" max="3844" width="12.42578125" style="3" customWidth="1"/>
    <col min="3845" max="3845" width="18" style="3" customWidth="1"/>
    <col min="3846" max="3846" width="59.7109375" style="3" customWidth="1"/>
    <col min="3847" max="3847" width="16.140625" style="3" customWidth="1"/>
    <col min="3848" max="3848" width="18.5703125" style="3" bestFit="1" customWidth="1"/>
    <col min="3849" max="4097" width="8.85546875" style="3"/>
    <col min="4098" max="4098" width="5.7109375" style="3" customWidth="1"/>
    <col min="4099" max="4099" width="62.7109375" style="3" customWidth="1"/>
    <col min="4100" max="4100" width="12.42578125" style="3" customWidth="1"/>
    <col min="4101" max="4101" width="18" style="3" customWidth="1"/>
    <col min="4102" max="4102" width="59.7109375" style="3" customWidth="1"/>
    <col min="4103" max="4103" width="16.140625" style="3" customWidth="1"/>
    <col min="4104" max="4104" width="18.5703125" style="3" bestFit="1" customWidth="1"/>
    <col min="4105" max="4353" width="8.85546875" style="3"/>
    <col min="4354" max="4354" width="5.7109375" style="3" customWidth="1"/>
    <col min="4355" max="4355" width="62.7109375" style="3" customWidth="1"/>
    <col min="4356" max="4356" width="12.42578125" style="3" customWidth="1"/>
    <col min="4357" max="4357" width="18" style="3" customWidth="1"/>
    <col min="4358" max="4358" width="59.7109375" style="3" customWidth="1"/>
    <col min="4359" max="4359" width="16.140625" style="3" customWidth="1"/>
    <col min="4360" max="4360" width="18.5703125" style="3" bestFit="1" customWidth="1"/>
    <col min="4361" max="4609" width="8.85546875" style="3"/>
    <col min="4610" max="4610" width="5.7109375" style="3" customWidth="1"/>
    <col min="4611" max="4611" width="62.7109375" style="3" customWidth="1"/>
    <col min="4612" max="4612" width="12.42578125" style="3" customWidth="1"/>
    <col min="4613" max="4613" width="18" style="3" customWidth="1"/>
    <col min="4614" max="4614" width="59.7109375" style="3" customWidth="1"/>
    <col min="4615" max="4615" width="16.140625" style="3" customWidth="1"/>
    <col min="4616" max="4616" width="18.5703125" style="3" bestFit="1" customWidth="1"/>
    <col min="4617" max="4865" width="8.85546875" style="3"/>
    <col min="4866" max="4866" width="5.7109375" style="3" customWidth="1"/>
    <col min="4867" max="4867" width="62.7109375" style="3" customWidth="1"/>
    <col min="4868" max="4868" width="12.42578125" style="3" customWidth="1"/>
    <col min="4869" max="4869" width="18" style="3" customWidth="1"/>
    <col min="4870" max="4870" width="59.7109375" style="3" customWidth="1"/>
    <col min="4871" max="4871" width="16.140625" style="3" customWidth="1"/>
    <col min="4872" max="4872" width="18.5703125" style="3" bestFit="1" customWidth="1"/>
    <col min="4873" max="5121" width="8.85546875" style="3"/>
    <col min="5122" max="5122" width="5.7109375" style="3" customWidth="1"/>
    <col min="5123" max="5123" width="62.7109375" style="3" customWidth="1"/>
    <col min="5124" max="5124" width="12.42578125" style="3" customWidth="1"/>
    <col min="5125" max="5125" width="18" style="3" customWidth="1"/>
    <col min="5126" max="5126" width="59.7109375" style="3" customWidth="1"/>
    <col min="5127" max="5127" width="16.140625" style="3" customWidth="1"/>
    <col min="5128" max="5128" width="18.5703125" style="3" bestFit="1" customWidth="1"/>
    <col min="5129" max="5377" width="8.85546875" style="3"/>
    <col min="5378" max="5378" width="5.7109375" style="3" customWidth="1"/>
    <col min="5379" max="5379" width="62.7109375" style="3" customWidth="1"/>
    <col min="5380" max="5380" width="12.42578125" style="3" customWidth="1"/>
    <col min="5381" max="5381" width="18" style="3" customWidth="1"/>
    <col min="5382" max="5382" width="59.7109375" style="3" customWidth="1"/>
    <col min="5383" max="5383" width="16.140625" style="3" customWidth="1"/>
    <col min="5384" max="5384" width="18.5703125" style="3" bestFit="1" customWidth="1"/>
    <col min="5385" max="5633" width="8.85546875" style="3"/>
    <col min="5634" max="5634" width="5.7109375" style="3" customWidth="1"/>
    <col min="5635" max="5635" width="62.7109375" style="3" customWidth="1"/>
    <col min="5636" max="5636" width="12.42578125" style="3" customWidth="1"/>
    <col min="5637" max="5637" width="18" style="3" customWidth="1"/>
    <col min="5638" max="5638" width="59.7109375" style="3" customWidth="1"/>
    <col min="5639" max="5639" width="16.140625" style="3" customWidth="1"/>
    <col min="5640" max="5640" width="18.5703125" style="3" bestFit="1" customWidth="1"/>
    <col min="5641" max="5889" width="8.85546875" style="3"/>
    <col min="5890" max="5890" width="5.7109375" style="3" customWidth="1"/>
    <col min="5891" max="5891" width="62.7109375" style="3" customWidth="1"/>
    <col min="5892" max="5892" width="12.42578125" style="3" customWidth="1"/>
    <col min="5893" max="5893" width="18" style="3" customWidth="1"/>
    <col min="5894" max="5894" width="59.7109375" style="3" customWidth="1"/>
    <col min="5895" max="5895" width="16.140625" style="3" customWidth="1"/>
    <col min="5896" max="5896" width="18.5703125" style="3" bestFit="1" customWidth="1"/>
    <col min="5897" max="6145" width="8.85546875" style="3"/>
    <col min="6146" max="6146" width="5.7109375" style="3" customWidth="1"/>
    <col min="6147" max="6147" width="62.7109375" style="3" customWidth="1"/>
    <col min="6148" max="6148" width="12.42578125" style="3" customWidth="1"/>
    <col min="6149" max="6149" width="18" style="3" customWidth="1"/>
    <col min="6150" max="6150" width="59.7109375" style="3" customWidth="1"/>
    <col min="6151" max="6151" width="16.140625" style="3" customWidth="1"/>
    <col min="6152" max="6152" width="18.5703125" style="3" bestFit="1" customWidth="1"/>
    <col min="6153" max="6401" width="8.85546875" style="3"/>
    <col min="6402" max="6402" width="5.7109375" style="3" customWidth="1"/>
    <col min="6403" max="6403" width="62.7109375" style="3" customWidth="1"/>
    <col min="6404" max="6404" width="12.42578125" style="3" customWidth="1"/>
    <col min="6405" max="6405" width="18" style="3" customWidth="1"/>
    <col min="6406" max="6406" width="59.7109375" style="3" customWidth="1"/>
    <col min="6407" max="6407" width="16.140625" style="3" customWidth="1"/>
    <col min="6408" max="6408" width="18.5703125" style="3" bestFit="1" customWidth="1"/>
    <col min="6409" max="6657" width="8.85546875" style="3"/>
    <col min="6658" max="6658" width="5.7109375" style="3" customWidth="1"/>
    <col min="6659" max="6659" width="62.7109375" style="3" customWidth="1"/>
    <col min="6660" max="6660" width="12.42578125" style="3" customWidth="1"/>
    <col min="6661" max="6661" width="18" style="3" customWidth="1"/>
    <col min="6662" max="6662" width="59.7109375" style="3" customWidth="1"/>
    <col min="6663" max="6663" width="16.140625" style="3" customWidth="1"/>
    <col min="6664" max="6664" width="18.5703125" style="3" bestFit="1" customWidth="1"/>
    <col min="6665" max="6913" width="8.85546875" style="3"/>
    <col min="6914" max="6914" width="5.7109375" style="3" customWidth="1"/>
    <col min="6915" max="6915" width="62.7109375" style="3" customWidth="1"/>
    <col min="6916" max="6916" width="12.42578125" style="3" customWidth="1"/>
    <col min="6917" max="6917" width="18" style="3" customWidth="1"/>
    <col min="6918" max="6918" width="59.7109375" style="3" customWidth="1"/>
    <col min="6919" max="6919" width="16.140625" style="3" customWidth="1"/>
    <col min="6920" max="6920" width="18.5703125" style="3" bestFit="1" customWidth="1"/>
    <col min="6921" max="7169" width="8.85546875" style="3"/>
    <col min="7170" max="7170" width="5.7109375" style="3" customWidth="1"/>
    <col min="7171" max="7171" width="62.7109375" style="3" customWidth="1"/>
    <col min="7172" max="7172" width="12.42578125" style="3" customWidth="1"/>
    <col min="7173" max="7173" width="18" style="3" customWidth="1"/>
    <col min="7174" max="7174" width="59.7109375" style="3" customWidth="1"/>
    <col min="7175" max="7175" width="16.140625" style="3" customWidth="1"/>
    <col min="7176" max="7176" width="18.5703125" style="3" bestFit="1" customWidth="1"/>
    <col min="7177" max="7425" width="8.85546875" style="3"/>
    <col min="7426" max="7426" width="5.7109375" style="3" customWidth="1"/>
    <col min="7427" max="7427" width="62.7109375" style="3" customWidth="1"/>
    <col min="7428" max="7428" width="12.42578125" style="3" customWidth="1"/>
    <col min="7429" max="7429" width="18" style="3" customWidth="1"/>
    <col min="7430" max="7430" width="59.7109375" style="3" customWidth="1"/>
    <col min="7431" max="7431" width="16.140625" style="3" customWidth="1"/>
    <col min="7432" max="7432" width="18.5703125" style="3" bestFit="1" customWidth="1"/>
    <col min="7433" max="7681" width="8.85546875" style="3"/>
    <col min="7682" max="7682" width="5.7109375" style="3" customWidth="1"/>
    <col min="7683" max="7683" width="62.7109375" style="3" customWidth="1"/>
    <col min="7684" max="7684" width="12.42578125" style="3" customWidth="1"/>
    <col min="7685" max="7685" width="18" style="3" customWidth="1"/>
    <col min="7686" max="7686" width="59.7109375" style="3" customWidth="1"/>
    <col min="7687" max="7687" width="16.140625" style="3" customWidth="1"/>
    <col min="7688" max="7688" width="18.5703125" style="3" bestFit="1" customWidth="1"/>
    <col min="7689" max="7937" width="8.85546875" style="3"/>
    <col min="7938" max="7938" width="5.7109375" style="3" customWidth="1"/>
    <col min="7939" max="7939" width="62.7109375" style="3" customWidth="1"/>
    <col min="7940" max="7940" width="12.42578125" style="3" customWidth="1"/>
    <col min="7941" max="7941" width="18" style="3" customWidth="1"/>
    <col min="7942" max="7942" width="59.7109375" style="3" customWidth="1"/>
    <col min="7943" max="7943" width="16.140625" style="3" customWidth="1"/>
    <col min="7944" max="7944" width="18.5703125" style="3" bestFit="1" customWidth="1"/>
    <col min="7945" max="8193" width="8.85546875" style="3"/>
    <col min="8194" max="8194" width="5.7109375" style="3" customWidth="1"/>
    <col min="8195" max="8195" width="62.7109375" style="3" customWidth="1"/>
    <col min="8196" max="8196" width="12.42578125" style="3" customWidth="1"/>
    <col min="8197" max="8197" width="18" style="3" customWidth="1"/>
    <col min="8198" max="8198" width="59.7109375" style="3" customWidth="1"/>
    <col min="8199" max="8199" width="16.140625" style="3" customWidth="1"/>
    <col min="8200" max="8200" width="18.5703125" style="3" bestFit="1" customWidth="1"/>
    <col min="8201" max="8449" width="8.85546875" style="3"/>
    <col min="8450" max="8450" width="5.7109375" style="3" customWidth="1"/>
    <col min="8451" max="8451" width="62.7109375" style="3" customWidth="1"/>
    <col min="8452" max="8452" width="12.42578125" style="3" customWidth="1"/>
    <col min="8453" max="8453" width="18" style="3" customWidth="1"/>
    <col min="8454" max="8454" width="59.7109375" style="3" customWidth="1"/>
    <col min="8455" max="8455" width="16.140625" style="3" customWidth="1"/>
    <col min="8456" max="8456" width="18.5703125" style="3" bestFit="1" customWidth="1"/>
    <col min="8457" max="8705" width="8.85546875" style="3"/>
    <col min="8706" max="8706" width="5.7109375" style="3" customWidth="1"/>
    <col min="8707" max="8707" width="62.7109375" style="3" customWidth="1"/>
    <col min="8708" max="8708" width="12.42578125" style="3" customWidth="1"/>
    <col min="8709" max="8709" width="18" style="3" customWidth="1"/>
    <col min="8710" max="8710" width="59.7109375" style="3" customWidth="1"/>
    <col min="8711" max="8711" width="16.140625" style="3" customWidth="1"/>
    <col min="8712" max="8712" width="18.5703125" style="3" bestFit="1" customWidth="1"/>
    <col min="8713" max="8961" width="8.85546875" style="3"/>
    <col min="8962" max="8962" width="5.7109375" style="3" customWidth="1"/>
    <col min="8963" max="8963" width="62.7109375" style="3" customWidth="1"/>
    <col min="8964" max="8964" width="12.42578125" style="3" customWidth="1"/>
    <col min="8965" max="8965" width="18" style="3" customWidth="1"/>
    <col min="8966" max="8966" width="59.7109375" style="3" customWidth="1"/>
    <col min="8967" max="8967" width="16.140625" style="3" customWidth="1"/>
    <col min="8968" max="8968" width="18.5703125" style="3" bestFit="1" customWidth="1"/>
    <col min="8969" max="9217" width="8.85546875" style="3"/>
    <col min="9218" max="9218" width="5.7109375" style="3" customWidth="1"/>
    <col min="9219" max="9219" width="62.7109375" style="3" customWidth="1"/>
    <col min="9220" max="9220" width="12.42578125" style="3" customWidth="1"/>
    <col min="9221" max="9221" width="18" style="3" customWidth="1"/>
    <col min="9222" max="9222" width="59.7109375" style="3" customWidth="1"/>
    <col min="9223" max="9223" width="16.140625" style="3" customWidth="1"/>
    <col min="9224" max="9224" width="18.5703125" style="3" bestFit="1" customWidth="1"/>
    <col min="9225" max="9473" width="8.85546875" style="3"/>
    <col min="9474" max="9474" width="5.7109375" style="3" customWidth="1"/>
    <col min="9475" max="9475" width="62.7109375" style="3" customWidth="1"/>
    <col min="9476" max="9476" width="12.42578125" style="3" customWidth="1"/>
    <col min="9477" max="9477" width="18" style="3" customWidth="1"/>
    <col min="9478" max="9478" width="59.7109375" style="3" customWidth="1"/>
    <col min="9479" max="9479" width="16.140625" style="3" customWidth="1"/>
    <col min="9480" max="9480" width="18.5703125" style="3" bestFit="1" customWidth="1"/>
    <col min="9481" max="9729" width="8.85546875" style="3"/>
    <col min="9730" max="9730" width="5.7109375" style="3" customWidth="1"/>
    <col min="9731" max="9731" width="62.7109375" style="3" customWidth="1"/>
    <col min="9732" max="9732" width="12.42578125" style="3" customWidth="1"/>
    <col min="9733" max="9733" width="18" style="3" customWidth="1"/>
    <col min="9734" max="9734" width="59.7109375" style="3" customWidth="1"/>
    <col min="9735" max="9735" width="16.140625" style="3" customWidth="1"/>
    <col min="9736" max="9736" width="18.5703125" style="3" bestFit="1" customWidth="1"/>
    <col min="9737" max="9985" width="8.85546875" style="3"/>
    <col min="9986" max="9986" width="5.7109375" style="3" customWidth="1"/>
    <col min="9987" max="9987" width="62.7109375" style="3" customWidth="1"/>
    <col min="9988" max="9988" width="12.42578125" style="3" customWidth="1"/>
    <col min="9989" max="9989" width="18" style="3" customWidth="1"/>
    <col min="9990" max="9990" width="59.7109375" style="3" customWidth="1"/>
    <col min="9991" max="9991" width="16.140625" style="3" customWidth="1"/>
    <col min="9992" max="9992" width="18.5703125" style="3" bestFit="1" customWidth="1"/>
    <col min="9993" max="10241" width="8.85546875" style="3"/>
    <col min="10242" max="10242" width="5.7109375" style="3" customWidth="1"/>
    <col min="10243" max="10243" width="62.7109375" style="3" customWidth="1"/>
    <col min="10244" max="10244" width="12.42578125" style="3" customWidth="1"/>
    <col min="10245" max="10245" width="18" style="3" customWidth="1"/>
    <col min="10246" max="10246" width="59.7109375" style="3" customWidth="1"/>
    <col min="10247" max="10247" width="16.140625" style="3" customWidth="1"/>
    <col min="10248" max="10248" width="18.5703125" style="3" bestFit="1" customWidth="1"/>
    <col min="10249" max="10497" width="8.85546875" style="3"/>
    <col min="10498" max="10498" width="5.7109375" style="3" customWidth="1"/>
    <col min="10499" max="10499" width="62.7109375" style="3" customWidth="1"/>
    <col min="10500" max="10500" width="12.42578125" style="3" customWidth="1"/>
    <col min="10501" max="10501" width="18" style="3" customWidth="1"/>
    <col min="10502" max="10502" width="59.7109375" style="3" customWidth="1"/>
    <col min="10503" max="10503" width="16.140625" style="3" customWidth="1"/>
    <col min="10504" max="10504" width="18.5703125" style="3" bestFit="1" customWidth="1"/>
    <col min="10505" max="10753" width="8.85546875" style="3"/>
    <col min="10754" max="10754" width="5.7109375" style="3" customWidth="1"/>
    <col min="10755" max="10755" width="62.7109375" style="3" customWidth="1"/>
    <col min="10756" max="10756" width="12.42578125" style="3" customWidth="1"/>
    <col min="10757" max="10757" width="18" style="3" customWidth="1"/>
    <col min="10758" max="10758" width="59.7109375" style="3" customWidth="1"/>
    <col min="10759" max="10759" width="16.140625" style="3" customWidth="1"/>
    <col min="10760" max="10760" width="18.5703125" style="3" bestFit="1" customWidth="1"/>
    <col min="10761" max="11009" width="8.85546875" style="3"/>
    <col min="11010" max="11010" width="5.7109375" style="3" customWidth="1"/>
    <col min="11011" max="11011" width="62.7109375" style="3" customWidth="1"/>
    <col min="11012" max="11012" width="12.42578125" style="3" customWidth="1"/>
    <col min="11013" max="11013" width="18" style="3" customWidth="1"/>
    <col min="11014" max="11014" width="59.7109375" style="3" customWidth="1"/>
    <col min="11015" max="11015" width="16.140625" style="3" customWidth="1"/>
    <col min="11016" max="11016" width="18.5703125" style="3" bestFit="1" customWidth="1"/>
    <col min="11017" max="11265" width="8.85546875" style="3"/>
    <col min="11266" max="11266" width="5.7109375" style="3" customWidth="1"/>
    <col min="11267" max="11267" width="62.7109375" style="3" customWidth="1"/>
    <col min="11268" max="11268" width="12.42578125" style="3" customWidth="1"/>
    <col min="11269" max="11269" width="18" style="3" customWidth="1"/>
    <col min="11270" max="11270" width="59.7109375" style="3" customWidth="1"/>
    <col min="11271" max="11271" width="16.140625" style="3" customWidth="1"/>
    <col min="11272" max="11272" width="18.5703125" style="3" bestFit="1" customWidth="1"/>
    <col min="11273" max="11521" width="8.85546875" style="3"/>
    <col min="11522" max="11522" width="5.7109375" style="3" customWidth="1"/>
    <col min="11523" max="11523" width="62.7109375" style="3" customWidth="1"/>
    <col min="11524" max="11524" width="12.42578125" style="3" customWidth="1"/>
    <col min="11525" max="11525" width="18" style="3" customWidth="1"/>
    <col min="11526" max="11526" width="59.7109375" style="3" customWidth="1"/>
    <col min="11527" max="11527" width="16.140625" style="3" customWidth="1"/>
    <col min="11528" max="11528" width="18.5703125" style="3" bestFit="1" customWidth="1"/>
    <col min="11529" max="11777" width="8.85546875" style="3"/>
    <col min="11778" max="11778" width="5.7109375" style="3" customWidth="1"/>
    <col min="11779" max="11779" width="62.7109375" style="3" customWidth="1"/>
    <col min="11780" max="11780" width="12.42578125" style="3" customWidth="1"/>
    <col min="11781" max="11781" width="18" style="3" customWidth="1"/>
    <col min="11782" max="11782" width="59.7109375" style="3" customWidth="1"/>
    <col min="11783" max="11783" width="16.140625" style="3" customWidth="1"/>
    <col min="11784" max="11784" width="18.5703125" style="3" bestFit="1" customWidth="1"/>
    <col min="11785" max="12033" width="8.85546875" style="3"/>
    <col min="12034" max="12034" width="5.7109375" style="3" customWidth="1"/>
    <col min="12035" max="12035" width="62.7109375" style="3" customWidth="1"/>
    <col min="12036" max="12036" width="12.42578125" style="3" customWidth="1"/>
    <col min="12037" max="12037" width="18" style="3" customWidth="1"/>
    <col min="12038" max="12038" width="59.7109375" style="3" customWidth="1"/>
    <col min="12039" max="12039" width="16.140625" style="3" customWidth="1"/>
    <col min="12040" max="12040" width="18.5703125" style="3" bestFit="1" customWidth="1"/>
    <col min="12041" max="12289" width="8.85546875" style="3"/>
    <col min="12290" max="12290" width="5.7109375" style="3" customWidth="1"/>
    <col min="12291" max="12291" width="62.7109375" style="3" customWidth="1"/>
    <col min="12292" max="12292" width="12.42578125" style="3" customWidth="1"/>
    <col min="12293" max="12293" width="18" style="3" customWidth="1"/>
    <col min="12294" max="12294" width="59.7109375" style="3" customWidth="1"/>
    <col min="12295" max="12295" width="16.140625" style="3" customWidth="1"/>
    <col min="12296" max="12296" width="18.5703125" style="3" bestFit="1" customWidth="1"/>
    <col min="12297" max="12545" width="8.85546875" style="3"/>
    <col min="12546" max="12546" width="5.7109375" style="3" customWidth="1"/>
    <col min="12547" max="12547" width="62.7109375" style="3" customWidth="1"/>
    <col min="12548" max="12548" width="12.42578125" style="3" customWidth="1"/>
    <col min="12549" max="12549" width="18" style="3" customWidth="1"/>
    <col min="12550" max="12550" width="59.7109375" style="3" customWidth="1"/>
    <col min="12551" max="12551" width="16.140625" style="3" customWidth="1"/>
    <col min="12552" max="12552" width="18.5703125" style="3" bestFit="1" customWidth="1"/>
    <col min="12553" max="12801" width="8.85546875" style="3"/>
    <col min="12802" max="12802" width="5.7109375" style="3" customWidth="1"/>
    <col min="12803" max="12803" width="62.7109375" style="3" customWidth="1"/>
    <col min="12804" max="12804" width="12.42578125" style="3" customWidth="1"/>
    <col min="12805" max="12805" width="18" style="3" customWidth="1"/>
    <col min="12806" max="12806" width="59.7109375" style="3" customWidth="1"/>
    <col min="12807" max="12807" width="16.140625" style="3" customWidth="1"/>
    <col min="12808" max="12808" width="18.5703125" style="3" bestFit="1" customWidth="1"/>
    <col min="12809" max="13057" width="8.85546875" style="3"/>
    <col min="13058" max="13058" width="5.7109375" style="3" customWidth="1"/>
    <col min="13059" max="13059" width="62.7109375" style="3" customWidth="1"/>
    <col min="13060" max="13060" width="12.42578125" style="3" customWidth="1"/>
    <col min="13061" max="13061" width="18" style="3" customWidth="1"/>
    <col min="13062" max="13062" width="59.7109375" style="3" customWidth="1"/>
    <col min="13063" max="13063" width="16.140625" style="3" customWidth="1"/>
    <col min="13064" max="13064" width="18.5703125" style="3" bestFit="1" customWidth="1"/>
    <col min="13065" max="13313" width="8.85546875" style="3"/>
    <col min="13314" max="13314" width="5.7109375" style="3" customWidth="1"/>
    <col min="13315" max="13315" width="62.7109375" style="3" customWidth="1"/>
    <col min="13316" max="13316" width="12.42578125" style="3" customWidth="1"/>
    <col min="13317" max="13317" width="18" style="3" customWidth="1"/>
    <col min="13318" max="13318" width="59.7109375" style="3" customWidth="1"/>
    <col min="13319" max="13319" width="16.140625" style="3" customWidth="1"/>
    <col min="13320" max="13320" width="18.5703125" style="3" bestFit="1" customWidth="1"/>
    <col min="13321" max="13569" width="8.85546875" style="3"/>
    <col min="13570" max="13570" width="5.7109375" style="3" customWidth="1"/>
    <col min="13571" max="13571" width="62.7109375" style="3" customWidth="1"/>
    <col min="13572" max="13572" width="12.42578125" style="3" customWidth="1"/>
    <col min="13573" max="13573" width="18" style="3" customWidth="1"/>
    <col min="13574" max="13574" width="59.7109375" style="3" customWidth="1"/>
    <col min="13575" max="13575" width="16.140625" style="3" customWidth="1"/>
    <col min="13576" max="13576" width="18.5703125" style="3" bestFit="1" customWidth="1"/>
    <col min="13577" max="13825" width="8.85546875" style="3"/>
    <col min="13826" max="13826" width="5.7109375" style="3" customWidth="1"/>
    <col min="13827" max="13827" width="62.7109375" style="3" customWidth="1"/>
    <col min="13828" max="13828" width="12.42578125" style="3" customWidth="1"/>
    <col min="13829" max="13829" width="18" style="3" customWidth="1"/>
    <col min="13830" max="13830" width="59.7109375" style="3" customWidth="1"/>
    <col min="13831" max="13831" width="16.140625" style="3" customWidth="1"/>
    <col min="13832" max="13832" width="18.5703125" style="3" bestFit="1" customWidth="1"/>
    <col min="13833" max="14081" width="8.85546875" style="3"/>
    <col min="14082" max="14082" width="5.7109375" style="3" customWidth="1"/>
    <col min="14083" max="14083" width="62.7109375" style="3" customWidth="1"/>
    <col min="14084" max="14084" width="12.42578125" style="3" customWidth="1"/>
    <col min="14085" max="14085" width="18" style="3" customWidth="1"/>
    <col min="14086" max="14086" width="59.7109375" style="3" customWidth="1"/>
    <col min="14087" max="14087" width="16.140625" style="3" customWidth="1"/>
    <col min="14088" max="14088" width="18.5703125" style="3" bestFit="1" customWidth="1"/>
    <col min="14089" max="14337" width="8.85546875" style="3"/>
    <col min="14338" max="14338" width="5.7109375" style="3" customWidth="1"/>
    <col min="14339" max="14339" width="62.7109375" style="3" customWidth="1"/>
    <col min="14340" max="14340" width="12.42578125" style="3" customWidth="1"/>
    <col min="14341" max="14341" width="18" style="3" customWidth="1"/>
    <col min="14342" max="14342" width="59.7109375" style="3" customWidth="1"/>
    <col min="14343" max="14343" width="16.140625" style="3" customWidth="1"/>
    <col min="14344" max="14344" width="18.5703125" style="3" bestFit="1" customWidth="1"/>
    <col min="14345" max="14593" width="8.85546875" style="3"/>
    <col min="14594" max="14594" width="5.7109375" style="3" customWidth="1"/>
    <col min="14595" max="14595" width="62.7109375" style="3" customWidth="1"/>
    <col min="14596" max="14596" width="12.42578125" style="3" customWidth="1"/>
    <col min="14597" max="14597" width="18" style="3" customWidth="1"/>
    <col min="14598" max="14598" width="59.7109375" style="3" customWidth="1"/>
    <col min="14599" max="14599" width="16.140625" style="3" customWidth="1"/>
    <col min="14600" max="14600" width="18.5703125" style="3" bestFit="1" customWidth="1"/>
    <col min="14601" max="14849" width="8.85546875" style="3"/>
    <col min="14850" max="14850" width="5.7109375" style="3" customWidth="1"/>
    <col min="14851" max="14851" width="62.7109375" style="3" customWidth="1"/>
    <col min="14852" max="14852" width="12.42578125" style="3" customWidth="1"/>
    <col min="14853" max="14853" width="18" style="3" customWidth="1"/>
    <col min="14854" max="14854" width="59.7109375" style="3" customWidth="1"/>
    <col min="14855" max="14855" width="16.140625" style="3" customWidth="1"/>
    <col min="14856" max="14856" width="18.5703125" style="3" bestFit="1" customWidth="1"/>
    <col min="14857" max="15105" width="8.85546875" style="3"/>
    <col min="15106" max="15106" width="5.7109375" style="3" customWidth="1"/>
    <col min="15107" max="15107" width="62.7109375" style="3" customWidth="1"/>
    <col min="15108" max="15108" width="12.42578125" style="3" customWidth="1"/>
    <col min="15109" max="15109" width="18" style="3" customWidth="1"/>
    <col min="15110" max="15110" width="59.7109375" style="3" customWidth="1"/>
    <col min="15111" max="15111" width="16.140625" style="3" customWidth="1"/>
    <col min="15112" max="15112" width="18.5703125" style="3" bestFit="1" customWidth="1"/>
    <col min="15113" max="15361" width="8.85546875" style="3"/>
    <col min="15362" max="15362" width="5.7109375" style="3" customWidth="1"/>
    <col min="15363" max="15363" width="62.7109375" style="3" customWidth="1"/>
    <col min="15364" max="15364" width="12.42578125" style="3" customWidth="1"/>
    <col min="15365" max="15365" width="18" style="3" customWidth="1"/>
    <col min="15366" max="15366" width="59.7109375" style="3" customWidth="1"/>
    <col min="15367" max="15367" width="16.140625" style="3" customWidth="1"/>
    <col min="15368" max="15368" width="18.5703125" style="3" bestFit="1" customWidth="1"/>
    <col min="15369" max="15617" width="8.85546875" style="3"/>
    <col min="15618" max="15618" width="5.7109375" style="3" customWidth="1"/>
    <col min="15619" max="15619" width="62.7109375" style="3" customWidth="1"/>
    <col min="15620" max="15620" width="12.42578125" style="3" customWidth="1"/>
    <col min="15621" max="15621" width="18" style="3" customWidth="1"/>
    <col min="15622" max="15622" width="59.7109375" style="3" customWidth="1"/>
    <col min="15623" max="15623" width="16.140625" style="3" customWidth="1"/>
    <col min="15624" max="15624" width="18.5703125" style="3" bestFit="1" customWidth="1"/>
    <col min="15625" max="15873" width="8.85546875" style="3"/>
    <col min="15874" max="15874" width="5.7109375" style="3" customWidth="1"/>
    <col min="15875" max="15875" width="62.7109375" style="3" customWidth="1"/>
    <col min="15876" max="15876" width="12.42578125" style="3" customWidth="1"/>
    <col min="15877" max="15877" width="18" style="3" customWidth="1"/>
    <col min="15878" max="15878" width="59.7109375" style="3" customWidth="1"/>
    <col min="15879" max="15879" width="16.140625" style="3" customWidth="1"/>
    <col min="15880" max="15880" width="18.5703125" style="3" bestFit="1" customWidth="1"/>
    <col min="15881" max="16129" width="8.85546875" style="3"/>
    <col min="16130" max="16130" width="5.7109375" style="3" customWidth="1"/>
    <col min="16131" max="16131" width="62.7109375" style="3" customWidth="1"/>
    <col min="16132" max="16132" width="12.42578125" style="3" customWidth="1"/>
    <col min="16133" max="16133" width="18" style="3" customWidth="1"/>
    <col min="16134" max="16134" width="59.7109375" style="3" customWidth="1"/>
    <col min="16135" max="16135" width="16.140625" style="3" customWidth="1"/>
    <col min="16136" max="16136" width="18.5703125" style="3" bestFit="1" customWidth="1"/>
    <col min="16137" max="16384" width="8.85546875" style="3"/>
  </cols>
  <sheetData>
    <row r="1" spans="2:8" x14ac:dyDescent="0.15">
      <c r="B1" s="130" t="s">
        <v>0</v>
      </c>
      <c r="C1" s="130"/>
      <c r="D1" s="130"/>
      <c r="E1" s="130"/>
    </row>
    <row r="2" spans="2:8" x14ac:dyDescent="0.15">
      <c r="B2" s="4"/>
      <c r="C2" s="5"/>
      <c r="D2" s="56"/>
      <c r="E2" s="56"/>
    </row>
    <row r="3" spans="2:8" x14ac:dyDescent="0.15">
      <c r="B3" s="2"/>
      <c r="C3" s="2"/>
      <c r="D3" s="2"/>
      <c r="E3" s="2"/>
    </row>
    <row r="4" spans="2:8" x14ac:dyDescent="0.15">
      <c r="B4" s="6" t="s">
        <v>2</v>
      </c>
      <c r="C4" s="6"/>
      <c r="D4" s="131"/>
      <c r="E4" s="131"/>
    </row>
    <row r="5" spans="2:8" ht="16.5" customHeight="1" x14ac:dyDescent="0.15">
      <c r="B5" s="2"/>
      <c r="C5" s="5"/>
      <c r="D5" s="132" t="s">
        <v>184</v>
      </c>
      <c r="E5" s="132"/>
      <c r="H5" s="5" t="s">
        <v>1</v>
      </c>
    </row>
    <row r="6" spans="2:8" x14ac:dyDescent="0.15">
      <c r="B6" s="54"/>
      <c r="C6" s="7" t="s">
        <v>3</v>
      </c>
      <c r="D6" s="113" t="s">
        <v>4</v>
      </c>
      <c r="E6" s="113"/>
    </row>
    <row r="7" spans="2:8" x14ac:dyDescent="0.15">
      <c r="B7" s="8" t="s">
        <v>5</v>
      </c>
      <c r="C7" s="8" t="s">
        <v>6</v>
      </c>
      <c r="D7" s="125">
        <v>3911.88</v>
      </c>
      <c r="E7" s="125"/>
    </row>
    <row r="8" spans="2:8" ht="11.25" customHeight="1" x14ac:dyDescent="0.15">
      <c r="B8" s="8" t="s">
        <v>7</v>
      </c>
      <c r="C8" s="8" t="s">
        <v>8</v>
      </c>
      <c r="D8" s="125" t="s">
        <v>117</v>
      </c>
      <c r="E8" s="125"/>
    </row>
    <row r="9" spans="2:8" x14ac:dyDescent="0.15">
      <c r="B9" s="8" t="s">
        <v>9</v>
      </c>
      <c r="C9" s="8" t="s">
        <v>10</v>
      </c>
      <c r="D9" s="125" t="s">
        <v>117</v>
      </c>
      <c r="E9" s="125"/>
    </row>
    <row r="10" spans="2:8" x14ac:dyDescent="0.15">
      <c r="B10" s="8" t="s">
        <v>11</v>
      </c>
      <c r="C10" s="8" t="s">
        <v>12</v>
      </c>
      <c r="D10" s="125" t="s">
        <v>117</v>
      </c>
      <c r="E10" s="125"/>
      <c r="H10" s="30" t="s">
        <v>131</v>
      </c>
    </row>
    <row r="11" spans="2:8" x14ac:dyDescent="0.15">
      <c r="B11" s="8" t="s">
        <v>13</v>
      </c>
      <c r="C11" s="8" t="s">
        <v>130</v>
      </c>
      <c r="D11" s="125" t="s">
        <v>117</v>
      </c>
      <c r="E11" s="125"/>
      <c r="H11" s="30" t="s">
        <v>132</v>
      </c>
    </row>
    <row r="12" spans="2:8" x14ac:dyDescent="0.15">
      <c r="B12" s="8" t="s">
        <v>14</v>
      </c>
      <c r="C12" s="8" t="s">
        <v>15</v>
      </c>
      <c r="D12" s="125" t="s">
        <v>117</v>
      </c>
      <c r="E12" s="125"/>
    </row>
    <row r="13" spans="2:8" x14ac:dyDescent="0.15">
      <c r="B13" s="7"/>
      <c r="C13" s="7" t="s">
        <v>19</v>
      </c>
      <c r="D13" s="114">
        <f>SUM(D7:E12)</f>
        <v>3911.88</v>
      </c>
      <c r="E13" s="114"/>
    </row>
    <row r="14" spans="2:8" x14ac:dyDescent="0.15">
      <c r="B14" s="2"/>
      <c r="C14" s="2"/>
      <c r="D14" s="2"/>
      <c r="E14" s="2"/>
    </row>
    <row r="15" spans="2:8" x14ac:dyDescent="0.15">
      <c r="B15" s="6" t="s">
        <v>20</v>
      </c>
      <c r="C15" s="6"/>
      <c r="D15" s="2"/>
      <c r="E15" s="2"/>
    </row>
    <row r="16" spans="2:8" x14ac:dyDescent="0.15">
      <c r="B16" s="2"/>
      <c r="C16" s="5"/>
      <c r="D16" s="2"/>
      <c r="E16" s="2"/>
      <c r="F16" s="64" t="s">
        <v>177</v>
      </c>
    </row>
    <row r="17" spans="2:8" x14ac:dyDescent="0.15">
      <c r="B17" s="9">
        <v>2</v>
      </c>
      <c r="C17" s="8" t="s">
        <v>21</v>
      </c>
      <c r="D17" s="123" t="s">
        <v>4</v>
      </c>
      <c r="E17" s="123"/>
      <c r="F17" s="32" t="s">
        <v>149</v>
      </c>
      <c r="G17" s="32">
        <v>22</v>
      </c>
    </row>
    <row r="18" spans="2:8" x14ac:dyDescent="0.15">
      <c r="B18" s="8" t="s">
        <v>5</v>
      </c>
      <c r="C18" s="8" t="s">
        <v>22</v>
      </c>
      <c r="D18" s="124">
        <f>((3.8+4.3)*2*G17)-(G18*D7)</f>
        <v>121.68719999999999</v>
      </c>
      <c r="E18" s="124"/>
      <c r="F18" s="32" t="s">
        <v>150</v>
      </c>
      <c r="G18" s="57">
        <v>0.06</v>
      </c>
      <c r="H18" s="30" t="s">
        <v>134</v>
      </c>
    </row>
    <row r="19" spans="2:8" x14ac:dyDescent="0.15">
      <c r="B19" s="8" t="s">
        <v>7</v>
      </c>
      <c r="C19" s="10" t="s">
        <v>23</v>
      </c>
      <c r="D19" s="124">
        <f>24.8*G17*G19</f>
        <v>545.6</v>
      </c>
      <c r="E19" s="124"/>
      <c r="F19" s="32" t="s">
        <v>151</v>
      </c>
      <c r="G19" s="57">
        <v>1</v>
      </c>
      <c r="H19" s="30" t="s">
        <v>133</v>
      </c>
    </row>
    <row r="20" spans="2:8" x14ac:dyDescent="0.15">
      <c r="B20" s="8" t="s">
        <v>9</v>
      </c>
      <c r="C20" s="8" t="s">
        <v>128</v>
      </c>
      <c r="D20" s="125">
        <f>329.14*2</f>
        <v>658.28</v>
      </c>
      <c r="E20" s="125"/>
      <c r="H20" s="30" t="s">
        <v>133</v>
      </c>
    </row>
    <row r="21" spans="2:8" x14ac:dyDescent="0.15">
      <c r="B21" s="8" t="s">
        <v>11</v>
      </c>
      <c r="C21" s="8" t="s">
        <v>129</v>
      </c>
      <c r="D21" s="126">
        <v>0</v>
      </c>
      <c r="E21" s="127"/>
      <c r="H21" s="30" t="s">
        <v>133</v>
      </c>
    </row>
    <row r="22" spans="2:8" ht="15" customHeight="1" x14ac:dyDescent="0.15">
      <c r="B22" s="8" t="s">
        <v>13</v>
      </c>
      <c r="C22" s="8" t="s">
        <v>126</v>
      </c>
      <c r="D22" s="126">
        <v>0</v>
      </c>
      <c r="E22" s="127"/>
      <c r="H22" s="30" t="s">
        <v>133</v>
      </c>
    </row>
    <row r="23" spans="2:8" ht="15" customHeight="1" x14ac:dyDescent="0.15">
      <c r="B23" s="8" t="s">
        <v>14</v>
      </c>
      <c r="C23" s="8" t="s">
        <v>135</v>
      </c>
      <c r="D23" s="126">
        <v>0</v>
      </c>
      <c r="E23" s="127"/>
      <c r="H23" s="30" t="s">
        <v>133</v>
      </c>
    </row>
    <row r="24" spans="2:8" ht="15" customHeight="1" x14ac:dyDescent="0.15">
      <c r="B24" s="8" t="s">
        <v>16</v>
      </c>
      <c r="C24" s="8" t="s">
        <v>18</v>
      </c>
      <c r="D24" s="128">
        <v>0</v>
      </c>
      <c r="E24" s="129"/>
    </row>
    <row r="25" spans="2:8" x14ac:dyDescent="0.15">
      <c r="B25" s="8"/>
      <c r="C25" s="7" t="s">
        <v>24</v>
      </c>
      <c r="D25" s="114">
        <f>SUM(D18:D23)</f>
        <v>1325.5672</v>
      </c>
      <c r="E25" s="114"/>
    </row>
    <row r="26" spans="2:8" x14ac:dyDescent="0.15">
      <c r="B26" s="2"/>
      <c r="C26" s="2"/>
      <c r="D26" s="2"/>
      <c r="E26" s="2"/>
    </row>
    <row r="27" spans="2:8" x14ac:dyDescent="0.15">
      <c r="B27" s="120" t="s">
        <v>25</v>
      </c>
      <c r="C27" s="120"/>
      <c r="D27" s="2"/>
      <c r="E27" s="2"/>
    </row>
    <row r="28" spans="2:8" x14ac:dyDescent="0.15">
      <c r="B28" s="2"/>
      <c r="C28" s="5"/>
      <c r="D28" s="2"/>
      <c r="E28" s="2"/>
    </row>
    <row r="29" spans="2:8" x14ac:dyDescent="0.15">
      <c r="B29" s="9">
        <v>3</v>
      </c>
      <c r="C29" s="8" t="s">
        <v>26</v>
      </c>
      <c r="D29" s="123" t="s">
        <v>4</v>
      </c>
      <c r="E29" s="123"/>
    </row>
    <row r="30" spans="2:8" x14ac:dyDescent="0.15">
      <c r="B30" s="8" t="s">
        <v>5</v>
      </c>
      <c r="C30" s="8" t="s">
        <v>27</v>
      </c>
      <c r="D30" s="121">
        <f>Uniformes!D13</f>
        <v>13.153333333333334</v>
      </c>
      <c r="E30" s="121"/>
      <c r="H30" s="30" t="s">
        <v>178</v>
      </c>
    </row>
    <row r="31" spans="2:8" x14ac:dyDescent="0.15">
      <c r="B31" s="8" t="s">
        <v>7</v>
      </c>
      <c r="C31" s="8" t="s">
        <v>28</v>
      </c>
      <c r="D31" s="121">
        <v>95.78</v>
      </c>
      <c r="E31" s="121"/>
      <c r="H31" s="30" t="s">
        <v>179</v>
      </c>
    </row>
    <row r="32" spans="2:8" ht="11.25" customHeight="1" x14ac:dyDescent="0.15">
      <c r="B32" s="8" t="s">
        <v>9</v>
      </c>
      <c r="C32" s="8" t="s">
        <v>136</v>
      </c>
      <c r="D32" s="122">
        <v>0</v>
      </c>
      <c r="E32" s="122"/>
      <c r="H32" s="30" t="s">
        <v>180</v>
      </c>
    </row>
    <row r="33" spans="2:8" x14ac:dyDescent="0.15">
      <c r="B33" s="8" t="s">
        <v>11</v>
      </c>
      <c r="C33" s="8" t="s">
        <v>18</v>
      </c>
      <c r="D33" s="122">
        <v>0</v>
      </c>
      <c r="E33" s="122"/>
    </row>
    <row r="34" spans="2:8" x14ac:dyDescent="0.15">
      <c r="B34" s="113" t="s">
        <v>29</v>
      </c>
      <c r="C34" s="113"/>
      <c r="D34" s="114">
        <f>SUM(D30:D33)</f>
        <v>108.93333333333334</v>
      </c>
      <c r="E34" s="114"/>
    </row>
    <row r="35" spans="2:8" x14ac:dyDescent="0.15">
      <c r="B35" s="2"/>
      <c r="C35" s="2"/>
      <c r="D35" s="2"/>
      <c r="E35" s="2"/>
    </row>
    <row r="36" spans="2:8" x14ac:dyDescent="0.15">
      <c r="B36" s="6" t="s">
        <v>30</v>
      </c>
      <c r="C36" s="6"/>
      <c r="D36" s="2"/>
      <c r="E36" s="2"/>
    </row>
    <row r="37" spans="2:8" x14ac:dyDescent="0.15">
      <c r="B37" s="2"/>
      <c r="C37" s="2"/>
      <c r="D37" s="2"/>
      <c r="E37" s="2"/>
    </row>
    <row r="38" spans="2:8" x14ac:dyDescent="0.15">
      <c r="B38" s="6" t="s">
        <v>31</v>
      </c>
      <c r="C38" s="6"/>
      <c r="D38" s="2"/>
      <c r="E38" s="2"/>
    </row>
    <row r="39" spans="2:8" x14ac:dyDescent="0.15">
      <c r="B39" s="2"/>
      <c r="C39" s="5"/>
      <c r="D39" s="2"/>
      <c r="E39" s="2"/>
    </row>
    <row r="40" spans="2:8" x14ac:dyDescent="0.15">
      <c r="B40" s="7" t="s">
        <v>32</v>
      </c>
      <c r="C40" s="7" t="s">
        <v>33</v>
      </c>
      <c r="D40" s="53" t="s">
        <v>34</v>
      </c>
      <c r="E40" s="7" t="s">
        <v>4</v>
      </c>
    </row>
    <row r="41" spans="2:8" x14ac:dyDescent="0.15">
      <c r="B41" s="8" t="s">
        <v>5</v>
      </c>
      <c r="C41" s="8" t="s">
        <v>35</v>
      </c>
      <c r="D41" s="11">
        <v>0.2</v>
      </c>
      <c r="E41" s="12">
        <f>D41*D13</f>
        <v>782.37600000000009</v>
      </c>
      <c r="H41" s="30" t="s">
        <v>103</v>
      </c>
    </row>
    <row r="42" spans="2:8" x14ac:dyDescent="0.15">
      <c r="B42" s="8" t="s">
        <v>13</v>
      </c>
      <c r="C42" s="8" t="s">
        <v>36</v>
      </c>
      <c r="D42" s="13">
        <v>2.5000000000000001E-2</v>
      </c>
      <c r="E42" s="12">
        <f>D42*D13</f>
        <v>97.797000000000011</v>
      </c>
      <c r="H42" s="30" t="s">
        <v>104</v>
      </c>
    </row>
    <row r="43" spans="2:8" x14ac:dyDescent="0.15">
      <c r="B43" s="8" t="s">
        <v>17</v>
      </c>
      <c r="C43" s="8" t="s">
        <v>37</v>
      </c>
      <c r="D43" s="11">
        <v>6.0000000000000001E-3</v>
      </c>
      <c r="E43" s="12">
        <f>D43*D13</f>
        <v>23.47128</v>
      </c>
      <c r="H43" s="30" t="s">
        <v>105</v>
      </c>
    </row>
    <row r="44" spans="2:8" x14ac:dyDescent="0.15">
      <c r="B44" s="8" t="s">
        <v>7</v>
      </c>
      <c r="C44" s="8" t="s">
        <v>38</v>
      </c>
      <c r="D44" s="11">
        <v>1.4999999999999999E-2</v>
      </c>
      <c r="E44" s="12">
        <f>D44*D13</f>
        <v>58.678199999999997</v>
      </c>
      <c r="H44" s="30" t="s">
        <v>106</v>
      </c>
    </row>
    <row r="45" spans="2:8" x14ac:dyDescent="0.15">
      <c r="B45" s="8" t="s">
        <v>9</v>
      </c>
      <c r="C45" s="8"/>
      <c r="D45" s="11">
        <v>0.01</v>
      </c>
      <c r="E45" s="12">
        <f>D45*D13</f>
        <v>39.1188</v>
      </c>
      <c r="H45" s="30" t="s">
        <v>107</v>
      </c>
    </row>
    <row r="46" spans="2:8" x14ac:dyDescent="0.15">
      <c r="B46" s="8" t="s">
        <v>11</v>
      </c>
      <c r="C46" s="8" t="s">
        <v>40</v>
      </c>
      <c r="D46" s="11">
        <v>2E-3</v>
      </c>
      <c r="E46" s="12">
        <f>D46*D13</f>
        <v>7.82376</v>
      </c>
      <c r="H46" s="30" t="s">
        <v>108</v>
      </c>
    </row>
    <row r="47" spans="2:8" x14ac:dyDescent="0.15">
      <c r="B47" s="8" t="s">
        <v>14</v>
      </c>
      <c r="C47" s="8" t="s">
        <v>41</v>
      </c>
      <c r="D47" s="11">
        <v>0.08</v>
      </c>
      <c r="E47" s="12">
        <f>D47*D13</f>
        <v>312.9504</v>
      </c>
      <c r="H47" s="30" t="s">
        <v>109</v>
      </c>
    </row>
    <row r="48" spans="2:8" x14ac:dyDescent="0.15">
      <c r="B48" s="8" t="s">
        <v>16</v>
      </c>
      <c r="C48" s="8" t="s">
        <v>118</v>
      </c>
      <c r="D48" s="11">
        <v>0.06</v>
      </c>
      <c r="E48" s="12">
        <f>D48*D13</f>
        <v>234.71279999999999</v>
      </c>
      <c r="H48" s="30" t="s">
        <v>110</v>
      </c>
    </row>
    <row r="49" spans="2:9" x14ac:dyDescent="0.15">
      <c r="B49" s="113" t="s">
        <v>42</v>
      </c>
      <c r="C49" s="113"/>
      <c r="D49" s="14">
        <f>SUM(D41:D48)</f>
        <v>0.39800000000000002</v>
      </c>
      <c r="E49" s="15">
        <f>SUM(E41:E48)</f>
        <v>1556.92824</v>
      </c>
    </row>
    <row r="50" spans="2:9" x14ac:dyDescent="0.15">
      <c r="B50" s="2"/>
      <c r="C50" s="2"/>
      <c r="D50" s="2"/>
      <c r="E50" s="2"/>
    </row>
    <row r="51" spans="2:9" x14ac:dyDescent="0.15">
      <c r="B51" s="6" t="s">
        <v>43</v>
      </c>
      <c r="C51" s="6"/>
      <c r="D51" s="2"/>
      <c r="E51" s="2"/>
    </row>
    <row r="52" spans="2:9" x14ac:dyDescent="0.15">
      <c r="B52" s="2"/>
      <c r="C52" s="5"/>
      <c r="D52" s="2"/>
      <c r="E52" s="2"/>
    </row>
    <row r="53" spans="2:9" x14ac:dyDescent="0.15">
      <c r="B53" s="7" t="s">
        <v>44</v>
      </c>
      <c r="C53" s="54" t="s">
        <v>45</v>
      </c>
      <c r="D53" s="53" t="s">
        <v>34</v>
      </c>
      <c r="E53" s="7" t="s">
        <v>4</v>
      </c>
    </row>
    <row r="54" spans="2:9" x14ac:dyDescent="0.15">
      <c r="B54" s="8" t="s">
        <v>5</v>
      </c>
      <c r="C54" s="9" t="s">
        <v>46</v>
      </c>
      <c r="D54" s="11">
        <f>1/12</f>
        <v>8.3333333333333329E-2</v>
      </c>
      <c r="E54" s="12">
        <f>D13*D54</f>
        <v>325.99</v>
      </c>
      <c r="H54" s="30" t="s">
        <v>111</v>
      </c>
    </row>
    <row r="55" spans="2:9" x14ac:dyDescent="0.15">
      <c r="B55" s="8" t="s">
        <v>7</v>
      </c>
      <c r="C55" s="9" t="s">
        <v>47</v>
      </c>
      <c r="D55" s="16">
        <f>1/3/12</f>
        <v>2.7777777777777776E-2</v>
      </c>
      <c r="E55" s="12">
        <f>D55*D13</f>
        <v>108.66333333333333</v>
      </c>
      <c r="H55" s="30" t="s">
        <v>112</v>
      </c>
    </row>
    <row r="56" spans="2:9" x14ac:dyDescent="0.15">
      <c r="B56" s="113" t="s">
        <v>48</v>
      </c>
      <c r="C56" s="113"/>
      <c r="D56" s="17">
        <f>SUM(D54:D55)</f>
        <v>0.1111111111111111</v>
      </c>
      <c r="E56" s="15">
        <f>SUM(E54:E55)</f>
        <v>434.65333333333331</v>
      </c>
    </row>
    <row r="57" spans="2:9" x14ac:dyDescent="0.15">
      <c r="B57" s="8" t="s">
        <v>9</v>
      </c>
      <c r="C57" s="9" t="s">
        <v>49</v>
      </c>
      <c r="D57" s="11">
        <f>D49*D56</f>
        <v>4.4222222222222225E-2</v>
      </c>
      <c r="E57" s="12">
        <f>D49*E56</f>
        <v>172.99202666666667</v>
      </c>
    </row>
    <row r="58" spans="2:9" x14ac:dyDescent="0.15">
      <c r="B58" s="113" t="s">
        <v>42</v>
      </c>
      <c r="C58" s="113"/>
      <c r="D58" s="17">
        <f>SUM(D56:D57)</f>
        <v>0.15533333333333332</v>
      </c>
      <c r="E58" s="15">
        <f>SUM(E56:E57)</f>
        <v>607.64535999999998</v>
      </c>
      <c r="H58" s="29"/>
    </row>
    <row r="59" spans="2:9" x14ac:dyDescent="0.15">
      <c r="B59" s="2"/>
      <c r="C59" s="2"/>
      <c r="D59" s="2"/>
      <c r="E59" s="2"/>
    </row>
    <row r="60" spans="2:9" x14ac:dyDescent="0.15">
      <c r="B60" s="6" t="s">
        <v>50</v>
      </c>
      <c r="C60" s="2"/>
      <c r="D60" s="2"/>
      <c r="E60" s="2"/>
    </row>
    <row r="61" spans="2:9" x14ac:dyDescent="0.15">
      <c r="B61" s="2"/>
      <c r="C61" s="5"/>
      <c r="D61" s="2"/>
      <c r="E61" s="2"/>
    </row>
    <row r="62" spans="2:9" x14ac:dyDescent="0.15">
      <c r="B62" s="7" t="s">
        <v>51</v>
      </c>
      <c r="C62" s="54" t="s">
        <v>52</v>
      </c>
      <c r="D62" s="53" t="s">
        <v>34</v>
      </c>
      <c r="E62" s="7" t="s">
        <v>4</v>
      </c>
    </row>
    <row r="63" spans="2:9" x14ac:dyDescent="0.15">
      <c r="B63" s="8" t="s">
        <v>5</v>
      </c>
      <c r="C63" s="9" t="s">
        <v>53</v>
      </c>
      <c r="D63" s="18">
        <f>4/3*4/12/12*G63</f>
        <v>7.407407407407407E-4</v>
      </c>
      <c r="E63" s="12">
        <f>D63*D13</f>
        <v>2.8976888888888888</v>
      </c>
      <c r="F63" s="32" t="s">
        <v>152</v>
      </c>
      <c r="G63" s="57">
        <v>0.02</v>
      </c>
      <c r="H63" s="30" t="s">
        <v>113</v>
      </c>
      <c r="I63" s="21"/>
    </row>
    <row r="64" spans="2:9" ht="22.5" x14ac:dyDescent="0.15">
      <c r="B64" s="8" t="s">
        <v>7</v>
      </c>
      <c r="C64" s="61" t="s">
        <v>173</v>
      </c>
      <c r="D64" s="18">
        <f>4*G63/12</f>
        <v>6.6666666666666671E-3</v>
      </c>
      <c r="E64" s="12">
        <f>SUM(D20:E24)*D64</f>
        <v>4.3885333333333332</v>
      </c>
      <c r="H64" s="2" t="s">
        <v>172</v>
      </c>
    </row>
    <row r="65" spans="2:8" ht="22.5" x14ac:dyDescent="0.15">
      <c r="B65" s="8" t="s">
        <v>9</v>
      </c>
      <c r="C65" s="62" t="s">
        <v>170</v>
      </c>
      <c r="D65" s="18">
        <f>((4+1/3+1/3)/12)*D49*G63</f>
        <v>3.0955555555555554E-3</v>
      </c>
      <c r="E65" s="12">
        <f>D13*D65</f>
        <v>12.109441866666666</v>
      </c>
      <c r="H65" s="2" t="s">
        <v>171</v>
      </c>
    </row>
    <row r="66" spans="2:8" x14ac:dyDescent="0.15">
      <c r="B66" s="113" t="s">
        <v>42</v>
      </c>
      <c r="C66" s="113"/>
      <c r="D66" s="19">
        <f>SUM(D63:D65)</f>
        <v>1.0502962962962964E-2</v>
      </c>
      <c r="E66" s="15">
        <f>SUM(E63:E65)</f>
        <v>19.395664088888886</v>
      </c>
    </row>
    <row r="67" spans="2:8" x14ac:dyDescent="0.15">
      <c r="B67" s="2"/>
      <c r="C67" s="2"/>
      <c r="D67" s="2"/>
      <c r="E67" s="2"/>
    </row>
    <row r="68" spans="2:8" x14ac:dyDescent="0.15">
      <c r="B68" s="6" t="s">
        <v>54</v>
      </c>
      <c r="C68" s="2"/>
      <c r="D68" s="2"/>
      <c r="E68" s="2"/>
    </row>
    <row r="69" spans="2:8" x14ac:dyDescent="0.15">
      <c r="B69" s="2"/>
      <c r="C69" s="5"/>
      <c r="D69" s="2"/>
      <c r="E69" s="2"/>
    </row>
    <row r="70" spans="2:8" s="6" customFormat="1" x14ac:dyDescent="0.15">
      <c r="B70" s="7" t="s">
        <v>55</v>
      </c>
      <c r="C70" s="54" t="s">
        <v>56</v>
      </c>
      <c r="D70" s="53" t="s">
        <v>34</v>
      </c>
      <c r="E70" s="7" t="s">
        <v>4</v>
      </c>
      <c r="F70" s="32"/>
      <c r="G70" s="32"/>
      <c r="H70" s="30"/>
    </row>
    <row r="71" spans="2:8" ht="21" x14ac:dyDescent="0.15">
      <c r="B71" s="8" t="s">
        <v>5</v>
      </c>
      <c r="C71" s="20" t="s">
        <v>57</v>
      </c>
      <c r="D71" s="18">
        <f>(1/12*1.5+1/30*3/12)*5%</f>
        <v>6.6666666666666671E-3</v>
      </c>
      <c r="E71" s="12">
        <f>D71*D13</f>
        <v>26.079200000000004</v>
      </c>
      <c r="F71" s="32" t="s">
        <v>153</v>
      </c>
      <c r="G71" s="57">
        <v>0.05</v>
      </c>
      <c r="H71" s="30" t="s">
        <v>174</v>
      </c>
    </row>
    <row r="72" spans="2:8" x14ac:dyDescent="0.15">
      <c r="B72" s="8" t="s">
        <v>7</v>
      </c>
      <c r="C72" s="9" t="s">
        <v>58</v>
      </c>
      <c r="D72" s="18">
        <f>D47*D71</f>
        <v>5.3333333333333336E-4</v>
      </c>
      <c r="E72" s="12">
        <f>D72*D13</f>
        <v>2.0863360000000002</v>
      </c>
    </row>
    <row r="73" spans="2:8" x14ac:dyDescent="0.15">
      <c r="B73" s="8" t="s">
        <v>59</v>
      </c>
      <c r="C73" s="20" t="s">
        <v>60</v>
      </c>
      <c r="D73" s="18">
        <f>0.4*D47</f>
        <v>3.2000000000000001E-2</v>
      </c>
      <c r="E73" s="22">
        <f>D73*D13</f>
        <v>125.18016</v>
      </c>
      <c r="H73" s="30" t="s">
        <v>114</v>
      </c>
    </row>
    <row r="74" spans="2:8" x14ac:dyDescent="0.15">
      <c r="B74" s="8" t="s">
        <v>61</v>
      </c>
      <c r="C74" s="20" t="s">
        <v>62</v>
      </c>
      <c r="D74" s="18">
        <f>D47*10%</f>
        <v>8.0000000000000002E-3</v>
      </c>
      <c r="E74" s="22">
        <f>D74*D13</f>
        <v>31.29504</v>
      </c>
      <c r="H74" s="30" t="s">
        <v>115</v>
      </c>
    </row>
    <row r="75" spans="2:8" ht="21" x14ac:dyDescent="0.15">
      <c r="B75" s="8" t="s">
        <v>11</v>
      </c>
      <c r="C75" s="20" t="s">
        <v>63</v>
      </c>
      <c r="D75" s="18">
        <f>7/30/12*100%</f>
        <v>1.9444444444444445E-2</v>
      </c>
      <c r="E75" s="22">
        <f>D75*D13</f>
        <v>76.064333333333337</v>
      </c>
      <c r="F75" s="32" t="s">
        <v>154</v>
      </c>
      <c r="G75" s="57">
        <v>1</v>
      </c>
      <c r="H75" s="30" t="s">
        <v>116</v>
      </c>
    </row>
    <row r="76" spans="2:8" x14ac:dyDescent="0.15">
      <c r="B76" s="8" t="s">
        <v>13</v>
      </c>
      <c r="C76" s="20" t="s">
        <v>64</v>
      </c>
      <c r="D76" s="18">
        <f>D49*D75</f>
        <v>7.7388888888888898E-3</v>
      </c>
      <c r="E76" s="12">
        <f>D76*D13</f>
        <v>30.273604666666671</v>
      </c>
    </row>
    <row r="77" spans="2:8" x14ac:dyDescent="0.15">
      <c r="B77" s="113" t="s">
        <v>42</v>
      </c>
      <c r="C77" s="113"/>
      <c r="D77" s="19">
        <f>SUM(D71:D76)</f>
        <v>7.4383333333333343E-2</v>
      </c>
      <c r="E77" s="23">
        <f>SUM(E71:E76)</f>
        <v>290.97867399999996</v>
      </c>
    </row>
    <row r="78" spans="2:8" x14ac:dyDescent="0.15">
      <c r="B78" s="2"/>
      <c r="C78" s="2"/>
      <c r="D78" s="2"/>
      <c r="E78" s="2"/>
    </row>
    <row r="79" spans="2:8" x14ac:dyDescent="0.15">
      <c r="B79" s="6" t="s">
        <v>65</v>
      </c>
      <c r="C79" s="2"/>
      <c r="D79" s="2"/>
      <c r="E79" s="2"/>
      <c r="H79" s="31"/>
    </row>
    <row r="80" spans="2:8" x14ac:dyDescent="0.15">
      <c r="B80" s="2"/>
      <c r="C80" s="5"/>
      <c r="D80" s="2"/>
      <c r="E80" s="2"/>
    </row>
    <row r="81" spans="2:8" x14ac:dyDescent="0.15">
      <c r="B81" s="7" t="s">
        <v>66</v>
      </c>
      <c r="C81" s="7" t="s">
        <v>67</v>
      </c>
      <c r="D81" s="53" t="s">
        <v>34</v>
      </c>
      <c r="E81" s="7" t="s">
        <v>4</v>
      </c>
      <c r="F81" s="32" t="s">
        <v>158</v>
      </c>
      <c r="G81" s="60">
        <f>((D13+E94+E95+E96+E97)/30)/D13</f>
        <v>5.4422493686657816E-2</v>
      </c>
      <c r="H81" s="63">
        <f>G81*D13</f>
        <v>212.89426460296298</v>
      </c>
    </row>
    <row r="82" spans="2:8" x14ac:dyDescent="0.15">
      <c r="B82" s="8" t="s">
        <v>5</v>
      </c>
      <c r="C82" s="9" t="s">
        <v>68</v>
      </c>
      <c r="D82" s="18">
        <f>G81*G82/12</f>
        <v>0.13605623421664453</v>
      </c>
      <c r="E82" s="12">
        <f>D82*D13</f>
        <v>532.23566150740749</v>
      </c>
      <c r="F82" s="60" t="s">
        <v>164</v>
      </c>
      <c r="G82" s="32">
        <v>30</v>
      </c>
      <c r="H82" s="30" t="s">
        <v>159</v>
      </c>
    </row>
    <row r="83" spans="2:8" x14ac:dyDescent="0.15">
      <c r="B83" s="8" t="s">
        <v>7</v>
      </c>
      <c r="C83" s="9" t="s">
        <v>69</v>
      </c>
      <c r="D83" s="18">
        <f>G81*G83*G83/360</f>
        <v>3.7793398393512366E-3</v>
      </c>
      <c r="E83" s="12">
        <f>D83*D13</f>
        <v>14.784323930761316</v>
      </c>
      <c r="F83" s="32" t="s">
        <v>160</v>
      </c>
      <c r="G83" s="32">
        <v>5</v>
      </c>
      <c r="H83" s="30" t="s">
        <v>175</v>
      </c>
    </row>
    <row r="84" spans="2:8" x14ac:dyDescent="0.15">
      <c r="B84" s="8" t="s">
        <v>9</v>
      </c>
      <c r="C84" s="9" t="s">
        <v>70</v>
      </c>
      <c r="D84" s="18">
        <f>5*G81*1%</f>
        <v>2.7211246843328908E-3</v>
      </c>
      <c r="E84" s="12">
        <f>D84*D13</f>
        <v>10.644713230148149</v>
      </c>
      <c r="F84" s="32" t="s">
        <v>176</v>
      </c>
      <c r="G84" s="60">
        <f>G83/360</f>
        <v>1.3888888888888888E-2</v>
      </c>
      <c r="H84" s="30" t="s">
        <v>163</v>
      </c>
    </row>
    <row r="85" spans="2:8" x14ac:dyDescent="0.15">
      <c r="B85" s="8" t="s">
        <v>11</v>
      </c>
      <c r="C85" s="9" t="s">
        <v>71</v>
      </c>
      <c r="D85" s="18">
        <f>G86*G87*G81</f>
        <v>2.4338948565421972E-4</v>
      </c>
      <c r="E85" s="12">
        <f>D85*D13</f>
        <v>0.95211046114102904</v>
      </c>
      <c r="F85" s="32" t="s">
        <v>161</v>
      </c>
      <c r="G85" s="58">
        <v>0.01</v>
      </c>
      <c r="H85" s="30" t="s">
        <v>167</v>
      </c>
    </row>
    <row r="86" spans="2:8" x14ac:dyDescent="0.15">
      <c r="B86" s="8" t="s">
        <v>13</v>
      </c>
      <c r="C86" s="9" t="s">
        <v>72</v>
      </c>
      <c r="D86" s="18">
        <f>15*G81*G88</f>
        <v>6.530699242398938E-2</v>
      </c>
      <c r="E86" s="12">
        <f>D86*D13</f>
        <v>255.47311752355557</v>
      </c>
      <c r="F86" s="32" t="s">
        <v>165</v>
      </c>
      <c r="G86" s="32">
        <v>7</v>
      </c>
      <c r="H86" s="30" t="s">
        <v>168</v>
      </c>
    </row>
    <row r="87" spans="2:8" ht="21" x14ac:dyDescent="0.15">
      <c r="B87" s="113" t="s">
        <v>48</v>
      </c>
      <c r="C87" s="113"/>
      <c r="D87" s="19">
        <f>SUM(D82:D86)</f>
        <v>0.20810708064997227</v>
      </c>
      <c r="E87" s="15">
        <f>SUM(E82:E86)</f>
        <v>814.08992665301344</v>
      </c>
      <c r="F87" s="32" t="s">
        <v>166</v>
      </c>
      <c r="G87" s="60">
        <f>(3*5%+2*2%+1*2%+1*2%)/360</f>
        <v>6.3888888888888893E-4</v>
      </c>
      <c r="H87" s="30" t="s">
        <v>169</v>
      </c>
    </row>
    <row r="88" spans="2:8" x14ac:dyDescent="0.15">
      <c r="B88" s="8" t="s">
        <v>16</v>
      </c>
      <c r="C88" s="9" t="s">
        <v>73</v>
      </c>
      <c r="D88" s="18">
        <f>D49*D87</f>
        <v>8.2826618098688964E-2</v>
      </c>
      <c r="E88" s="12">
        <f>E87*D49</f>
        <v>324.00779080789937</v>
      </c>
      <c r="F88" s="32" t="s">
        <v>162</v>
      </c>
      <c r="G88" s="58">
        <v>0.08</v>
      </c>
    </row>
    <row r="89" spans="2:8" x14ac:dyDescent="0.15">
      <c r="B89" s="113" t="s">
        <v>42</v>
      </c>
      <c r="C89" s="112"/>
      <c r="D89" s="19">
        <f>SUM(D87:D88)</f>
        <v>0.29093369874866126</v>
      </c>
      <c r="E89" s="15">
        <f>SUM(E87:E88)</f>
        <v>1138.0977174609129</v>
      </c>
    </row>
    <row r="90" spans="2:8" x14ac:dyDescent="0.15">
      <c r="B90" s="2"/>
      <c r="C90" s="2"/>
      <c r="D90" s="2"/>
      <c r="E90" s="2"/>
    </row>
    <row r="91" spans="2:8" x14ac:dyDescent="0.15">
      <c r="B91" s="6" t="s">
        <v>74</v>
      </c>
      <c r="C91" s="2"/>
      <c r="D91" s="2"/>
      <c r="E91" s="2"/>
    </row>
    <row r="92" spans="2:8" x14ac:dyDescent="0.15">
      <c r="B92" s="2"/>
      <c r="C92" s="5"/>
      <c r="D92" s="2"/>
      <c r="E92" s="2"/>
    </row>
    <row r="93" spans="2:8" s="6" customFormat="1" x14ac:dyDescent="0.15">
      <c r="B93" s="54">
        <v>4</v>
      </c>
      <c r="C93" s="54" t="s">
        <v>75</v>
      </c>
      <c r="D93" s="53" t="s">
        <v>34</v>
      </c>
      <c r="E93" s="7" t="s">
        <v>4</v>
      </c>
      <c r="F93" s="32"/>
      <c r="G93" s="32"/>
      <c r="H93" s="30"/>
    </row>
    <row r="94" spans="2:8" x14ac:dyDescent="0.15">
      <c r="B94" s="8" t="s">
        <v>32</v>
      </c>
      <c r="C94" s="9" t="s">
        <v>76</v>
      </c>
      <c r="D94" s="18">
        <f>D58</f>
        <v>0.15533333333333332</v>
      </c>
      <c r="E94" s="12">
        <f>E58</f>
        <v>607.64535999999998</v>
      </c>
    </row>
    <row r="95" spans="2:8" x14ac:dyDescent="0.15">
      <c r="B95" s="8" t="s">
        <v>44</v>
      </c>
      <c r="C95" s="9" t="s">
        <v>33</v>
      </c>
      <c r="D95" s="18">
        <f>D49</f>
        <v>0.39800000000000002</v>
      </c>
      <c r="E95" s="12">
        <f>E49</f>
        <v>1556.92824</v>
      </c>
    </row>
    <row r="96" spans="2:8" x14ac:dyDescent="0.15">
      <c r="B96" s="8" t="s">
        <v>51</v>
      </c>
      <c r="C96" s="9" t="s">
        <v>77</v>
      </c>
      <c r="D96" s="18">
        <f>D66</f>
        <v>1.0502962962962964E-2</v>
      </c>
      <c r="E96" s="12">
        <f>E66</f>
        <v>19.395664088888886</v>
      </c>
    </row>
    <row r="97" spans="2:8" x14ac:dyDescent="0.15">
      <c r="B97" s="8" t="s">
        <v>55</v>
      </c>
      <c r="C97" s="9" t="s">
        <v>78</v>
      </c>
      <c r="D97" s="18">
        <f>D77</f>
        <v>7.4383333333333343E-2</v>
      </c>
      <c r="E97" s="12">
        <f>E77</f>
        <v>290.97867399999996</v>
      </c>
    </row>
    <row r="98" spans="2:8" x14ac:dyDescent="0.15">
      <c r="B98" s="8" t="s">
        <v>66</v>
      </c>
      <c r="C98" s="9" t="s">
        <v>79</v>
      </c>
      <c r="D98" s="18">
        <f>D89</f>
        <v>0.29093369874866126</v>
      </c>
      <c r="E98" s="12">
        <f>E89</f>
        <v>1138.0977174609129</v>
      </c>
    </row>
    <row r="99" spans="2:8" x14ac:dyDescent="0.15">
      <c r="B99" s="8" t="s">
        <v>80</v>
      </c>
      <c r="C99" s="9" t="s">
        <v>18</v>
      </c>
      <c r="D99" s="18">
        <f>D90</f>
        <v>0</v>
      </c>
      <c r="E99" s="12">
        <v>0</v>
      </c>
    </row>
    <row r="100" spans="2:8" x14ac:dyDescent="0.15">
      <c r="B100" s="115" t="s">
        <v>42</v>
      </c>
      <c r="C100" s="116"/>
      <c r="D100" s="19">
        <f>SUM(D94:D99)</f>
        <v>0.9291533283782909</v>
      </c>
      <c r="E100" s="15">
        <f>SUM(E94:E99)</f>
        <v>3613.0456555498013</v>
      </c>
    </row>
    <row r="101" spans="2:8" x14ac:dyDescent="0.15">
      <c r="B101" s="2"/>
      <c r="C101" s="2"/>
      <c r="D101" s="2"/>
      <c r="E101" s="2"/>
    </row>
    <row r="102" spans="2:8" x14ac:dyDescent="0.15">
      <c r="B102" s="117" t="s">
        <v>81</v>
      </c>
      <c r="C102" s="118"/>
      <c r="D102" s="119"/>
      <c r="E102" s="15">
        <f>E100+D34+D25+D13</f>
        <v>8959.4261888831352</v>
      </c>
    </row>
    <row r="103" spans="2:8" x14ac:dyDescent="0.15">
      <c r="B103" s="2"/>
      <c r="C103" s="2"/>
      <c r="D103" s="2"/>
      <c r="E103" s="2"/>
    </row>
    <row r="104" spans="2:8" s="6" customFormat="1" x14ac:dyDescent="0.15">
      <c r="B104" s="6" t="s">
        <v>82</v>
      </c>
      <c r="F104" s="32"/>
      <c r="G104" s="32"/>
      <c r="H104" s="30"/>
    </row>
    <row r="105" spans="2:8" x14ac:dyDescent="0.15">
      <c r="B105" s="2"/>
      <c r="C105" s="5"/>
      <c r="D105" s="2"/>
      <c r="E105" s="2"/>
    </row>
    <row r="106" spans="2:8" x14ac:dyDescent="0.15">
      <c r="B106" s="54">
        <v>5</v>
      </c>
      <c r="C106" s="7" t="s">
        <v>83</v>
      </c>
      <c r="D106" s="53" t="s">
        <v>34</v>
      </c>
      <c r="E106" s="7" t="s">
        <v>4</v>
      </c>
    </row>
    <row r="107" spans="2:8" x14ac:dyDescent="0.15">
      <c r="B107" s="8" t="s">
        <v>5</v>
      </c>
      <c r="C107" s="8" t="s">
        <v>84</v>
      </c>
      <c r="D107" s="11">
        <f>G107</f>
        <v>0.05</v>
      </c>
      <c r="E107" s="12">
        <f>(E100+D34+D25+D13)*D107</f>
        <v>447.97130944415676</v>
      </c>
      <c r="F107" s="32" t="s">
        <v>84</v>
      </c>
      <c r="G107" s="58">
        <v>0.05</v>
      </c>
      <c r="H107" s="30" t="s">
        <v>119</v>
      </c>
    </row>
    <row r="108" spans="2:8" x14ac:dyDescent="0.15">
      <c r="B108" s="8" t="s">
        <v>7</v>
      </c>
      <c r="C108" s="8" t="s">
        <v>85</v>
      </c>
      <c r="D108" s="11">
        <f>G108</f>
        <v>0.1</v>
      </c>
      <c r="E108" s="12">
        <f>(E100+D34+D25+D13+E107)*D108</f>
        <v>940.73974983272933</v>
      </c>
      <c r="F108" s="32" t="s">
        <v>85</v>
      </c>
      <c r="G108" s="58">
        <v>0.1</v>
      </c>
      <c r="H108" s="30" t="s">
        <v>120</v>
      </c>
    </row>
    <row r="109" spans="2:8" x14ac:dyDescent="0.15">
      <c r="B109" s="8" t="s">
        <v>9</v>
      </c>
      <c r="C109" s="8" t="s">
        <v>86</v>
      </c>
      <c r="D109" s="55"/>
      <c r="E109" s="12"/>
    </row>
    <row r="110" spans="2:8" x14ac:dyDescent="0.15">
      <c r="B110" s="8"/>
      <c r="C110" s="8" t="s">
        <v>87</v>
      </c>
      <c r="D110" s="24">
        <f>1-(D111+D113)</f>
        <v>0.85749999999999993</v>
      </c>
      <c r="E110" s="12">
        <f>(E100+D34+D25+D13+E107+E108)/D110</f>
        <v>12067.798540128308</v>
      </c>
      <c r="F110" s="32" t="s">
        <v>155</v>
      </c>
      <c r="G110" s="59">
        <v>7.5999999999999998E-2</v>
      </c>
    </row>
    <row r="111" spans="2:8" x14ac:dyDescent="0.15">
      <c r="B111" s="8"/>
      <c r="C111" s="8" t="s">
        <v>88</v>
      </c>
      <c r="D111" s="11">
        <f>G110+G111</f>
        <v>9.2499999999999999E-2</v>
      </c>
      <c r="E111" s="25">
        <f>D111*E110</f>
        <v>1116.2713649618684</v>
      </c>
      <c r="F111" s="32" t="s">
        <v>156</v>
      </c>
      <c r="G111" s="59">
        <v>1.6500000000000001E-2</v>
      </c>
    </row>
    <row r="112" spans="2:8" x14ac:dyDescent="0.15">
      <c r="B112" s="8"/>
      <c r="C112" s="8" t="s">
        <v>89</v>
      </c>
      <c r="D112" s="55"/>
      <c r="E112" s="12"/>
    </row>
    <row r="113" spans="2:9" x14ac:dyDescent="0.15">
      <c r="B113" s="8"/>
      <c r="C113" s="8" t="s">
        <v>90</v>
      </c>
      <c r="D113" s="11">
        <f>G113</f>
        <v>0.05</v>
      </c>
      <c r="E113" s="25">
        <f>E110*D113</f>
        <v>603.38992700641541</v>
      </c>
      <c r="F113" s="32" t="s">
        <v>157</v>
      </c>
      <c r="G113" s="58">
        <v>0.05</v>
      </c>
    </row>
    <row r="114" spans="2:9" x14ac:dyDescent="0.15">
      <c r="B114" s="8"/>
      <c r="C114" s="8" t="s">
        <v>91</v>
      </c>
      <c r="D114" s="55"/>
      <c r="E114" s="12"/>
    </row>
    <row r="115" spans="2:9" x14ac:dyDescent="0.15">
      <c r="B115" s="113" t="s">
        <v>92</v>
      </c>
      <c r="C115" s="113"/>
      <c r="D115" s="113"/>
      <c r="E115" s="15">
        <f>SUM(E107,E111,E113,E108)</f>
        <v>3108.3723512451697</v>
      </c>
    </row>
    <row r="116" spans="2:9" x14ac:dyDescent="0.15">
      <c r="B116" s="2"/>
      <c r="C116" s="2"/>
      <c r="D116" s="2"/>
      <c r="E116" s="2"/>
    </row>
    <row r="117" spans="2:9" x14ac:dyDescent="0.15">
      <c r="B117" s="6" t="s">
        <v>93</v>
      </c>
      <c r="C117" s="2"/>
      <c r="D117" s="2"/>
      <c r="E117" s="2"/>
    </row>
    <row r="118" spans="2:9" x14ac:dyDescent="0.15">
      <c r="B118" s="2"/>
      <c r="D118" s="2"/>
      <c r="E118" s="2"/>
    </row>
    <row r="119" spans="2:9" s="6" customFormat="1" x14ac:dyDescent="0.15">
      <c r="B119" s="7"/>
      <c r="C119" s="113" t="s">
        <v>94</v>
      </c>
      <c r="D119" s="113"/>
      <c r="E119" s="53" t="s">
        <v>95</v>
      </c>
      <c r="F119" s="32"/>
      <c r="G119" s="32"/>
      <c r="H119" s="30"/>
    </row>
    <row r="120" spans="2:9" x14ac:dyDescent="0.15">
      <c r="B120" s="8" t="s">
        <v>5</v>
      </c>
      <c r="C120" s="111" t="s">
        <v>96</v>
      </c>
      <c r="D120" s="111"/>
      <c r="E120" s="26">
        <f>D13</f>
        <v>3911.88</v>
      </c>
    </row>
    <row r="121" spans="2:9" x14ac:dyDescent="0.15">
      <c r="B121" s="8" t="s">
        <v>7</v>
      </c>
      <c r="C121" s="111" t="s">
        <v>97</v>
      </c>
      <c r="D121" s="111"/>
      <c r="E121" s="26">
        <f>D25</f>
        <v>1325.5672</v>
      </c>
    </row>
    <row r="122" spans="2:9" x14ac:dyDescent="0.15">
      <c r="B122" s="27" t="s">
        <v>9</v>
      </c>
      <c r="C122" s="111" t="s">
        <v>98</v>
      </c>
      <c r="D122" s="112"/>
      <c r="E122" s="26">
        <f>D34</f>
        <v>108.93333333333334</v>
      </c>
    </row>
    <row r="123" spans="2:9" x14ac:dyDescent="0.15">
      <c r="B123" s="8" t="s">
        <v>11</v>
      </c>
      <c r="C123" s="52" t="s">
        <v>99</v>
      </c>
      <c r="D123" s="16">
        <f>D49+D58+D66+D77+D89</f>
        <v>0.9291533283782909</v>
      </c>
      <c r="E123" s="26">
        <f>E100</f>
        <v>3613.0456555498013</v>
      </c>
    </row>
    <row r="124" spans="2:9" x14ac:dyDescent="0.15">
      <c r="B124" s="8"/>
      <c r="C124" s="111" t="s">
        <v>100</v>
      </c>
      <c r="D124" s="112"/>
      <c r="E124" s="26">
        <f>SUM(E120:E123)</f>
        <v>8959.4261888831352</v>
      </c>
    </row>
    <row r="125" spans="2:9" x14ac:dyDescent="0.15">
      <c r="B125" s="8" t="s">
        <v>13</v>
      </c>
      <c r="C125" s="111" t="s">
        <v>101</v>
      </c>
      <c r="D125" s="111"/>
      <c r="E125" s="28">
        <f>SUM(E115)</f>
        <v>3108.3723512451697</v>
      </c>
    </row>
    <row r="126" spans="2:9" x14ac:dyDescent="0.15">
      <c r="B126" s="113" t="s">
        <v>102</v>
      </c>
      <c r="C126" s="113"/>
      <c r="D126" s="113"/>
      <c r="E126" s="28">
        <f>SUM(E124+E125)</f>
        <v>12067.798540128304</v>
      </c>
    </row>
    <row r="127" spans="2:9" s="32" customFormat="1" x14ac:dyDescent="0.15">
      <c r="B127" s="2"/>
      <c r="C127" s="2"/>
      <c r="D127" s="2"/>
      <c r="E127" s="2"/>
      <c r="H127" s="30"/>
      <c r="I127" s="3"/>
    </row>
    <row r="133" spans="2:9" s="32" customFormat="1" x14ac:dyDescent="0.15">
      <c r="B133" s="3"/>
      <c r="C133" s="33"/>
      <c r="D133" s="33"/>
      <c r="E133" s="3"/>
      <c r="H133" s="30"/>
      <c r="I133" s="3"/>
    </row>
    <row r="134" spans="2:9" s="32" customFormat="1" x14ac:dyDescent="0.15">
      <c r="B134" s="3"/>
      <c r="C134" s="33"/>
      <c r="D134" s="34"/>
      <c r="E134" s="3"/>
      <c r="H134" s="30"/>
      <c r="I134" s="3"/>
    </row>
    <row r="138" spans="2:9" s="32" customFormat="1" x14ac:dyDescent="0.15">
      <c r="B138" s="3"/>
      <c r="C138" s="2"/>
      <c r="D138" s="2"/>
      <c r="E138" s="3"/>
      <c r="H138" s="30"/>
      <c r="I138" s="3"/>
    </row>
    <row r="139" spans="2:9" s="32" customFormat="1" x14ac:dyDescent="0.15">
      <c r="B139" s="3"/>
      <c r="C139" s="2"/>
      <c r="D139" s="2"/>
      <c r="E139" s="3"/>
      <c r="H139" s="30"/>
      <c r="I139" s="3"/>
    </row>
    <row r="140" spans="2:9" s="32" customFormat="1" x14ac:dyDescent="0.15">
      <c r="B140" s="3"/>
      <c r="C140" s="2"/>
      <c r="D140" s="2"/>
      <c r="E140" s="3"/>
      <c r="H140" s="30"/>
      <c r="I140" s="3"/>
    </row>
    <row r="141" spans="2:9" s="32" customFormat="1" x14ac:dyDescent="0.15">
      <c r="B141" s="2"/>
      <c r="C141" s="6"/>
      <c r="D141" s="2"/>
      <c r="E141" s="2"/>
      <c r="H141" s="30"/>
      <c r="I141" s="3"/>
    </row>
    <row r="142" spans="2:9" s="32" customFormat="1" x14ac:dyDescent="0.15">
      <c r="B142" s="2"/>
      <c r="C142" s="6"/>
      <c r="D142" s="2"/>
      <c r="E142" s="2"/>
      <c r="H142" s="30"/>
      <c r="I142" s="3"/>
    </row>
    <row r="143" spans="2:9" s="32" customFormat="1" x14ac:dyDescent="0.15">
      <c r="B143" s="2"/>
      <c r="C143" s="2"/>
      <c r="D143" s="2"/>
      <c r="E143" s="2"/>
      <c r="H143" s="30"/>
      <c r="I143" s="3"/>
    </row>
    <row r="144" spans="2:9" s="32" customFormat="1" x14ac:dyDescent="0.15">
      <c r="B144" s="6"/>
      <c r="C144" s="3"/>
      <c r="D144" s="3"/>
      <c r="E144" s="2"/>
      <c r="H144" s="30"/>
      <c r="I144" s="3"/>
    </row>
    <row r="145" spans="2:9" s="32" customFormat="1" x14ac:dyDescent="0.15">
      <c r="B145" s="6"/>
      <c r="C145" s="3"/>
      <c r="D145" s="3"/>
      <c r="E145" s="2"/>
      <c r="H145" s="30"/>
      <c r="I145" s="3"/>
    </row>
    <row r="146" spans="2:9" s="32" customFormat="1" x14ac:dyDescent="0.15">
      <c r="B146" s="2"/>
      <c r="C146" s="3"/>
      <c r="D146" s="3"/>
      <c r="E146" s="2"/>
      <c r="H146" s="30"/>
      <c r="I146" s="3"/>
    </row>
  </sheetData>
  <mergeCells count="45">
    <mergeCell ref="D9:E9"/>
    <mergeCell ref="D10:E10"/>
    <mergeCell ref="D11:E11"/>
    <mergeCell ref="D12:E12"/>
    <mergeCell ref="B1:E1"/>
    <mergeCell ref="D4:E4"/>
    <mergeCell ref="D5:E5"/>
    <mergeCell ref="D6:E6"/>
    <mergeCell ref="D7:E7"/>
    <mergeCell ref="D8:E8"/>
    <mergeCell ref="D21:E21"/>
    <mergeCell ref="D22:E22"/>
    <mergeCell ref="D23:E23"/>
    <mergeCell ref="D24:E24"/>
    <mergeCell ref="D25:E25"/>
    <mergeCell ref="D13:E13"/>
    <mergeCell ref="D17:E17"/>
    <mergeCell ref="D18:E18"/>
    <mergeCell ref="D19:E19"/>
    <mergeCell ref="D20:E20"/>
    <mergeCell ref="B27:C27"/>
    <mergeCell ref="D30:E30"/>
    <mergeCell ref="D31:E31"/>
    <mergeCell ref="D32:E32"/>
    <mergeCell ref="D33:E33"/>
    <mergeCell ref="D29:E29"/>
    <mergeCell ref="B34:C34"/>
    <mergeCell ref="D34:E34"/>
    <mergeCell ref="C120:D120"/>
    <mergeCell ref="B49:C49"/>
    <mergeCell ref="B56:C56"/>
    <mergeCell ref="B58:C58"/>
    <mergeCell ref="B66:C66"/>
    <mergeCell ref="B77:C77"/>
    <mergeCell ref="B87:C87"/>
    <mergeCell ref="B89:C89"/>
    <mergeCell ref="B100:C100"/>
    <mergeCell ref="B102:D102"/>
    <mergeCell ref="B115:D115"/>
    <mergeCell ref="C119:D119"/>
    <mergeCell ref="C121:D121"/>
    <mergeCell ref="C122:D122"/>
    <mergeCell ref="C124:D124"/>
    <mergeCell ref="C125:D125"/>
    <mergeCell ref="B126:D126"/>
  </mergeCells>
  <pageMargins left="0.98425196850393704" right="0.59055118110236227" top="0.74803149606299213" bottom="0.74803149606299213" header="0.31496062992125984" footer="0.31496062992125984"/>
  <pageSetup paperSize="9" scale="67" orientation="portrait" verticalDpi="597" r:id="rId1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6"/>
  <sheetViews>
    <sheetView zoomScaleNormal="100" zoomScaleSheetLayoutView="100" workbookViewId="0">
      <selection activeCell="D6" sqref="D6:E6"/>
    </sheetView>
  </sheetViews>
  <sheetFormatPr defaultRowHeight="11.25" x14ac:dyDescent="0.15"/>
  <cols>
    <col min="1" max="1" width="9.140625" style="3"/>
    <col min="2" max="2" width="5.7109375" style="3" customWidth="1"/>
    <col min="3" max="3" width="53.5703125" style="3" customWidth="1"/>
    <col min="4" max="4" width="10.7109375" style="3" customWidth="1"/>
    <col min="5" max="5" width="13.5703125" style="3" bestFit="1" customWidth="1"/>
    <col min="6" max="6" width="16.42578125" style="32" customWidth="1"/>
    <col min="7" max="7" width="6" style="32" customWidth="1"/>
    <col min="8" max="8" width="34.5703125" style="30" customWidth="1"/>
    <col min="9" max="257" width="8.85546875" style="3"/>
    <col min="258" max="258" width="5.7109375" style="3" customWidth="1"/>
    <col min="259" max="259" width="62.7109375" style="3" customWidth="1"/>
    <col min="260" max="260" width="12.42578125" style="3" customWidth="1"/>
    <col min="261" max="261" width="18" style="3" customWidth="1"/>
    <col min="262" max="262" width="59.7109375" style="3" customWidth="1"/>
    <col min="263" max="263" width="16.140625" style="3" customWidth="1"/>
    <col min="264" max="264" width="18.5703125" style="3" bestFit="1" customWidth="1"/>
    <col min="265" max="513" width="8.85546875" style="3"/>
    <col min="514" max="514" width="5.7109375" style="3" customWidth="1"/>
    <col min="515" max="515" width="62.7109375" style="3" customWidth="1"/>
    <col min="516" max="516" width="12.42578125" style="3" customWidth="1"/>
    <col min="517" max="517" width="18" style="3" customWidth="1"/>
    <col min="518" max="518" width="59.7109375" style="3" customWidth="1"/>
    <col min="519" max="519" width="16.140625" style="3" customWidth="1"/>
    <col min="520" max="520" width="18.5703125" style="3" bestFit="1" customWidth="1"/>
    <col min="521" max="769" width="8.85546875" style="3"/>
    <col min="770" max="770" width="5.7109375" style="3" customWidth="1"/>
    <col min="771" max="771" width="62.7109375" style="3" customWidth="1"/>
    <col min="772" max="772" width="12.42578125" style="3" customWidth="1"/>
    <col min="773" max="773" width="18" style="3" customWidth="1"/>
    <col min="774" max="774" width="59.7109375" style="3" customWidth="1"/>
    <col min="775" max="775" width="16.140625" style="3" customWidth="1"/>
    <col min="776" max="776" width="18.5703125" style="3" bestFit="1" customWidth="1"/>
    <col min="777" max="1025" width="8.85546875" style="3"/>
    <col min="1026" max="1026" width="5.7109375" style="3" customWidth="1"/>
    <col min="1027" max="1027" width="62.7109375" style="3" customWidth="1"/>
    <col min="1028" max="1028" width="12.42578125" style="3" customWidth="1"/>
    <col min="1029" max="1029" width="18" style="3" customWidth="1"/>
    <col min="1030" max="1030" width="59.7109375" style="3" customWidth="1"/>
    <col min="1031" max="1031" width="16.140625" style="3" customWidth="1"/>
    <col min="1032" max="1032" width="18.5703125" style="3" bestFit="1" customWidth="1"/>
    <col min="1033" max="1281" width="8.85546875" style="3"/>
    <col min="1282" max="1282" width="5.7109375" style="3" customWidth="1"/>
    <col min="1283" max="1283" width="62.7109375" style="3" customWidth="1"/>
    <col min="1284" max="1284" width="12.42578125" style="3" customWidth="1"/>
    <col min="1285" max="1285" width="18" style="3" customWidth="1"/>
    <col min="1286" max="1286" width="59.7109375" style="3" customWidth="1"/>
    <col min="1287" max="1287" width="16.140625" style="3" customWidth="1"/>
    <col min="1288" max="1288" width="18.5703125" style="3" bestFit="1" customWidth="1"/>
    <col min="1289" max="1537" width="8.85546875" style="3"/>
    <col min="1538" max="1538" width="5.7109375" style="3" customWidth="1"/>
    <col min="1539" max="1539" width="62.7109375" style="3" customWidth="1"/>
    <col min="1540" max="1540" width="12.42578125" style="3" customWidth="1"/>
    <col min="1541" max="1541" width="18" style="3" customWidth="1"/>
    <col min="1542" max="1542" width="59.7109375" style="3" customWidth="1"/>
    <col min="1543" max="1543" width="16.140625" style="3" customWidth="1"/>
    <col min="1544" max="1544" width="18.5703125" style="3" bestFit="1" customWidth="1"/>
    <col min="1545" max="1793" width="8.85546875" style="3"/>
    <col min="1794" max="1794" width="5.7109375" style="3" customWidth="1"/>
    <col min="1795" max="1795" width="62.7109375" style="3" customWidth="1"/>
    <col min="1796" max="1796" width="12.42578125" style="3" customWidth="1"/>
    <col min="1797" max="1797" width="18" style="3" customWidth="1"/>
    <col min="1798" max="1798" width="59.7109375" style="3" customWidth="1"/>
    <col min="1799" max="1799" width="16.140625" style="3" customWidth="1"/>
    <col min="1800" max="1800" width="18.5703125" style="3" bestFit="1" customWidth="1"/>
    <col min="1801" max="2049" width="8.85546875" style="3"/>
    <col min="2050" max="2050" width="5.7109375" style="3" customWidth="1"/>
    <col min="2051" max="2051" width="62.7109375" style="3" customWidth="1"/>
    <col min="2052" max="2052" width="12.42578125" style="3" customWidth="1"/>
    <col min="2053" max="2053" width="18" style="3" customWidth="1"/>
    <col min="2054" max="2054" width="59.7109375" style="3" customWidth="1"/>
    <col min="2055" max="2055" width="16.140625" style="3" customWidth="1"/>
    <col min="2056" max="2056" width="18.5703125" style="3" bestFit="1" customWidth="1"/>
    <col min="2057" max="2305" width="8.85546875" style="3"/>
    <col min="2306" max="2306" width="5.7109375" style="3" customWidth="1"/>
    <col min="2307" max="2307" width="62.7109375" style="3" customWidth="1"/>
    <col min="2308" max="2308" width="12.42578125" style="3" customWidth="1"/>
    <col min="2309" max="2309" width="18" style="3" customWidth="1"/>
    <col min="2310" max="2310" width="59.7109375" style="3" customWidth="1"/>
    <col min="2311" max="2311" width="16.140625" style="3" customWidth="1"/>
    <col min="2312" max="2312" width="18.5703125" style="3" bestFit="1" customWidth="1"/>
    <col min="2313" max="2561" width="8.85546875" style="3"/>
    <col min="2562" max="2562" width="5.7109375" style="3" customWidth="1"/>
    <col min="2563" max="2563" width="62.7109375" style="3" customWidth="1"/>
    <col min="2564" max="2564" width="12.42578125" style="3" customWidth="1"/>
    <col min="2565" max="2565" width="18" style="3" customWidth="1"/>
    <col min="2566" max="2566" width="59.7109375" style="3" customWidth="1"/>
    <col min="2567" max="2567" width="16.140625" style="3" customWidth="1"/>
    <col min="2568" max="2568" width="18.5703125" style="3" bestFit="1" customWidth="1"/>
    <col min="2569" max="2817" width="8.85546875" style="3"/>
    <col min="2818" max="2818" width="5.7109375" style="3" customWidth="1"/>
    <col min="2819" max="2819" width="62.7109375" style="3" customWidth="1"/>
    <col min="2820" max="2820" width="12.42578125" style="3" customWidth="1"/>
    <col min="2821" max="2821" width="18" style="3" customWidth="1"/>
    <col min="2822" max="2822" width="59.7109375" style="3" customWidth="1"/>
    <col min="2823" max="2823" width="16.140625" style="3" customWidth="1"/>
    <col min="2824" max="2824" width="18.5703125" style="3" bestFit="1" customWidth="1"/>
    <col min="2825" max="3073" width="8.85546875" style="3"/>
    <col min="3074" max="3074" width="5.7109375" style="3" customWidth="1"/>
    <col min="3075" max="3075" width="62.7109375" style="3" customWidth="1"/>
    <col min="3076" max="3076" width="12.42578125" style="3" customWidth="1"/>
    <col min="3077" max="3077" width="18" style="3" customWidth="1"/>
    <col min="3078" max="3078" width="59.7109375" style="3" customWidth="1"/>
    <col min="3079" max="3079" width="16.140625" style="3" customWidth="1"/>
    <col min="3080" max="3080" width="18.5703125" style="3" bestFit="1" customWidth="1"/>
    <col min="3081" max="3329" width="8.85546875" style="3"/>
    <col min="3330" max="3330" width="5.7109375" style="3" customWidth="1"/>
    <col min="3331" max="3331" width="62.7109375" style="3" customWidth="1"/>
    <col min="3332" max="3332" width="12.42578125" style="3" customWidth="1"/>
    <col min="3333" max="3333" width="18" style="3" customWidth="1"/>
    <col min="3334" max="3334" width="59.7109375" style="3" customWidth="1"/>
    <col min="3335" max="3335" width="16.140625" style="3" customWidth="1"/>
    <col min="3336" max="3336" width="18.5703125" style="3" bestFit="1" customWidth="1"/>
    <col min="3337" max="3585" width="8.85546875" style="3"/>
    <col min="3586" max="3586" width="5.7109375" style="3" customWidth="1"/>
    <col min="3587" max="3587" width="62.7109375" style="3" customWidth="1"/>
    <col min="3588" max="3588" width="12.42578125" style="3" customWidth="1"/>
    <col min="3589" max="3589" width="18" style="3" customWidth="1"/>
    <col min="3590" max="3590" width="59.7109375" style="3" customWidth="1"/>
    <col min="3591" max="3591" width="16.140625" style="3" customWidth="1"/>
    <col min="3592" max="3592" width="18.5703125" style="3" bestFit="1" customWidth="1"/>
    <col min="3593" max="3841" width="8.85546875" style="3"/>
    <col min="3842" max="3842" width="5.7109375" style="3" customWidth="1"/>
    <col min="3843" max="3843" width="62.7109375" style="3" customWidth="1"/>
    <col min="3844" max="3844" width="12.42578125" style="3" customWidth="1"/>
    <col min="3845" max="3845" width="18" style="3" customWidth="1"/>
    <col min="3846" max="3846" width="59.7109375" style="3" customWidth="1"/>
    <col min="3847" max="3847" width="16.140625" style="3" customWidth="1"/>
    <col min="3848" max="3848" width="18.5703125" style="3" bestFit="1" customWidth="1"/>
    <col min="3849" max="4097" width="8.85546875" style="3"/>
    <col min="4098" max="4098" width="5.7109375" style="3" customWidth="1"/>
    <col min="4099" max="4099" width="62.7109375" style="3" customWidth="1"/>
    <col min="4100" max="4100" width="12.42578125" style="3" customWidth="1"/>
    <col min="4101" max="4101" width="18" style="3" customWidth="1"/>
    <col min="4102" max="4102" width="59.7109375" style="3" customWidth="1"/>
    <col min="4103" max="4103" width="16.140625" style="3" customWidth="1"/>
    <col min="4104" max="4104" width="18.5703125" style="3" bestFit="1" customWidth="1"/>
    <col min="4105" max="4353" width="8.85546875" style="3"/>
    <col min="4354" max="4354" width="5.7109375" style="3" customWidth="1"/>
    <col min="4355" max="4355" width="62.7109375" style="3" customWidth="1"/>
    <col min="4356" max="4356" width="12.42578125" style="3" customWidth="1"/>
    <col min="4357" max="4357" width="18" style="3" customWidth="1"/>
    <col min="4358" max="4358" width="59.7109375" style="3" customWidth="1"/>
    <col min="4359" max="4359" width="16.140625" style="3" customWidth="1"/>
    <col min="4360" max="4360" width="18.5703125" style="3" bestFit="1" customWidth="1"/>
    <col min="4361" max="4609" width="8.85546875" style="3"/>
    <col min="4610" max="4610" width="5.7109375" style="3" customWidth="1"/>
    <col min="4611" max="4611" width="62.7109375" style="3" customWidth="1"/>
    <col min="4612" max="4612" width="12.42578125" style="3" customWidth="1"/>
    <col min="4613" max="4613" width="18" style="3" customWidth="1"/>
    <col min="4614" max="4614" width="59.7109375" style="3" customWidth="1"/>
    <col min="4615" max="4615" width="16.140625" style="3" customWidth="1"/>
    <col min="4616" max="4616" width="18.5703125" style="3" bestFit="1" customWidth="1"/>
    <col min="4617" max="4865" width="8.85546875" style="3"/>
    <col min="4866" max="4866" width="5.7109375" style="3" customWidth="1"/>
    <col min="4867" max="4867" width="62.7109375" style="3" customWidth="1"/>
    <col min="4868" max="4868" width="12.42578125" style="3" customWidth="1"/>
    <col min="4869" max="4869" width="18" style="3" customWidth="1"/>
    <col min="4870" max="4870" width="59.7109375" style="3" customWidth="1"/>
    <col min="4871" max="4871" width="16.140625" style="3" customWidth="1"/>
    <col min="4872" max="4872" width="18.5703125" style="3" bestFit="1" customWidth="1"/>
    <col min="4873" max="5121" width="8.85546875" style="3"/>
    <col min="5122" max="5122" width="5.7109375" style="3" customWidth="1"/>
    <col min="5123" max="5123" width="62.7109375" style="3" customWidth="1"/>
    <col min="5124" max="5124" width="12.42578125" style="3" customWidth="1"/>
    <col min="5125" max="5125" width="18" style="3" customWidth="1"/>
    <col min="5126" max="5126" width="59.7109375" style="3" customWidth="1"/>
    <col min="5127" max="5127" width="16.140625" style="3" customWidth="1"/>
    <col min="5128" max="5128" width="18.5703125" style="3" bestFit="1" customWidth="1"/>
    <col min="5129" max="5377" width="8.85546875" style="3"/>
    <col min="5378" max="5378" width="5.7109375" style="3" customWidth="1"/>
    <col min="5379" max="5379" width="62.7109375" style="3" customWidth="1"/>
    <col min="5380" max="5380" width="12.42578125" style="3" customWidth="1"/>
    <col min="5381" max="5381" width="18" style="3" customWidth="1"/>
    <col min="5382" max="5382" width="59.7109375" style="3" customWidth="1"/>
    <col min="5383" max="5383" width="16.140625" style="3" customWidth="1"/>
    <col min="5384" max="5384" width="18.5703125" style="3" bestFit="1" customWidth="1"/>
    <col min="5385" max="5633" width="8.85546875" style="3"/>
    <col min="5634" max="5634" width="5.7109375" style="3" customWidth="1"/>
    <col min="5635" max="5635" width="62.7109375" style="3" customWidth="1"/>
    <col min="5636" max="5636" width="12.42578125" style="3" customWidth="1"/>
    <col min="5637" max="5637" width="18" style="3" customWidth="1"/>
    <col min="5638" max="5638" width="59.7109375" style="3" customWidth="1"/>
    <col min="5639" max="5639" width="16.140625" style="3" customWidth="1"/>
    <col min="5640" max="5640" width="18.5703125" style="3" bestFit="1" customWidth="1"/>
    <col min="5641" max="5889" width="8.85546875" style="3"/>
    <col min="5890" max="5890" width="5.7109375" style="3" customWidth="1"/>
    <col min="5891" max="5891" width="62.7109375" style="3" customWidth="1"/>
    <col min="5892" max="5892" width="12.42578125" style="3" customWidth="1"/>
    <col min="5893" max="5893" width="18" style="3" customWidth="1"/>
    <col min="5894" max="5894" width="59.7109375" style="3" customWidth="1"/>
    <col min="5895" max="5895" width="16.140625" style="3" customWidth="1"/>
    <col min="5896" max="5896" width="18.5703125" style="3" bestFit="1" customWidth="1"/>
    <col min="5897" max="6145" width="8.85546875" style="3"/>
    <col min="6146" max="6146" width="5.7109375" style="3" customWidth="1"/>
    <col min="6147" max="6147" width="62.7109375" style="3" customWidth="1"/>
    <col min="6148" max="6148" width="12.42578125" style="3" customWidth="1"/>
    <col min="6149" max="6149" width="18" style="3" customWidth="1"/>
    <col min="6150" max="6150" width="59.7109375" style="3" customWidth="1"/>
    <col min="6151" max="6151" width="16.140625" style="3" customWidth="1"/>
    <col min="6152" max="6152" width="18.5703125" style="3" bestFit="1" customWidth="1"/>
    <col min="6153" max="6401" width="8.85546875" style="3"/>
    <col min="6402" max="6402" width="5.7109375" style="3" customWidth="1"/>
    <col min="6403" max="6403" width="62.7109375" style="3" customWidth="1"/>
    <col min="6404" max="6404" width="12.42578125" style="3" customWidth="1"/>
    <col min="6405" max="6405" width="18" style="3" customWidth="1"/>
    <col min="6406" max="6406" width="59.7109375" style="3" customWidth="1"/>
    <col min="6407" max="6407" width="16.140625" style="3" customWidth="1"/>
    <col min="6408" max="6408" width="18.5703125" style="3" bestFit="1" customWidth="1"/>
    <col min="6409" max="6657" width="8.85546875" style="3"/>
    <col min="6658" max="6658" width="5.7109375" style="3" customWidth="1"/>
    <col min="6659" max="6659" width="62.7109375" style="3" customWidth="1"/>
    <col min="6660" max="6660" width="12.42578125" style="3" customWidth="1"/>
    <col min="6661" max="6661" width="18" style="3" customWidth="1"/>
    <col min="6662" max="6662" width="59.7109375" style="3" customWidth="1"/>
    <col min="6663" max="6663" width="16.140625" style="3" customWidth="1"/>
    <col min="6664" max="6664" width="18.5703125" style="3" bestFit="1" customWidth="1"/>
    <col min="6665" max="6913" width="8.85546875" style="3"/>
    <col min="6914" max="6914" width="5.7109375" style="3" customWidth="1"/>
    <col min="6915" max="6915" width="62.7109375" style="3" customWidth="1"/>
    <col min="6916" max="6916" width="12.42578125" style="3" customWidth="1"/>
    <col min="6917" max="6917" width="18" style="3" customWidth="1"/>
    <col min="6918" max="6918" width="59.7109375" style="3" customWidth="1"/>
    <col min="6919" max="6919" width="16.140625" style="3" customWidth="1"/>
    <col min="6920" max="6920" width="18.5703125" style="3" bestFit="1" customWidth="1"/>
    <col min="6921" max="7169" width="8.85546875" style="3"/>
    <col min="7170" max="7170" width="5.7109375" style="3" customWidth="1"/>
    <col min="7171" max="7171" width="62.7109375" style="3" customWidth="1"/>
    <col min="7172" max="7172" width="12.42578125" style="3" customWidth="1"/>
    <col min="7173" max="7173" width="18" style="3" customWidth="1"/>
    <col min="7174" max="7174" width="59.7109375" style="3" customWidth="1"/>
    <col min="7175" max="7175" width="16.140625" style="3" customWidth="1"/>
    <col min="7176" max="7176" width="18.5703125" style="3" bestFit="1" customWidth="1"/>
    <col min="7177" max="7425" width="8.85546875" style="3"/>
    <col min="7426" max="7426" width="5.7109375" style="3" customWidth="1"/>
    <col min="7427" max="7427" width="62.7109375" style="3" customWidth="1"/>
    <col min="7428" max="7428" width="12.42578125" style="3" customWidth="1"/>
    <col min="7429" max="7429" width="18" style="3" customWidth="1"/>
    <col min="7430" max="7430" width="59.7109375" style="3" customWidth="1"/>
    <col min="7431" max="7431" width="16.140625" style="3" customWidth="1"/>
    <col min="7432" max="7432" width="18.5703125" style="3" bestFit="1" customWidth="1"/>
    <col min="7433" max="7681" width="8.85546875" style="3"/>
    <col min="7682" max="7682" width="5.7109375" style="3" customWidth="1"/>
    <col min="7683" max="7683" width="62.7109375" style="3" customWidth="1"/>
    <col min="7684" max="7684" width="12.42578125" style="3" customWidth="1"/>
    <col min="7685" max="7685" width="18" style="3" customWidth="1"/>
    <col min="7686" max="7686" width="59.7109375" style="3" customWidth="1"/>
    <col min="7687" max="7687" width="16.140625" style="3" customWidth="1"/>
    <col min="7688" max="7688" width="18.5703125" style="3" bestFit="1" customWidth="1"/>
    <col min="7689" max="7937" width="8.85546875" style="3"/>
    <col min="7938" max="7938" width="5.7109375" style="3" customWidth="1"/>
    <col min="7939" max="7939" width="62.7109375" style="3" customWidth="1"/>
    <col min="7940" max="7940" width="12.42578125" style="3" customWidth="1"/>
    <col min="7941" max="7941" width="18" style="3" customWidth="1"/>
    <col min="7942" max="7942" width="59.7109375" style="3" customWidth="1"/>
    <col min="7943" max="7943" width="16.140625" style="3" customWidth="1"/>
    <col min="7944" max="7944" width="18.5703125" style="3" bestFit="1" customWidth="1"/>
    <col min="7945" max="8193" width="8.85546875" style="3"/>
    <col min="8194" max="8194" width="5.7109375" style="3" customWidth="1"/>
    <col min="8195" max="8195" width="62.7109375" style="3" customWidth="1"/>
    <col min="8196" max="8196" width="12.42578125" style="3" customWidth="1"/>
    <col min="8197" max="8197" width="18" style="3" customWidth="1"/>
    <col min="8198" max="8198" width="59.7109375" style="3" customWidth="1"/>
    <col min="8199" max="8199" width="16.140625" style="3" customWidth="1"/>
    <col min="8200" max="8200" width="18.5703125" style="3" bestFit="1" customWidth="1"/>
    <col min="8201" max="8449" width="8.85546875" style="3"/>
    <col min="8450" max="8450" width="5.7109375" style="3" customWidth="1"/>
    <col min="8451" max="8451" width="62.7109375" style="3" customWidth="1"/>
    <col min="8452" max="8452" width="12.42578125" style="3" customWidth="1"/>
    <col min="8453" max="8453" width="18" style="3" customWidth="1"/>
    <col min="8454" max="8454" width="59.7109375" style="3" customWidth="1"/>
    <col min="8455" max="8455" width="16.140625" style="3" customWidth="1"/>
    <col min="8456" max="8456" width="18.5703125" style="3" bestFit="1" customWidth="1"/>
    <col min="8457" max="8705" width="8.85546875" style="3"/>
    <col min="8706" max="8706" width="5.7109375" style="3" customWidth="1"/>
    <col min="8707" max="8707" width="62.7109375" style="3" customWidth="1"/>
    <col min="8708" max="8708" width="12.42578125" style="3" customWidth="1"/>
    <col min="8709" max="8709" width="18" style="3" customWidth="1"/>
    <col min="8710" max="8710" width="59.7109375" style="3" customWidth="1"/>
    <col min="8711" max="8711" width="16.140625" style="3" customWidth="1"/>
    <col min="8712" max="8712" width="18.5703125" style="3" bestFit="1" customWidth="1"/>
    <col min="8713" max="8961" width="8.85546875" style="3"/>
    <col min="8962" max="8962" width="5.7109375" style="3" customWidth="1"/>
    <col min="8963" max="8963" width="62.7109375" style="3" customWidth="1"/>
    <col min="8964" max="8964" width="12.42578125" style="3" customWidth="1"/>
    <col min="8965" max="8965" width="18" style="3" customWidth="1"/>
    <col min="8966" max="8966" width="59.7109375" style="3" customWidth="1"/>
    <col min="8967" max="8967" width="16.140625" style="3" customWidth="1"/>
    <col min="8968" max="8968" width="18.5703125" style="3" bestFit="1" customWidth="1"/>
    <col min="8969" max="9217" width="8.85546875" style="3"/>
    <col min="9218" max="9218" width="5.7109375" style="3" customWidth="1"/>
    <col min="9219" max="9219" width="62.7109375" style="3" customWidth="1"/>
    <col min="9220" max="9220" width="12.42578125" style="3" customWidth="1"/>
    <col min="9221" max="9221" width="18" style="3" customWidth="1"/>
    <col min="9222" max="9222" width="59.7109375" style="3" customWidth="1"/>
    <col min="9223" max="9223" width="16.140625" style="3" customWidth="1"/>
    <col min="9224" max="9224" width="18.5703125" style="3" bestFit="1" customWidth="1"/>
    <col min="9225" max="9473" width="8.85546875" style="3"/>
    <col min="9474" max="9474" width="5.7109375" style="3" customWidth="1"/>
    <col min="9475" max="9475" width="62.7109375" style="3" customWidth="1"/>
    <col min="9476" max="9476" width="12.42578125" style="3" customWidth="1"/>
    <col min="9477" max="9477" width="18" style="3" customWidth="1"/>
    <col min="9478" max="9478" width="59.7109375" style="3" customWidth="1"/>
    <col min="9479" max="9479" width="16.140625" style="3" customWidth="1"/>
    <col min="9480" max="9480" width="18.5703125" style="3" bestFit="1" customWidth="1"/>
    <col min="9481" max="9729" width="8.85546875" style="3"/>
    <col min="9730" max="9730" width="5.7109375" style="3" customWidth="1"/>
    <col min="9731" max="9731" width="62.7109375" style="3" customWidth="1"/>
    <col min="9732" max="9732" width="12.42578125" style="3" customWidth="1"/>
    <col min="9733" max="9733" width="18" style="3" customWidth="1"/>
    <col min="9734" max="9734" width="59.7109375" style="3" customWidth="1"/>
    <col min="9735" max="9735" width="16.140625" style="3" customWidth="1"/>
    <col min="9736" max="9736" width="18.5703125" style="3" bestFit="1" customWidth="1"/>
    <col min="9737" max="9985" width="8.85546875" style="3"/>
    <col min="9986" max="9986" width="5.7109375" style="3" customWidth="1"/>
    <col min="9987" max="9987" width="62.7109375" style="3" customWidth="1"/>
    <col min="9988" max="9988" width="12.42578125" style="3" customWidth="1"/>
    <col min="9989" max="9989" width="18" style="3" customWidth="1"/>
    <col min="9990" max="9990" width="59.7109375" style="3" customWidth="1"/>
    <col min="9991" max="9991" width="16.140625" style="3" customWidth="1"/>
    <col min="9992" max="9992" width="18.5703125" style="3" bestFit="1" customWidth="1"/>
    <col min="9993" max="10241" width="8.85546875" style="3"/>
    <col min="10242" max="10242" width="5.7109375" style="3" customWidth="1"/>
    <col min="10243" max="10243" width="62.7109375" style="3" customWidth="1"/>
    <col min="10244" max="10244" width="12.42578125" style="3" customWidth="1"/>
    <col min="10245" max="10245" width="18" style="3" customWidth="1"/>
    <col min="10246" max="10246" width="59.7109375" style="3" customWidth="1"/>
    <col min="10247" max="10247" width="16.140625" style="3" customWidth="1"/>
    <col min="10248" max="10248" width="18.5703125" style="3" bestFit="1" customWidth="1"/>
    <col min="10249" max="10497" width="8.85546875" style="3"/>
    <col min="10498" max="10498" width="5.7109375" style="3" customWidth="1"/>
    <col min="10499" max="10499" width="62.7109375" style="3" customWidth="1"/>
    <col min="10500" max="10500" width="12.42578125" style="3" customWidth="1"/>
    <col min="10501" max="10501" width="18" style="3" customWidth="1"/>
    <col min="10502" max="10502" width="59.7109375" style="3" customWidth="1"/>
    <col min="10503" max="10503" width="16.140625" style="3" customWidth="1"/>
    <col min="10504" max="10504" width="18.5703125" style="3" bestFit="1" customWidth="1"/>
    <col min="10505" max="10753" width="8.85546875" style="3"/>
    <col min="10754" max="10754" width="5.7109375" style="3" customWidth="1"/>
    <col min="10755" max="10755" width="62.7109375" style="3" customWidth="1"/>
    <col min="10756" max="10756" width="12.42578125" style="3" customWidth="1"/>
    <col min="10757" max="10757" width="18" style="3" customWidth="1"/>
    <col min="10758" max="10758" width="59.7109375" style="3" customWidth="1"/>
    <col min="10759" max="10759" width="16.140625" style="3" customWidth="1"/>
    <col min="10760" max="10760" width="18.5703125" style="3" bestFit="1" customWidth="1"/>
    <col min="10761" max="11009" width="8.85546875" style="3"/>
    <col min="11010" max="11010" width="5.7109375" style="3" customWidth="1"/>
    <col min="11011" max="11011" width="62.7109375" style="3" customWidth="1"/>
    <col min="11012" max="11012" width="12.42578125" style="3" customWidth="1"/>
    <col min="11013" max="11013" width="18" style="3" customWidth="1"/>
    <col min="11014" max="11014" width="59.7109375" style="3" customWidth="1"/>
    <col min="11015" max="11015" width="16.140625" style="3" customWidth="1"/>
    <col min="11016" max="11016" width="18.5703125" style="3" bestFit="1" customWidth="1"/>
    <col min="11017" max="11265" width="8.85546875" style="3"/>
    <col min="11266" max="11266" width="5.7109375" style="3" customWidth="1"/>
    <col min="11267" max="11267" width="62.7109375" style="3" customWidth="1"/>
    <col min="11268" max="11268" width="12.42578125" style="3" customWidth="1"/>
    <col min="11269" max="11269" width="18" style="3" customWidth="1"/>
    <col min="11270" max="11270" width="59.7109375" style="3" customWidth="1"/>
    <col min="11271" max="11271" width="16.140625" style="3" customWidth="1"/>
    <col min="11272" max="11272" width="18.5703125" style="3" bestFit="1" customWidth="1"/>
    <col min="11273" max="11521" width="8.85546875" style="3"/>
    <col min="11522" max="11522" width="5.7109375" style="3" customWidth="1"/>
    <col min="11523" max="11523" width="62.7109375" style="3" customWidth="1"/>
    <col min="11524" max="11524" width="12.42578125" style="3" customWidth="1"/>
    <col min="11525" max="11525" width="18" style="3" customWidth="1"/>
    <col min="11526" max="11526" width="59.7109375" style="3" customWidth="1"/>
    <col min="11527" max="11527" width="16.140625" style="3" customWidth="1"/>
    <col min="11528" max="11528" width="18.5703125" style="3" bestFit="1" customWidth="1"/>
    <col min="11529" max="11777" width="8.85546875" style="3"/>
    <col min="11778" max="11778" width="5.7109375" style="3" customWidth="1"/>
    <col min="11779" max="11779" width="62.7109375" style="3" customWidth="1"/>
    <col min="11780" max="11780" width="12.42578125" style="3" customWidth="1"/>
    <col min="11781" max="11781" width="18" style="3" customWidth="1"/>
    <col min="11782" max="11782" width="59.7109375" style="3" customWidth="1"/>
    <col min="11783" max="11783" width="16.140625" style="3" customWidth="1"/>
    <col min="11784" max="11784" width="18.5703125" style="3" bestFit="1" customWidth="1"/>
    <col min="11785" max="12033" width="8.85546875" style="3"/>
    <col min="12034" max="12034" width="5.7109375" style="3" customWidth="1"/>
    <col min="12035" max="12035" width="62.7109375" style="3" customWidth="1"/>
    <col min="12036" max="12036" width="12.42578125" style="3" customWidth="1"/>
    <col min="12037" max="12037" width="18" style="3" customWidth="1"/>
    <col min="12038" max="12038" width="59.7109375" style="3" customWidth="1"/>
    <col min="12039" max="12039" width="16.140625" style="3" customWidth="1"/>
    <col min="12040" max="12040" width="18.5703125" style="3" bestFit="1" customWidth="1"/>
    <col min="12041" max="12289" width="8.85546875" style="3"/>
    <col min="12290" max="12290" width="5.7109375" style="3" customWidth="1"/>
    <col min="12291" max="12291" width="62.7109375" style="3" customWidth="1"/>
    <col min="12292" max="12292" width="12.42578125" style="3" customWidth="1"/>
    <col min="12293" max="12293" width="18" style="3" customWidth="1"/>
    <col min="12294" max="12294" width="59.7109375" style="3" customWidth="1"/>
    <col min="12295" max="12295" width="16.140625" style="3" customWidth="1"/>
    <col min="12296" max="12296" width="18.5703125" style="3" bestFit="1" customWidth="1"/>
    <col min="12297" max="12545" width="8.85546875" style="3"/>
    <col min="12546" max="12546" width="5.7109375" style="3" customWidth="1"/>
    <col min="12547" max="12547" width="62.7109375" style="3" customWidth="1"/>
    <col min="12548" max="12548" width="12.42578125" style="3" customWidth="1"/>
    <col min="12549" max="12549" width="18" style="3" customWidth="1"/>
    <col min="12550" max="12550" width="59.7109375" style="3" customWidth="1"/>
    <col min="12551" max="12551" width="16.140625" style="3" customWidth="1"/>
    <col min="12552" max="12552" width="18.5703125" style="3" bestFit="1" customWidth="1"/>
    <col min="12553" max="12801" width="8.85546875" style="3"/>
    <col min="12802" max="12802" width="5.7109375" style="3" customWidth="1"/>
    <col min="12803" max="12803" width="62.7109375" style="3" customWidth="1"/>
    <col min="12804" max="12804" width="12.42578125" style="3" customWidth="1"/>
    <col min="12805" max="12805" width="18" style="3" customWidth="1"/>
    <col min="12806" max="12806" width="59.7109375" style="3" customWidth="1"/>
    <col min="12807" max="12807" width="16.140625" style="3" customWidth="1"/>
    <col min="12808" max="12808" width="18.5703125" style="3" bestFit="1" customWidth="1"/>
    <col min="12809" max="13057" width="8.85546875" style="3"/>
    <col min="13058" max="13058" width="5.7109375" style="3" customWidth="1"/>
    <col min="13059" max="13059" width="62.7109375" style="3" customWidth="1"/>
    <col min="13060" max="13060" width="12.42578125" style="3" customWidth="1"/>
    <col min="13061" max="13061" width="18" style="3" customWidth="1"/>
    <col min="13062" max="13062" width="59.7109375" style="3" customWidth="1"/>
    <col min="13063" max="13063" width="16.140625" style="3" customWidth="1"/>
    <col min="13064" max="13064" width="18.5703125" style="3" bestFit="1" customWidth="1"/>
    <col min="13065" max="13313" width="8.85546875" style="3"/>
    <col min="13314" max="13314" width="5.7109375" style="3" customWidth="1"/>
    <col min="13315" max="13315" width="62.7109375" style="3" customWidth="1"/>
    <col min="13316" max="13316" width="12.42578125" style="3" customWidth="1"/>
    <col min="13317" max="13317" width="18" style="3" customWidth="1"/>
    <col min="13318" max="13318" width="59.7109375" style="3" customWidth="1"/>
    <col min="13319" max="13319" width="16.140625" style="3" customWidth="1"/>
    <col min="13320" max="13320" width="18.5703125" style="3" bestFit="1" customWidth="1"/>
    <col min="13321" max="13569" width="8.85546875" style="3"/>
    <col min="13570" max="13570" width="5.7109375" style="3" customWidth="1"/>
    <col min="13571" max="13571" width="62.7109375" style="3" customWidth="1"/>
    <col min="13572" max="13572" width="12.42578125" style="3" customWidth="1"/>
    <col min="13573" max="13573" width="18" style="3" customWidth="1"/>
    <col min="13574" max="13574" width="59.7109375" style="3" customWidth="1"/>
    <col min="13575" max="13575" width="16.140625" style="3" customWidth="1"/>
    <col min="13576" max="13576" width="18.5703125" style="3" bestFit="1" customWidth="1"/>
    <col min="13577" max="13825" width="8.85546875" style="3"/>
    <col min="13826" max="13826" width="5.7109375" style="3" customWidth="1"/>
    <col min="13827" max="13827" width="62.7109375" style="3" customWidth="1"/>
    <col min="13828" max="13828" width="12.42578125" style="3" customWidth="1"/>
    <col min="13829" max="13829" width="18" style="3" customWidth="1"/>
    <col min="13830" max="13830" width="59.7109375" style="3" customWidth="1"/>
    <col min="13831" max="13831" width="16.140625" style="3" customWidth="1"/>
    <col min="13832" max="13832" width="18.5703125" style="3" bestFit="1" customWidth="1"/>
    <col min="13833" max="14081" width="8.85546875" style="3"/>
    <col min="14082" max="14082" width="5.7109375" style="3" customWidth="1"/>
    <col min="14083" max="14083" width="62.7109375" style="3" customWidth="1"/>
    <col min="14084" max="14084" width="12.42578125" style="3" customWidth="1"/>
    <col min="14085" max="14085" width="18" style="3" customWidth="1"/>
    <col min="14086" max="14086" width="59.7109375" style="3" customWidth="1"/>
    <col min="14087" max="14087" width="16.140625" style="3" customWidth="1"/>
    <col min="14088" max="14088" width="18.5703125" style="3" bestFit="1" customWidth="1"/>
    <col min="14089" max="14337" width="8.85546875" style="3"/>
    <col min="14338" max="14338" width="5.7109375" style="3" customWidth="1"/>
    <col min="14339" max="14339" width="62.7109375" style="3" customWidth="1"/>
    <col min="14340" max="14340" width="12.42578125" style="3" customWidth="1"/>
    <col min="14341" max="14341" width="18" style="3" customWidth="1"/>
    <col min="14342" max="14342" width="59.7109375" style="3" customWidth="1"/>
    <col min="14343" max="14343" width="16.140625" style="3" customWidth="1"/>
    <col min="14344" max="14344" width="18.5703125" style="3" bestFit="1" customWidth="1"/>
    <col min="14345" max="14593" width="8.85546875" style="3"/>
    <col min="14594" max="14594" width="5.7109375" style="3" customWidth="1"/>
    <col min="14595" max="14595" width="62.7109375" style="3" customWidth="1"/>
    <col min="14596" max="14596" width="12.42578125" style="3" customWidth="1"/>
    <col min="14597" max="14597" width="18" style="3" customWidth="1"/>
    <col min="14598" max="14598" width="59.7109375" style="3" customWidth="1"/>
    <col min="14599" max="14599" width="16.140625" style="3" customWidth="1"/>
    <col min="14600" max="14600" width="18.5703125" style="3" bestFit="1" customWidth="1"/>
    <col min="14601" max="14849" width="8.85546875" style="3"/>
    <col min="14850" max="14850" width="5.7109375" style="3" customWidth="1"/>
    <col min="14851" max="14851" width="62.7109375" style="3" customWidth="1"/>
    <col min="14852" max="14852" width="12.42578125" style="3" customWidth="1"/>
    <col min="14853" max="14853" width="18" style="3" customWidth="1"/>
    <col min="14854" max="14854" width="59.7109375" style="3" customWidth="1"/>
    <col min="14855" max="14855" width="16.140625" style="3" customWidth="1"/>
    <col min="14856" max="14856" width="18.5703125" style="3" bestFit="1" customWidth="1"/>
    <col min="14857" max="15105" width="8.85546875" style="3"/>
    <col min="15106" max="15106" width="5.7109375" style="3" customWidth="1"/>
    <col min="15107" max="15107" width="62.7109375" style="3" customWidth="1"/>
    <col min="15108" max="15108" width="12.42578125" style="3" customWidth="1"/>
    <col min="15109" max="15109" width="18" style="3" customWidth="1"/>
    <col min="15110" max="15110" width="59.7109375" style="3" customWidth="1"/>
    <col min="15111" max="15111" width="16.140625" style="3" customWidth="1"/>
    <col min="15112" max="15112" width="18.5703125" style="3" bestFit="1" customWidth="1"/>
    <col min="15113" max="15361" width="8.85546875" style="3"/>
    <col min="15362" max="15362" width="5.7109375" style="3" customWidth="1"/>
    <col min="15363" max="15363" width="62.7109375" style="3" customWidth="1"/>
    <col min="15364" max="15364" width="12.42578125" style="3" customWidth="1"/>
    <col min="15365" max="15365" width="18" style="3" customWidth="1"/>
    <col min="15366" max="15366" width="59.7109375" style="3" customWidth="1"/>
    <col min="15367" max="15367" width="16.140625" style="3" customWidth="1"/>
    <col min="15368" max="15368" width="18.5703125" style="3" bestFit="1" customWidth="1"/>
    <col min="15369" max="15617" width="8.85546875" style="3"/>
    <col min="15618" max="15618" width="5.7109375" style="3" customWidth="1"/>
    <col min="15619" max="15619" width="62.7109375" style="3" customWidth="1"/>
    <col min="15620" max="15620" width="12.42578125" style="3" customWidth="1"/>
    <col min="15621" max="15621" width="18" style="3" customWidth="1"/>
    <col min="15622" max="15622" width="59.7109375" style="3" customWidth="1"/>
    <col min="15623" max="15623" width="16.140625" style="3" customWidth="1"/>
    <col min="15624" max="15624" width="18.5703125" style="3" bestFit="1" customWidth="1"/>
    <col min="15625" max="15873" width="8.85546875" style="3"/>
    <col min="15874" max="15874" width="5.7109375" style="3" customWidth="1"/>
    <col min="15875" max="15875" width="62.7109375" style="3" customWidth="1"/>
    <col min="15876" max="15876" width="12.42578125" style="3" customWidth="1"/>
    <col min="15877" max="15877" width="18" style="3" customWidth="1"/>
    <col min="15878" max="15878" width="59.7109375" style="3" customWidth="1"/>
    <col min="15879" max="15879" width="16.140625" style="3" customWidth="1"/>
    <col min="15880" max="15880" width="18.5703125" style="3" bestFit="1" customWidth="1"/>
    <col min="15881" max="16129" width="8.85546875" style="3"/>
    <col min="16130" max="16130" width="5.7109375" style="3" customWidth="1"/>
    <col min="16131" max="16131" width="62.7109375" style="3" customWidth="1"/>
    <col min="16132" max="16132" width="12.42578125" style="3" customWidth="1"/>
    <col min="16133" max="16133" width="18" style="3" customWidth="1"/>
    <col min="16134" max="16134" width="59.7109375" style="3" customWidth="1"/>
    <col min="16135" max="16135" width="16.140625" style="3" customWidth="1"/>
    <col min="16136" max="16136" width="18.5703125" style="3" bestFit="1" customWidth="1"/>
    <col min="16137" max="16384" width="8.85546875" style="3"/>
  </cols>
  <sheetData>
    <row r="1" spans="2:8" x14ac:dyDescent="0.15">
      <c r="B1" s="130" t="s">
        <v>0</v>
      </c>
      <c r="C1" s="130"/>
      <c r="D1" s="130"/>
      <c r="E1" s="130"/>
    </row>
    <row r="2" spans="2:8" x14ac:dyDescent="0.15">
      <c r="B2" s="4"/>
      <c r="C2" s="5"/>
      <c r="D2" s="56"/>
      <c r="E2" s="56"/>
    </row>
    <row r="3" spans="2:8" x14ac:dyDescent="0.15">
      <c r="B3" s="2"/>
      <c r="C3" s="2"/>
      <c r="D3" s="2"/>
      <c r="E3" s="2"/>
    </row>
    <row r="4" spans="2:8" x14ac:dyDescent="0.15">
      <c r="B4" s="6" t="s">
        <v>2</v>
      </c>
      <c r="C4" s="6"/>
      <c r="D4" s="131"/>
      <c r="E4" s="131"/>
    </row>
    <row r="5" spans="2:8" ht="16.5" customHeight="1" x14ac:dyDescent="0.15">
      <c r="B5" s="2"/>
      <c r="C5" s="5"/>
      <c r="D5" s="132" t="s">
        <v>217</v>
      </c>
      <c r="E5" s="132"/>
      <c r="H5" s="5" t="s">
        <v>1</v>
      </c>
    </row>
    <row r="6" spans="2:8" x14ac:dyDescent="0.15">
      <c r="B6" s="54"/>
      <c r="C6" s="7" t="s">
        <v>3</v>
      </c>
      <c r="D6" s="113" t="s">
        <v>4</v>
      </c>
      <c r="E6" s="113"/>
    </row>
    <row r="7" spans="2:8" x14ac:dyDescent="0.15">
      <c r="B7" s="8" t="s">
        <v>5</v>
      </c>
      <c r="C7" s="8" t="s">
        <v>6</v>
      </c>
      <c r="D7" s="125">
        <v>2899.79</v>
      </c>
      <c r="E7" s="125"/>
    </row>
    <row r="8" spans="2:8" ht="11.25" customHeight="1" x14ac:dyDescent="0.15">
      <c r="B8" s="8" t="s">
        <v>7</v>
      </c>
      <c r="C8" s="8" t="s">
        <v>8</v>
      </c>
      <c r="D8" s="125" t="s">
        <v>117</v>
      </c>
      <c r="E8" s="125"/>
    </row>
    <row r="9" spans="2:8" x14ac:dyDescent="0.15">
      <c r="B9" s="8" t="s">
        <v>9</v>
      </c>
      <c r="C9" s="8" t="s">
        <v>10</v>
      </c>
      <c r="D9" s="125" t="s">
        <v>117</v>
      </c>
      <c r="E9" s="125"/>
    </row>
    <row r="10" spans="2:8" x14ac:dyDescent="0.15">
      <c r="B10" s="8" t="s">
        <v>11</v>
      </c>
      <c r="C10" s="8" t="s">
        <v>12</v>
      </c>
      <c r="D10" s="125" t="s">
        <v>117</v>
      </c>
      <c r="E10" s="125"/>
      <c r="H10" s="30" t="s">
        <v>131</v>
      </c>
    </row>
    <row r="11" spans="2:8" x14ac:dyDescent="0.15">
      <c r="B11" s="8" t="s">
        <v>13</v>
      </c>
      <c r="C11" s="8" t="s">
        <v>130</v>
      </c>
      <c r="D11" s="125" t="s">
        <v>117</v>
      </c>
      <c r="E11" s="125"/>
      <c r="H11" s="30" t="s">
        <v>132</v>
      </c>
    </row>
    <row r="12" spans="2:8" x14ac:dyDescent="0.15">
      <c r="B12" s="8" t="s">
        <v>14</v>
      </c>
      <c r="C12" s="8" t="s">
        <v>15</v>
      </c>
      <c r="D12" s="125" t="s">
        <v>117</v>
      </c>
      <c r="E12" s="125"/>
    </row>
    <row r="13" spans="2:8" x14ac:dyDescent="0.15">
      <c r="B13" s="7"/>
      <c r="C13" s="7" t="s">
        <v>19</v>
      </c>
      <c r="D13" s="114">
        <f>SUM(D7:E12)</f>
        <v>2899.79</v>
      </c>
      <c r="E13" s="114"/>
    </row>
    <row r="14" spans="2:8" x14ac:dyDescent="0.15">
      <c r="B14" s="2"/>
      <c r="C14" s="2"/>
      <c r="D14" s="2"/>
      <c r="E14" s="2"/>
    </row>
    <row r="15" spans="2:8" x14ac:dyDescent="0.15">
      <c r="B15" s="6" t="s">
        <v>20</v>
      </c>
      <c r="C15" s="6"/>
      <c r="D15" s="2"/>
      <c r="E15" s="2"/>
    </row>
    <row r="16" spans="2:8" x14ac:dyDescent="0.15">
      <c r="B16" s="2"/>
      <c r="C16" s="5"/>
      <c r="D16" s="2"/>
      <c r="E16" s="2"/>
      <c r="F16" s="64" t="s">
        <v>177</v>
      </c>
    </row>
    <row r="17" spans="2:8" x14ac:dyDescent="0.15">
      <c r="B17" s="9">
        <v>2</v>
      </c>
      <c r="C17" s="8" t="s">
        <v>21</v>
      </c>
      <c r="D17" s="123" t="s">
        <v>4</v>
      </c>
      <c r="E17" s="123"/>
      <c r="F17" s="32" t="s">
        <v>149</v>
      </c>
      <c r="G17" s="32">
        <v>22</v>
      </c>
    </row>
    <row r="18" spans="2:8" x14ac:dyDescent="0.15">
      <c r="B18" s="8" t="s">
        <v>5</v>
      </c>
      <c r="C18" s="8" t="s">
        <v>22</v>
      </c>
      <c r="D18" s="124">
        <f>(8*2*G17)-(G18*D7)</f>
        <v>178.01260000000002</v>
      </c>
      <c r="E18" s="124"/>
      <c r="F18" s="32" t="s">
        <v>150</v>
      </c>
      <c r="G18" s="57">
        <v>0.06</v>
      </c>
      <c r="H18" s="30" t="s">
        <v>134</v>
      </c>
    </row>
    <row r="19" spans="2:8" x14ac:dyDescent="0.15">
      <c r="B19" s="8" t="s">
        <v>7</v>
      </c>
      <c r="C19" s="10" t="s">
        <v>23</v>
      </c>
      <c r="D19" s="124">
        <f>24.8*G17*G19</f>
        <v>545.6</v>
      </c>
      <c r="E19" s="124"/>
      <c r="F19" s="32" t="s">
        <v>214</v>
      </c>
      <c r="G19" s="57">
        <v>1</v>
      </c>
      <c r="H19" s="30" t="s">
        <v>133</v>
      </c>
    </row>
    <row r="20" spans="2:8" x14ac:dyDescent="0.15">
      <c r="B20" s="8" t="s">
        <v>9</v>
      </c>
      <c r="C20" s="8" t="s">
        <v>128</v>
      </c>
      <c r="D20" s="125">
        <v>0</v>
      </c>
      <c r="E20" s="125"/>
      <c r="H20" s="30" t="s">
        <v>133</v>
      </c>
    </row>
    <row r="21" spans="2:8" x14ac:dyDescent="0.15">
      <c r="B21" s="8" t="s">
        <v>11</v>
      </c>
      <c r="C21" s="8" t="s">
        <v>129</v>
      </c>
      <c r="D21" s="126">
        <v>0</v>
      </c>
      <c r="E21" s="127"/>
      <c r="H21" s="30" t="s">
        <v>133</v>
      </c>
    </row>
    <row r="22" spans="2:8" ht="15" customHeight="1" x14ac:dyDescent="0.15">
      <c r="B22" s="8" t="s">
        <v>13</v>
      </c>
      <c r="C22" s="8" t="s">
        <v>126</v>
      </c>
      <c r="D22" s="126">
        <v>0</v>
      </c>
      <c r="E22" s="127"/>
      <c r="H22" s="30" t="s">
        <v>133</v>
      </c>
    </row>
    <row r="23" spans="2:8" ht="15" customHeight="1" x14ac:dyDescent="0.15">
      <c r="B23" s="8" t="s">
        <v>14</v>
      </c>
      <c r="C23" s="8" t="s">
        <v>135</v>
      </c>
      <c r="D23" s="126">
        <v>0</v>
      </c>
      <c r="E23" s="127"/>
      <c r="H23" s="30" t="s">
        <v>133</v>
      </c>
    </row>
    <row r="24" spans="2:8" ht="15" customHeight="1" x14ac:dyDescent="0.15">
      <c r="B24" s="8" t="s">
        <v>16</v>
      </c>
      <c r="C24" s="8" t="s">
        <v>18</v>
      </c>
      <c r="D24" s="128">
        <v>0</v>
      </c>
      <c r="E24" s="129"/>
    </row>
    <row r="25" spans="2:8" x14ac:dyDescent="0.15">
      <c r="B25" s="8"/>
      <c r="C25" s="7" t="s">
        <v>24</v>
      </c>
      <c r="D25" s="114">
        <f>SUM(D18:D23)</f>
        <v>723.61260000000004</v>
      </c>
      <c r="E25" s="114"/>
    </row>
    <row r="26" spans="2:8" x14ac:dyDescent="0.15">
      <c r="B26" s="2"/>
      <c r="C26" s="2"/>
      <c r="D26" s="2"/>
      <c r="E26" s="2"/>
    </row>
    <row r="27" spans="2:8" x14ac:dyDescent="0.15">
      <c r="B27" s="120" t="s">
        <v>25</v>
      </c>
      <c r="C27" s="120"/>
      <c r="D27" s="2"/>
      <c r="E27" s="2"/>
    </row>
    <row r="28" spans="2:8" x14ac:dyDescent="0.15">
      <c r="B28" s="2"/>
      <c r="C28" s="5"/>
      <c r="D28" s="2"/>
      <c r="E28" s="2"/>
    </row>
    <row r="29" spans="2:8" x14ac:dyDescent="0.15">
      <c r="B29" s="9">
        <v>3</v>
      </c>
      <c r="C29" s="8" t="s">
        <v>26</v>
      </c>
      <c r="D29" s="123" t="s">
        <v>4</v>
      </c>
      <c r="E29" s="123"/>
    </row>
    <row r="30" spans="2:8" x14ac:dyDescent="0.15">
      <c r="B30" s="8" t="s">
        <v>5</v>
      </c>
      <c r="C30" s="8" t="s">
        <v>27</v>
      </c>
      <c r="D30" s="121">
        <f>Uniformes!D14</f>
        <v>22.208333333333332</v>
      </c>
      <c r="E30" s="121"/>
      <c r="H30" s="30" t="s">
        <v>178</v>
      </c>
    </row>
    <row r="31" spans="2:8" x14ac:dyDescent="0.15">
      <c r="B31" s="8" t="s">
        <v>7</v>
      </c>
      <c r="C31" s="8" t="s">
        <v>28</v>
      </c>
      <c r="D31" s="121">
        <v>1082.5</v>
      </c>
      <c r="E31" s="121"/>
      <c r="H31" s="30" t="s">
        <v>179</v>
      </c>
    </row>
    <row r="32" spans="2:8" ht="11.25" customHeight="1" x14ac:dyDescent="0.15">
      <c r="B32" s="8" t="s">
        <v>9</v>
      </c>
      <c r="C32" s="8" t="s">
        <v>136</v>
      </c>
      <c r="D32" s="122">
        <v>0</v>
      </c>
      <c r="E32" s="122"/>
      <c r="H32" s="30" t="s">
        <v>180</v>
      </c>
    </row>
    <row r="33" spans="2:8" x14ac:dyDescent="0.15">
      <c r="B33" s="8" t="s">
        <v>11</v>
      </c>
      <c r="C33" s="8" t="s">
        <v>18</v>
      </c>
      <c r="D33" s="122">
        <v>0</v>
      </c>
      <c r="E33" s="122"/>
    </row>
    <row r="34" spans="2:8" x14ac:dyDescent="0.15">
      <c r="B34" s="113" t="s">
        <v>29</v>
      </c>
      <c r="C34" s="113"/>
      <c r="D34" s="114">
        <f>SUM(D30:E33)</f>
        <v>1104.7083333333333</v>
      </c>
      <c r="E34" s="114"/>
    </row>
    <row r="35" spans="2:8" x14ac:dyDescent="0.15">
      <c r="B35" s="2"/>
      <c r="C35" s="2"/>
      <c r="D35" s="2"/>
      <c r="E35" s="2"/>
    </row>
    <row r="36" spans="2:8" x14ac:dyDescent="0.15">
      <c r="B36" s="6" t="s">
        <v>30</v>
      </c>
      <c r="C36" s="6"/>
      <c r="D36" s="2"/>
      <c r="E36" s="2"/>
    </row>
    <row r="37" spans="2:8" x14ac:dyDescent="0.15">
      <c r="B37" s="2"/>
      <c r="C37" s="2"/>
      <c r="D37" s="2"/>
      <c r="E37" s="2"/>
    </row>
    <row r="38" spans="2:8" x14ac:dyDescent="0.15">
      <c r="B38" s="6" t="s">
        <v>31</v>
      </c>
      <c r="C38" s="6"/>
      <c r="D38" s="2"/>
      <c r="E38" s="2"/>
    </row>
    <row r="39" spans="2:8" x14ac:dyDescent="0.15">
      <c r="B39" s="2"/>
      <c r="C39" s="5"/>
      <c r="D39" s="2"/>
      <c r="E39" s="2"/>
    </row>
    <row r="40" spans="2:8" x14ac:dyDescent="0.15">
      <c r="B40" s="7" t="s">
        <v>32</v>
      </c>
      <c r="C40" s="7" t="s">
        <v>33</v>
      </c>
      <c r="D40" s="53" t="s">
        <v>34</v>
      </c>
      <c r="E40" s="7" t="s">
        <v>4</v>
      </c>
    </row>
    <row r="41" spans="2:8" x14ac:dyDescent="0.15">
      <c r="B41" s="8" t="s">
        <v>5</v>
      </c>
      <c r="C41" s="8" t="s">
        <v>35</v>
      </c>
      <c r="D41" s="11">
        <v>0.2</v>
      </c>
      <c r="E41" s="12">
        <f>D41*D13</f>
        <v>579.95799999999997</v>
      </c>
      <c r="H41" s="30" t="s">
        <v>103</v>
      </c>
    </row>
    <row r="42" spans="2:8" x14ac:dyDescent="0.15">
      <c r="B42" s="8" t="s">
        <v>13</v>
      </c>
      <c r="C42" s="8" t="s">
        <v>36</v>
      </c>
      <c r="D42" s="13">
        <v>2.5000000000000001E-2</v>
      </c>
      <c r="E42" s="12">
        <f>D42*D13</f>
        <v>72.494749999999996</v>
      </c>
      <c r="H42" s="30" t="s">
        <v>104</v>
      </c>
    </row>
    <row r="43" spans="2:8" x14ac:dyDescent="0.15">
      <c r="B43" s="8" t="s">
        <v>17</v>
      </c>
      <c r="C43" s="8" t="s">
        <v>37</v>
      </c>
      <c r="D43" s="11">
        <v>6.0000000000000001E-3</v>
      </c>
      <c r="E43" s="12">
        <f>D43*D13</f>
        <v>17.39874</v>
      </c>
      <c r="H43" s="30" t="s">
        <v>105</v>
      </c>
    </row>
    <row r="44" spans="2:8" x14ac:dyDescent="0.15">
      <c r="B44" s="8" t="s">
        <v>7</v>
      </c>
      <c r="C44" s="8" t="s">
        <v>38</v>
      </c>
      <c r="D44" s="11">
        <v>1.4999999999999999E-2</v>
      </c>
      <c r="E44" s="12">
        <f>D44*D13</f>
        <v>43.496849999999995</v>
      </c>
      <c r="H44" s="30" t="s">
        <v>106</v>
      </c>
    </row>
    <row r="45" spans="2:8" x14ac:dyDescent="0.15">
      <c r="B45" s="8" t="s">
        <v>9</v>
      </c>
      <c r="C45" s="8" t="s">
        <v>39</v>
      </c>
      <c r="D45" s="11">
        <v>0.01</v>
      </c>
      <c r="E45" s="12">
        <f>D45*D13</f>
        <v>28.997900000000001</v>
      </c>
      <c r="H45" s="30" t="s">
        <v>107</v>
      </c>
    </row>
    <row r="46" spans="2:8" x14ac:dyDescent="0.15">
      <c r="B46" s="8" t="s">
        <v>11</v>
      </c>
      <c r="C46" s="8" t="s">
        <v>40</v>
      </c>
      <c r="D46" s="11">
        <v>2E-3</v>
      </c>
      <c r="E46" s="12">
        <f>D46*D13</f>
        <v>5.7995799999999997</v>
      </c>
      <c r="H46" s="30" t="s">
        <v>108</v>
      </c>
    </row>
    <row r="47" spans="2:8" x14ac:dyDescent="0.15">
      <c r="B47" s="8" t="s">
        <v>14</v>
      </c>
      <c r="C47" s="8" t="s">
        <v>41</v>
      </c>
      <c r="D47" s="11">
        <v>0.08</v>
      </c>
      <c r="E47" s="12">
        <f>D47*D13</f>
        <v>231.98320000000001</v>
      </c>
      <c r="H47" s="30" t="s">
        <v>109</v>
      </c>
    </row>
    <row r="48" spans="2:8" x14ac:dyDescent="0.15">
      <c r="B48" s="8" t="s">
        <v>16</v>
      </c>
      <c r="C48" s="8" t="s">
        <v>118</v>
      </c>
      <c r="D48" s="11">
        <v>0.06</v>
      </c>
      <c r="E48" s="12">
        <f>D48*D13</f>
        <v>173.98739999999998</v>
      </c>
      <c r="H48" s="30" t="s">
        <v>110</v>
      </c>
    </row>
    <row r="49" spans="2:9" x14ac:dyDescent="0.15">
      <c r="B49" s="113" t="s">
        <v>42</v>
      </c>
      <c r="C49" s="113"/>
      <c r="D49" s="14">
        <f>SUM(D41:D48)</f>
        <v>0.39800000000000002</v>
      </c>
      <c r="E49" s="15">
        <f>SUM(E41:E48)</f>
        <v>1154.1164199999998</v>
      </c>
    </row>
    <row r="50" spans="2:9" x14ac:dyDescent="0.15">
      <c r="B50" s="2"/>
      <c r="C50" s="2"/>
      <c r="D50" s="2"/>
      <c r="E50" s="2"/>
    </row>
    <row r="51" spans="2:9" x14ac:dyDescent="0.15">
      <c r="B51" s="6" t="s">
        <v>43</v>
      </c>
      <c r="C51" s="6"/>
      <c r="D51" s="2"/>
      <c r="E51" s="2"/>
    </row>
    <row r="52" spans="2:9" x14ac:dyDescent="0.15">
      <c r="B52" s="2"/>
      <c r="C52" s="5"/>
      <c r="D52" s="2"/>
      <c r="E52" s="2"/>
    </row>
    <row r="53" spans="2:9" x14ac:dyDescent="0.15">
      <c r="B53" s="7" t="s">
        <v>44</v>
      </c>
      <c r="C53" s="54" t="s">
        <v>45</v>
      </c>
      <c r="D53" s="53" t="s">
        <v>34</v>
      </c>
      <c r="E53" s="7" t="s">
        <v>4</v>
      </c>
    </row>
    <row r="54" spans="2:9" x14ac:dyDescent="0.15">
      <c r="B54" s="8" t="s">
        <v>5</v>
      </c>
      <c r="C54" s="9" t="s">
        <v>46</v>
      </c>
      <c r="D54" s="11">
        <f>1/12</f>
        <v>8.3333333333333329E-2</v>
      </c>
      <c r="E54" s="12">
        <f>D13*D54</f>
        <v>241.64916666666664</v>
      </c>
      <c r="H54" s="30" t="s">
        <v>111</v>
      </c>
    </row>
    <row r="55" spans="2:9" x14ac:dyDescent="0.15">
      <c r="B55" s="8" t="s">
        <v>7</v>
      </c>
      <c r="C55" s="9" t="s">
        <v>47</v>
      </c>
      <c r="D55" s="16">
        <f>1/3/12</f>
        <v>2.7777777777777776E-2</v>
      </c>
      <c r="E55" s="12">
        <f>D55*D13</f>
        <v>80.549722222222215</v>
      </c>
      <c r="H55" s="30" t="s">
        <v>112</v>
      </c>
    </row>
    <row r="56" spans="2:9" x14ac:dyDescent="0.15">
      <c r="B56" s="113" t="s">
        <v>48</v>
      </c>
      <c r="C56" s="113"/>
      <c r="D56" s="17">
        <f>SUM(D54:D55)</f>
        <v>0.1111111111111111</v>
      </c>
      <c r="E56" s="15">
        <f>SUM(E54:E55)</f>
        <v>322.19888888888886</v>
      </c>
    </row>
    <row r="57" spans="2:9" x14ac:dyDescent="0.15">
      <c r="B57" s="8" t="s">
        <v>9</v>
      </c>
      <c r="C57" s="9" t="s">
        <v>49</v>
      </c>
      <c r="D57" s="11">
        <f>D49*D56</f>
        <v>4.4222222222222225E-2</v>
      </c>
      <c r="E57" s="12">
        <f>D49*E56</f>
        <v>128.23515777777777</v>
      </c>
    </row>
    <row r="58" spans="2:9" x14ac:dyDescent="0.15">
      <c r="B58" s="113" t="s">
        <v>42</v>
      </c>
      <c r="C58" s="113"/>
      <c r="D58" s="17">
        <f>SUM(D56:D57)</f>
        <v>0.15533333333333332</v>
      </c>
      <c r="E58" s="15">
        <f>SUM(E56:E57)</f>
        <v>450.43404666666663</v>
      </c>
      <c r="H58" s="29"/>
    </row>
    <row r="59" spans="2:9" x14ac:dyDescent="0.15">
      <c r="B59" s="2"/>
      <c r="C59" s="2"/>
      <c r="D59" s="2"/>
      <c r="E59" s="2"/>
    </row>
    <row r="60" spans="2:9" x14ac:dyDescent="0.15">
      <c r="B60" s="6" t="s">
        <v>50</v>
      </c>
      <c r="C60" s="2"/>
      <c r="D60" s="2"/>
      <c r="E60" s="2"/>
    </row>
    <row r="61" spans="2:9" x14ac:dyDescent="0.15">
      <c r="B61" s="2"/>
      <c r="C61" s="5"/>
      <c r="D61" s="2"/>
      <c r="E61" s="2"/>
    </row>
    <row r="62" spans="2:9" x14ac:dyDescent="0.15">
      <c r="B62" s="7" t="s">
        <v>51</v>
      </c>
      <c r="C62" s="54" t="s">
        <v>52</v>
      </c>
      <c r="D62" s="53" t="s">
        <v>34</v>
      </c>
      <c r="E62" s="7" t="s">
        <v>4</v>
      </c>
    </row>
    <row r="63" spans="2:9" x14ac:dyDescent="0.15">
      <c r="B63" s="8" t="s">
        <v>5</v>
      </c>
      <c r="C63" s="9" t="s">
        <v>53</v>
      </c>
      <c r="D63" s="18">
        <f>4/3*4/12/12*G63</f>
        <v>7.407407407407407E-4</v>
      </c>
      <c r="E63" s="12">
        <f>D63*D13</f>
        <v>2.1479925925925927</v>
      </c>
      <c r="F63" s="32" t="s">
        <v>152</v>
      </c>
      <c r="G63" s="57">
        <v>0.02</v>
      </c>
      <c r="H63" s="30" t="s">
        <v>113</v>
      </c>
      <c r="I63" s="21"/>
    </row>
    <row r="64" spans="2:9" ht="22.5" x14ac:dyDescent="0.15">
      <c r="B64" s="8" t="s">
        <v>7</v>
      </c>
      <c r="C64" s="61" t="s">
        <v>173</v>
      </c>
      <c r="D64" s="18">
        <f>4*G63/12</f>
        <v>6.6666666666666671E-3</v>
      </c>
      <c r="E64" s="12">
        <f>SUM(D20:E24)*D64</f>
        <v>0</v>
      </c>
      <c r="H64" s="2" t="s">
        <v>172</v>
      </c>
    </row>
    <row r="65" spans="2:8" ht="22.5" x14ac:dyDescent="0.15">
      <c r="B65" s="8" t="s">
        <v>9</v>
      </c>
      <c r="C65" s="62" t="s">
        <v>170</v>
      </c>
      <c r="D65" s="18">
        <f>((4+1/3+1/3)/12)*D49*G63</f>
        <v>3.0955555555555554E-3</v>
      </c>
      <c r="E65" s="12">
        <f>D13*D65</f>
        <v>8.9764610444444433</v>
      </c>
      <c r="H65" s="2" t="s">
        <v>171</v>
      </c>
    </row>
    <row r="66" spans="2:8" x14ac:dyDescent="0.15">
      <c r="B66" s="113" t="s">
        <v>42</v>
      </c>
      <c r="C66" s="113"/>
      <c r="D66" s="19">
        <f>SUM(D63:D65)</f>
        <v>1.0502962962962964E-2</v>
      </c>
      <c r="E66" s="15">
        <f>SUM(E63:E65)</f>
        <v>11.124453637037035</v>
      </c>
    </row>
    <row r="67" spans="2:8" x14ac:dyDescent="0.15">
      <c r="B67" s="2"/>
      <c r="C67" s="2"/>
      <c r="D67" s="2"/>
      <c r="E67" s="2"/>
    </row>
    <row r="68" spans="2:8" x14ac:dyDescent="0.15">
      <c r="B68" s="6" t="s">
        <v>54</v>
      </c>
      <c r="C68" s="2"/>
      <c r="D68" s="2"/>
      <c r="E68" s="2"/>
    </row>
    <row r="69" spans="2:8" x14ac:dyDescent="0.15">
      <c r="B69" s="2"/>
      <c r="C69" s="5"/>
      <c r="D69" s="2"/>
      <c r="E69" s="2"/>
    </row>
    <row r="70" spans="2:8" s="6" customFormat="1" x14ac:dyDescent="0.15">
      <c r="B70" s="7" t="s">
        <v>55</v>
      </c>
      <c r="C70" s="54" t="s">
        <v>56</v>
      </c>
      <c r="D70" s="53" t="s">
        <v>34</v>
      </c>
      <c r="E70" s="7" t="s">
        <v>4</v>
      </c>
      <c r="F70" s="32"/>
      <c r="G70" s="32"/>
      <c r="H70" s="30"/>
    </row>
    <row r="71" spans="2:8" ht="21" x14ac:dyDescent="0.15">
      <c r="B71" s="8" t="s">
        <v>5</v>
      </c>
      <c r="C71" s="20" t="s">
        <v>57</v>
      </c>
      <c r="D71" s="18">
        <f>(1/12*1.5+1/30*3/12)*5%</f>
        <v>6.6666666666666671E-3</v>
      </c>
      <c r="E71" s="12">
        <f>D71*D13</f>
        <v>19.331933333333335</v>
      </c>
      <c r="F71" s="32" t="s">
        <v>153</v>
      </c>
      <c r="G71" s="57">
        <v>0.05</v>
      </c>
      <c r="H71" s="30" t="s">
        <v>174</v>
      </c>
    </row>
    <row r="72" spans="2:8" x14ac:dyDescent="0.15">
      <c r="B72" s="8" t="s">
        <v>7</v>
      </c>
      <c r="C72" s="9" t="s">
        <v>58</v>
      </c>
      <c r="D72" s="18">
        <f>D47*D71</f>
        <v>5.3333333333333336E-4</v>
      </c>
      <c r="E72" s="12">
        <f>D72*D13</f>
        <v>1.5465546666666667</v>
      </c>
    </row>
    <row r="73" spans="2:8" x14ac:dyDescent="0.15">
      <c r="B73" s="8" t="s">
        <v>59</v>
      </c>
      <c r="C73" s="20" t="s">
        <v>60</v>
      </c>
      <c r="D73" s="18">
        <f>0.4*D47</f>
        <v>3.2000000000000001E-2</v>
      </c>
      <c r="E73" s="22">
        <f>D73*D13</f>
        <v>92.793279999999996</v>
      </c>
      <c r="H73" s="30" t="s">
        <v>114</v>
      </c>
    </row>
    <row r="74" spans="2:8" x14ac:dyDescent="0.15">
      <c r="B74" s="8" t="s">
        <v>61</v>
      </c>
      <c r="C74" s="20" t="s">
        <v>62</v>
      </c>
      <c r="D74" s="18">
        <f>D47*10%</f>
        <v>8.0000000000000002E-3</v>
      </c>
      <c r="E74" s="22">
        <f>D74*D13</f>
        <v>23.198319999999999</v>
      </c>
      <c r="H74" s="30" t="s">
        <v>115</v>
      </c>
    </row>
    <row r="75" spans="2:8" ht="21" x14ac:dyDescent="0.15">
      <c r="B75" s="8" t="s">
        <v>11</v>
      </c>
      <c r="C75" s="20" t="s">
        <v>63</v>
      </c>
      <c r="D75" s="18">
        <f>7/30/12*100%</f>
        <v>1.9444444444444445E-2</v>
      </c>
      <c r="E75" s="22">
        <f>D75*D13</f>
        <v>56.384805555555559</v>
      </c>
      <c r="F75" s="32" t="s">
        <v>154</v>
      </c>
      <c r="G75" s="57">
        <v>1</v>
      </c>
      <c r="H75" s="30" t="s">
        <v>116</v>
      </c>
    </row>
    <row r="76" spans="2:8" x14ac:dyDescent="0.15">
      <c r="B76" s="8" t="s">
        <v>13</v>
      </c>
      <c r="C76" s="20" t="s">
        <v>64</v>
      </c>
      <c r="D76" s="18">
        <f>D49*D75</f>
        <v>7.7388888888888898E-3</v>
      </c>
      <c r="E76" s="12">
        <f>D76*D13</f>
        <v>22.441152611111114</v>
      </c>
    </row>
    <row r="77" spans="2:8" x14ac:dyDescent="0.15">
      <c r="B77" s="113" t="s">
        <v>42</v>
      </c>
      <c r="C77" s="113"/>
      <c r="D77" s="19">
        <f>SUM(D71:D76)</f>
        <v>7.4383333333333343E-2</v>
      </c>
      <c r="E77" s="23">
        <f>SUM(E71:E76)</f>
        <v>215.69604616666666</v>
      </c>
    </row>
    <row r="78" spans="2:8" x14ac:dyDescent="0.15">
      <c r="B78" s="2"/>
      <c r="C78" s="2"/>
      <c r="D78" s="2"/>
      <c r="E78" s="2"/>
    </row>
    <row r="79" spans="2:8" x14ac:dyDescent="0.15">
      <c r="B79" s="6" t="s">
        <v>65</v>
      </c>
      <c r="C79" s="2"/>
      <c r="D79" s="2"/>
      <c r="E79" s="2"/>
      <c r="H79" s="31"/>
    </row>
    <row r="80" spans="2:8" x14ac:dyDescent="0.15">
      <c r="B80" s="2"/>
      <c r="C80" s="5"/>
      <c r="D80" s="2"/>
      <c r="E80" s="2"/>
    </row>
    <row r="81" spans="2:8" x14ac:dyDescent="0.15">
      <c r="B81" s="7" t="s">
        <v>66</v>
      </c>
      <c r="C81" s="7" t="s">
        <v>67</v>
      </c>
      <c r="D81" s="53" t="s">
        <v>34</v>
      </c>
      <c r="E81" s="7" t="s">
        <v>4</v>
      </c>
      <c r="F81" s="32" t="s">
        <v>158</v>
      </c>
      <c r="G81" s="60">
        <f>((D13+E94+E95+E96+E97)/30)/D13</f>
        <v>5.4385098765432092E-2</v>
      </c>
      <c r="H81" s="63">
        <f>G81*D13</f>
        <v>157.70536554901233</v>
      </c>
    </row>
    <row r="82" spans="2:8" x14ac:dyDescent="0.15">
      <c r="B82" s="8" t="s">
        <v>5</v>
      </c>
      <c r="C82" s="9" t="s">
        <v>68</v>
      </c>
      <c r="D82" s="18">
        <f>G81*G82/12</f>
        <v>0.13596274691358023</v>
      </c>
      <c r="E82" s="12">
        <f>D82*D13</f>
        <v>394.2634138725308</v>
      </c>
      <c r="F82" s="60" t="s">
        <v>164</v>
      </c>
      <c r="G82" s="32">
        <v>30</v>
      </c>
      <c r="H82" s="30" t="s">
        <v>159</v>
      </c>
    </row>
    <row r="83" spans="2:8" x14ac:dyDescent="0.15">
      <c r="B83" s="8" t="s">
        <v>7</v>
      </c>
      <c r="C83" s="9" t="s">
        <v>69</v>
      </c>
      <c r="D83" s="18">
        <f>G81*G83*G83/360</f>
        <v>3.7767429698216731E-3</v>
      </c>
      <c r="E83" s="12">
        <f>D83*D13</f>
        <v>10.95176149645919</v>
      </c>
      <c r="F83" s="32" t="s">
        <v>160</v>
      </c>
      <c r="G83" s="32">
        <v>5</v>
      </c>
      <c r="H83" s="30" t="s">
        <v>175</v>
      </c>
    </row>
    <row r="84" spans="2:8" x14ac:dyDescent="0.15">
      <c r="B84" s="8" t="s">
        <v>9</v>
      </c>
      <c r="C84" s="9" t="s">
        <v>70</v>
      </c>
      <c r="D84" s="18">
        <f>5*G81*1%</f>
        <v>2.7192549382716049E-3</v>
      </c>
      <c r="E84" s="12">
        <f>D84*D13</f>
        <v>7.8852682774506171</v>
      </c>
      <c r="F84" s="32" t="s">
        <v>176</v>
      </c>
      <c r="G84" s="60">
        <f>G83/360</f>
        <v>1.3888888888888888E-2</v>
      </c>
      <c r="H84" s="30" t="s">
        <v>163</v>
      </c>
    </row>
    <row r="85" spans="2:8" x14ac:dyDescent="0.15">
      <c r="B85" s="8" t="s">
        <v>11</v>
      </c>
      <c r="C85" s="9" t="s">
        <v>71</v>
      </c>
      <c r="D85" s="18">
        <f>G86*G87*G81</f>
        <v>2.432222472565158E-4</v>
      </c>
      <c r="E85" s="12">
        <f>D85*D13</f>
        <v>0.70529344037197195</v>
      </c>
      <c r="F85" s="32" t="s">
        <v>161</v>
      </c>
      <c r="G85" s="58">
        <v>0.01</v>
      </c>
      <c r="H85" s="30" t="s">
        <v>167</v>
      </c>
    </row>
    <row r="86" spans="2:8" x14ac:dyDescent="0.15">
      <c r="B86" s="8" t="s">
        <v>13</v>
      </c>
      <c r="C86" s="9" t="s">
        <v>72</v>
      </c>
      <c r="D86" s="18">
        <f>15*G81*G88</f>
        <v>6.5262118518518514E-2</v>
      </c>
      <c r="E86" s="12">
        <f>D86*D13</f>
        <v>189.24643865881481</v>
      </c>
      <c r="F86" s="32" t="s">
        <v>165</v>
      </c>
      <c r="G86" s="32">
        <v>7</v>
      </c>
      <c r="H86" s="30" t="s">
        <v>168</v>
      </c>
    </row>
    <row r="87" spans="2:8" ht="21" x14ac:dyDescent="0.15">
      <c r="B87" s="113" t="s">
        <v>48</v>
      </c>
      <c r="C87" s="113"/>
      <c r="D87" s="19">
        <f>SUM(D82:D86)</f>
        <v>0.20796408558744853</v>
      </c>
      <c r="E87" s="15">
        <f>SUM(E82:E86)</f>
        <v>603.05217574562744</v>
      </c>
      <c r="F87" s="32" t="s">
        <v>166</v>
      </c>
      <c r="G87" s="60">
        <f>(3*5%+2*2%+1*2%+1*2%)/360</f>
        <v>6.3888888888888893E-4</v>
      </c>
      <c r="H87" s="30" t="s">
        <v>169</v>
      </c>
    </row>
    <row r="88" spans="2:8" x14ac:dyDescent="0.15">
      <c r="B88" s="8" t="s">
        <v>16</v>
      </c>
      <c r="C88" s="9" t="s">
        <v>73</v>
      </c>
      <c r="D88" s="18">
        <f>D49*D87</f>
        <v>8.2769706063804516E-2</v>
      </c>
      <c r="E88" s="12">
        <f>E87*D49</f>
        <v>240.01476594675972</v>
      </c>
      <c r="F88" s="32" t="s">
        <v>162</v>
      </c>
      <c r="G88" s="58">
        <v>0.08</v>
      </c>
    </row>
    <row r="89" spans="2:8" x14ac:dyDescent="0.15">
      <c r="B89" s="113" t="s">
        <v>42</v>
      </c>
      <c r="C89" s="112"/>
      <c r="D89" s="19">
        <f>SUM(D87:D88)</f>
        <v>0.29073379165125302</v>
      </c>
      <c r="E89" s="15">
        <f>SUM(E87:E88)</f>
        <v>843.06694169238722</v>
      </c>
    </row>
    <row r="90" spans="2:8" x14ac:dyDescent="0.15">
      <c r="B90" s="2"/>
      <c r="C90" s="2"/>
      <c r="D90" s="2"/>
      <c r="E90" s="2"/>
    </row>
    <row r="91" spans="2:8" x14ac:dyDescent="0.15">
      <c r="B91" s="6" t="s">
        <v>74</v>
      </c>
      <c r="C91" s="2"/>
      <c r="D91" s="2"/>
      <c r="E91" s="2"/>
    </row>
    <row r="92" spans="2:8" x14ac:dyDescent="0.15">
      <c r="B92" s="2"/>
      <c r="C92" s="5"/>
      <c r="D92" s="2"/>
      <c r="E92" s="2"/>
    </row>
    <row r="93" spans="2:8" s="6" customFormat="1" x14ac:dyDescent="0.15">
      <c r="B93" s="54">
        <v>4</v>
      </c>
      <c r="C93" s="54" t="s">
        <v>75</v>
      </c>
      <c r="D93" s="53" t="s">
        <v>34</v>
      </c>
      <c r="E93" s="7" t="s">
        <v>4</v>
      </c>
      <c r="F93" s="32"/>
      <c r="G93" s="32"/>
      <c r="H93" s="30"/>
    </row>
    <row r="94" spans="2:8" x14ac:dyDescent="0.15">
      <c r="B94" s="8" t="s">
        <v>32</v>
      </c>
      <c r="C94" s="9" t="s">
        <v>76</v>
      </c>
      <c r="D94" s="18">
        <f>D58</f>
        <v>0.15533333333333332</v>
      </c>
      <c r="E94" s="12">
        <f>E58</f>
        <v>450.43404666666663</v>
      </c>
    </row>
    <row r="95" spans="2:8" x14ac:dyDescent="0.15">
      <c r="B95" s="8" t="s">
        <v>44</v>
      </c>
      <c r="C95" s="9" t="s">
        <v>33</v>
      </c>
      <c r="D95" s="18">
        <f>D49</f>
        <v>0.39800000000000002</v>
      </c>
      <c r="E95" s="12">
        <f>E49</f>
        <v>1154.1164199999998</v>
      </c>
    </row>
    <row r="96" spans="2:8" x14ac:dyDescent="0.15">
      <c r="B96" s="8" t="s">
        <v>51</v>
      </c>
      <c r="C96" s="9" t="s">
        <v>77</v>
      </c>
      <c r="D96" s="18">
        <f>D66</f>
        <v>1.0502962962962964E-2</v>
      </c>
      <c r="E96" s="12">
        <f>E66</f>
        <v>11.124453637037035</v>
      </c>
    </row>
    <row r="97" spans="2:8" x14ac:dyDescent="0.15">
      <c r="B97" s="8" t="s">
        <v>55</v>
      </c>
      <c r="C97" s="9" t="s">
        <v>78</v>
      </c>
      <c r="D97" s="18">
        <f>D77</f>
        <v>7.4383333333333343E-2</v>
      </c>
      <c r="E97" s="12">
        <f>E77</f>
        <v>215.69604616666666</v>
      </c>
    </row>
    <row r="98" spans="2:8" x14ac:dyDescent="0.15">
      <c r="B98" s="8" t="s">
        <v>66</v>
      </c>
      <c r="C98" s="9" t="s">
        <v>79</v>
      </c>
      <c r="D98" s="18">
        <f>D89</f>
        <v>0.29073379165125302</v>
      </c>
      <c r="E98" s="12">
        <f>E89</f>
        <v>843.06694169238722</v>
      </c>
    </row>
    <row r="99" spans="2:8" x14ac:dyDescent="0.15">
      <c r="B99" s="8" t="s">
        <v>80</v>
      </c>
      <c r="C99" s="9" t="s">
        <v>18</v>
      </c>
      <c r="D99" s="18">
        <f>D90</f>
        <v>0</v>
      </c>
      <c r="E99" s="12">
        <v>0</v>
      </c>
    </row>
    <row r="100" spans="2:8" x14ac:dyDescent="0.15">
      <c r="B100" s="115" t="s">
        <v>42</v>
      </c>
      <c r="C100" s="116"/>
      <c r="D100" s="19">
        <f>SUM(D94:D99)</f>
        <v>0.92895342128088265</v>
      </c>
      <c r="E100" s="15">
        <f>SUM(E94:E99)</f>
        <v>2674.4379081627576</v>
      </c>
    </row>
    <row r="101" spans="2:8" x14ac:dyDescent="0.15">
      <c r="B101" s="2"/>
      <c r="C101" s="2"/>
      <c r="D101" s="2"/>
      <c r="E101" s="2"/>
    </row>
    <row r="102" spans="2:8" x14ac:dyDescent="0.15">
      <c r="B102" s="117" t="s">
        <v>81</v>
      </c>
      <c r="C102" s="118"/>
      <c r="D102" s="119"/>
      <c r="E102" s="15">
        <f>E100+D34+D25+D13</f>
        <v>7402.548841496091</v>
      </c>
    </row>
    <row r="103" spans="2:8" x14ac:dyDescent="0.15">
      <c r="B103" s="2"/>
      <c r="C103" s="2"/>
      <c r="D103" s="2"/>
      <c r="E103" s="2"/>
    </row>
    <row r="104" spans="2:8" s="6" customFormat="1" x14ac:dyDescent="0.15">
      <c r="B104" s="6" t="s">
        <v>82</v>
      </c>
      <c r="F104" s="32"/>
      <c r="G104" s="32"/>
      <c r="H104" s="30"/>
    </row>
    <row r="105" spans="2:8" x14ac:dyDescent="0.15">
      <c r="B105" s="2"/>
      <c r="C105" s="5"/>
      <c r="D105" s="2"/>
      <c r="E105" s="2"/>
    </row>
    <row r="106" spans="2:8" x14ac:dyDescent="0.15">
      <c r="B106" s="54">
        <v>5</v>
      </c>
      <c r="C106" s="7" t="s">
        <v>83</v>
      </c>
      <c r="D106" s="53" t="s">
        <v>34</v>
      </c>
      <c r="E106" s="7" t="s">
        <v>4</v>
      </c>
    </row>
    <row r="107" spans="2:8" x14ac:dyDescent="0.15">
      <c r="B107" s="8" t="s">
        <v>5</v>
      </c>
      <c r="C107" s="8" t="s">
        <v>84</v>
      </c>
      <c r="D107" s="11">
        <f>G107</f>
        <v>0.05</v>
      </c>
      <c r="E107" s="12">
        <f>(E100+D34+D25+D13)*D107</f>
        <v>370.12744207480455</v>
      </c>
      <c r="F107" s="32" t="s">
        <v>84</v>
      </c>
      <c r="G107" s="58">
        <v>0.05</v>
      </c>
      <c r="H107" s="30" t="s">
        <v>119</v>
      </c>
    </row>
    <row r="108" spans="2:8" x14ac:dyDescent="0.15">
      <c r="B108" s="8" t="s">
        <v>7</v>
      </c>
      <c r="C108" s="8" t="s">
        <v>85</v>
      </c>
      <c r="D108" s="11">
        <f>G108</f>
        <v>0.1</v>
      </c>
      <c r="E108" s="12">
        <f>(E100+D34+D25+D13+E107)*D108</f>
        <v>777.26762835708962</v>
      </c>
      <c r="F108" s="32" t="s">
        <v>85</v>
      </c>
      <c r="G108" s="58">
        <v>0.1</v>
      </c>
      <c r="H108" s="30" t="s">
        <v>120</v>
      </c>
    </row>
    <row r="109" spans="2:8" x14ac:dyDescent="0.15">
      <c r="B109" s="8" t="s">
        <v>9</v>
      </c>
      <c r="C109" s="8" t="s">
        <v>86</v>
      </c>
      <c r="D109" s="55"/>
      <c r="E109" s="12"/>
    </row>
    <row r="110" spans="2:8" x14ac:dyDescent="0.15">
      <c r="B110" s="8"/>
      <c r="C110" s="8" t="s">
        <v>87</v>
      </c>
      <c r="D110" s="24">
        <f>1-(D111+D113)</f>
        <v>0.85749999999999993</v>
      </c>
      <c r="E110" s="12">
        <f>(E100+D34+D25+D13+E107+E108)/D110</f>
        <v>9970.780072219226</v>
      </c>
      <c r="F110" s="32" t="s">
        <v>155</v>
      </c>
      <c r="G110" s="59">
        <v>7.5999999999999998E-2</v>
      </c>
    </row>
    <row r="111" spans="2:8" x14ac:dyDescent="0.15">
      <c r="B111" s="8"/>
      <c r="C111" s="8" t="s">
        <v>88</v>
      </c>
      <c r="D111" s="11">
        <f>G110+G111</f>
        <v>9.2499999999999999E-2</v>
      </c>
      <c r="E111" s="25">
        <f>D111*E110</f>
        <v>922.29715668027836</v>
      </c>
      <c r="F111" s="32" t="s">
        <v>156</v>
      </c>
      <c r="G111" s="59">
        <v>1.6500000000000001E-2</v>
      </c>
    </row>
    <row r="112" spans="2:8" x14ac:dyDescent="0.15">
      <c r="B112" s="8"/>
      <c r="C112" s="8" t="s">
        <v>89</v>
      </c>
      <c r="D112" s="55"/>
      <c r="E112" s="12"/>
    </row>
    <row r="113" spans="2:9" x14ac:dyDescent="0.15">
      <c r="B113" s="8"/>
      <c r="C113" s="8" t="s">
        <v>90</v>
      </c>
      <c r="D113" s="11">
        <f>G113</f>
        <v>0.05</v>
      </c>
      <c r="E113" s="25">
        <f>E110*D113</f>
        <v>498.53900361096134</v>
      </c>
      <c r="F113" s="32" t="s">
        <v>157</v>
      </c>
      <c r="G113" s="58">
        <v>0.05</v>
      </c>
    </row>
    <row r="114" spans="2:9" x14ac:dyDescent="0.15">
      <c r="B114" s="8"/>
      <c r="C114" s="8" t="s">
        <v>91</v>
      </c>
      <c r="D114" s="55"/>
      <c r="E114" s="12"/>
    </row>
    <row r="115" spans="2:9" x14ac:dyDescent="0.15">
      <c r="B115" s="113" t="s">
        <v>92</v>
      </c>
      <c r="C115" s="113"/>
      <c r="D115" s="113"/>
      <c r="E115" s="15">
        <f>SUM(E107,E111,E113,E108)</f>
        <v>2568.2312307231341</v>
      </c>
    </row>
    <row r="116" spans="2:9" x14ac:dyDescent="0.15">
      <c r="B116" s="2"/>
      <c r="C116" s="2"/>
      <c r="D116" s="2"/>
      <c r="E116" s="2"/>
    </row>
    <row r="117" spans="2:9" x14ac:dyDescent="0.15">
      <c r="B117" s="6" t="s">
        <v>93</v>
      </c>
      <c r="C117" s="2"/>
      <c r="D117" s="2"/>
      <c r="E117" s="2"/>
    </row>
    <row r="118" spans="2:9" x14ac:dyDescent="0.15">
      <c r="B118" s="2"/>
      <c r="D118" s="2"/>
      <c r="E118" s="2"/>
    </row>
    <row r="119" spans="2:9" s="6" customFormat="1" x14ac:dyDescent="0.15">
      <c r="B119" s="7"/>
      <c r="C119" s="113" t="s">
        <v>94</v>
      </c>
      <c r="D119" s="113"/>
      <c r="E119" s="53" t="s">
        <v>95</v>
      </c>
      <c r="F119" s="32"/>
      <c r="G119" s="32"/>
      <c r="H119" s="30"/>
    </row>
    <row r="120" spans="2:9" x14ac:dyDescent="0.15">
      <c r="B120" s="8" t="s">
        <v>5</v>
      </c>
      <c r="C120" s="111" t="s">
        <v>96</v>
      </c>
      <c r="D120" s="111"/>
      <c r="E120" s="26">
        <f>D13</f>
        <v>2899.79</v>
      </c>
    </row>
    <row r="121" spans="2:9" x14ac:dyDescent="0.15">
      <c r="B121" s="8" t="s">
        <v>7</v>
      </c>
      <c r="C121" s="111" t="s">
        <v>97</v>
      </c>
      <c r="D121" s="111"/>
      <c r="E121" s="26">
        <f>D25</f>
        <v>723.61260000000004</v>
      </c>
    </row>
    <row r="122" spans="2:9" x14ac:dyDescent="0.15">
      <c r="B122" s="27" t="s">
        <v>9</v>
      </c>
      <c r="C122" s="111" t="s">
        <v>98</v>
      </c>
      <c r="D122" s="112"/>
      <c r="E122" s="26">
        <f>D34</f>
        <v>1104.7083333333333</v>
      </c>
    </row>
    <row r="123" spans="2:9" x14ac:dyDescent="0.15">
      <c r="B123" s="8" t="s">
        <v>11</v>
      </c>
      <c r="C123" s="52" t="s">
        <v>99</v>
      </c>
      <c r="D123" s="16">
        <f>D49+D58+D66+D77+D89</f>
        <v>0.92895342128088265</v>
      </c>
      <c r="E123" s="26">
        <f>E100</f>
        <v>2674.4379081627576</v>
      </c>
    </row>
    <row r="124" spans="2:9" x14ac:dyDescent="0.15">
      <c r="B124" s="8"/>
      <c r="C124" s="111" t="s">
        <v>100</v>
      </c>
      <c r="D124" s="112"/>
      <c r="E124" s="26">
        <f>SUM(E120:E123)</f>
        <v>7402.548841496091</v>
      </c>
    </row>
    <row r="125" spans="2:9" x14ac:dyDescent="0.15">
      <c r="B125" s="8" t="s">
        <v>13</v>
      </c>
      <c r="C125" s="111" t="s">
        <v>101</v>
      </c>
      <c r="D125" s="111"/>
      <c r="E125" s="28">
        <f>SUM(E115)</f>
        <v>2568.2312307231341</v>
      </c>
    </row>
    <row r="126" spans="2:9" x14ac:dyDescent="0.15">
      <c r="B126" s="113" t="s">
        <v>102</v>
      </c>
      <c r="C126" s="113"/>
      <c r="D126" s="113"/>
      <c r="E126" s="28">
        <f>SUM(E124+E125)</f>
        <v>9970.780072219226</v>
      </c>
    </row>
    <row r="127" spans="2:9" s="32" customFormat="1" x14ac:dyDescent="0.15">
      <c r="B127" s="133" t="s">
        <v>213</v>
      </c>
      <c r="C127" s="134"/>
      <c r="D127" s="134"/>
      <c r="E127" s="107">
        <f>E126/220</f>
        <v>45.321727600996482</v>
      </c>
      <c r="H127" s="30"/>
      <c r="I127" s="3"/>
    </row>
    <row r="128" spans="2:9" ht="12" thickBot="1" x14ac:dyDescent="0.2">
      <c r="B128" s="135" t="s">
        <v>216</v>
      </c>
      <c r="C128" s="136"/>
      <c r="D128" s="136"/>
      <c r="E128" s="108">
        <f>E127*50</f>
        <v>2266.0863800498241</v>
      </c>
    </row>
    <row r="133" spans="2:9" s="32" customFormat="1" x14ac:dyDescent="0.15">
      <c r="B133" s="3"/>
      <c r="C133" s="33"/>
      <c r="D133" s="33"/>
      <c r="E133" s="3"/>
      <c r="H133" s="30"/>
      <c r="I133" s="3"/>
    </row>
    <row r="134" spans="2:9" s="32" customFormat="1" x14ac:dyDescent="0.15">
      <c r="B134" s="3"/>
      <c r="C134" s="33"/>
      <c r="D134" s="34"/>
      <c r="E134" s="3"/>
      <c r="H134" s="30"/>
      <c r="I134" s="3"/>
    </row>
    <row r="138" spans="2:9" s="32" customFormat="1" x14ac:dyDescent="0.15">
      <c r="B138" s="3"/>
      <c r="C138" s="2"/>
      <c r="D138" s="2"/>
      <c r="E138" s="3"/>
      <c r="H138" s="30"/>
      <c r="I138" s="3"/>
    </row>
    <row r="139" spans="2:9" s="32" customFormat="1" x14ac:dyDescent="0.15">
      <c r="B139" s="3"/>
      <c r="C139" s="2"/>
      <c r="D139" s="2"/>
      <c r="E139" s="3"/>
      <c r="H139" s="30"/>
      <c r="I139" s="3"/>
    </row>
    <row r="140" spans="2:9" s="32" customFormat="1" x14ac:dyDescent="0.15">
      <c r="B140" s="3"/>
      <c r="C140" s="2"/>
      <c r="D140" s="2"/>
      <c r="E140" s="3"/>
      <c r="H140" s="30"/>
      <c r="I140" s="3"/>
    </row>
    <row r="141" spans="2:9" s="32" customFormat="1" x14ac:dyDescent="0.15">
      <c r="B141" s="2"/>
      <c r="C141" s="6"/>
      <c r="D141" s="2"/>
      <c r="E141" s="2"/>
      <c r="H141" s="30"/>
      <c r="I141" s="3"/>
    </row>
    <row r="142" spans="2:9" s="32" customFormat="1" x14ac:dyDescent="0.15">
      <c r="B142" s="2"/>
      <c r="C142" s="6"/>
      <c r="D142" s="2"/>
      <c r="E142" s="2"/>
      <c r="H142" s="30"/>
      <c r="I142" s="3"/>
    </row>
    <row r="143" spans="2:9" s="32" customFormat="1" x14ac:dyDescent="0.15">
      <c r="B143" s="2"/>
      <c r="C143" s="2"/>
      <c r="D143" s="2"/>
      <c r="E143" s="2"/>
      <c r="H143" s="30"/>
      <c r="I143" s="3"/>
    </row>
    <row r="144" spans="2:9" s="32" customFormat="1" x14ac:dyDescent="0.15">
      <c r="B144" s="6"/>
      <c r="C144" s="3"/>
      <c r="D144" s="3"/>
      <c r="E144" s="2"/>
      <c r="H144" s="30"/>
      <c r="I144" s="3"/>
    </row>
    <row r="145" spans="2:9" s="32" customFormat="1" x14ac:dyDescent="0.15">
      <c r="B145" s="6"/>
      <c r="C145" s="3"/>
      <c r="D145" s="3"/>
      <c r="E145" s="2"/>
      <c r="H145" s="30"/>
      <c r="I145" s="3"/>
    </row>
    <row r="146" spans="2:9" s="32" customFormat="1" x14ac:dyDescent="0.15">
      <c r="B146" s="2"/>
      <c r="C146" s="3"/>
      <c r="D146" s="3"/>
      <c r="E146" s="2"/>
      <c r="H146" s="30"/>
      <c r="I146" s="3"/>
    </row>
  </sheetData>
  <mergeCells count="47">
    <mergeCell ref="D9:E9"/>
    <mergeCell ref="D10:E10"/>
    <mergeCell ref="D11:E11"/>
    <mergeCell ref="D12:E12"/>
    <mergeCell ref="B1:E1"/>
    <mergeCell ref="D4:E4"/>
    <mergeCell ref="D5:E5"/>
    <mergeCell ref="D6:E6"/>
    <mergeCell ref="D7:E7"/>
    <mergeCell ref="D8:E8"/>
    <mergeCell ref="D21:E21"/>
    <mergeCell ref="D22:E22"/>
    <mergeCell ref="D23:E23"/>
    <mergeCell ref="D24:E24"/>
    <mergeCell ref="D25:E25"/>
    <mergeCell ref="D13:E13"/>
    <mergeCell ref="D17:E17"/>
    <mergeCell ref="D18:E18"/>
    <mergeCell ref="D19:E19"/>
    <mergeCell ref="D20:E20"/>
    <mergeCell ref="B27:C27"/>
    <mergeCell ref="D30:E30"/>
    <mergeCell ref="D31:E31"/>
    <mergeCell ref="D32:E32"/>
    <mergeCell ref="D33:E33"/>
    <mergeCell ref="D29:E29"/>
    <mergeCell ref="B34:C34"/>
    <mergeCell ref="D34:E34"/>
    <mergeCell ref="C120:D120"/>
    <mergeCell ref="B49:C49"/>
    <mergeCell ref="B56:C56"/>
    <mergeCell ref="B58:C58"/>
    <mergeCell ref="B66:C66"/>
    <mergeCell ref="B77:C77"/>
    <mergeCell ref="B87:C87"/>
    <mergeCell ref="B89:C89"/>
    <mergeCell ref="B100:C100"/>
    <mergeCell ref="B102:D102"/>
    <mergeCell ref="B115:D115"/>
    <mergeCell ref="C119:D119"/>
    <mergeCell ref="B127:D127"/>
    <mergeCell ref="B128:D128"/>
    <mergeCell ref="C121:D121"/>
    <mergeCell ref="C122:D122"/>
    <mergeCell ref="C124:D124"/>
    <mergeCell ref="C125:D125"/>
    <mergeCell ref="B126:D126"/>
  </mergeCells>
  <pageMargins left="0.98425196850393704" right="0.59055118110236227" top="0.78740157480314965" bottom="0.78740157480314965" header="0.31496062992125984" footer="0.31496062992125984"/>
  <pageSetup paperSize="9" scale="67" orientation="portrait" verticalDpi="597" r:id="rId1"/>
  <rowBreaks count="1" manualBreakCount="1">
    <brk id="66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zoomScale="90" zoomScaleNormal="90" workbookViewId="0">
      <selection activeCell="I29" sqref="I29"/>
    </sheetView>
  </sheetViews>
  <sheetFormatPr defaultRowHeight="15" x14ac:dyDescent="0.25"/>
  <cols>
    <col min="1" max="1" width="29.140625" customWidth="1"/>
    <col min="2" max="2" width="12.140625" customWidth="1"/>
    <col min="3" max="3" width="9.42578125" customWidth="1"/>
    <col min="4" max="4" width="15.7109375" customWidth="1"/>
    <col min="5" max="5" width="15" bestFit="1" customWidth="1"/>
    <col min="6" max="6" width="15.28515625" customWidth="1"/>
    <col min="9" max="9" width="11.5703125" bestFit="1" customWidth="1"/>
    <col min="10" max="10" width="7" customWidth="1"/>
  </cols>
  <sheetData>
    <row r="1" spans="1:6" ht="15.75" thickBot="1" x14ac:dyDescent="0.3">
      <c r="A1" s="146" t="s">
        <v>148</v>
      </c>
      <c r="B1" s="146"/>
      <c r="C1" s="146"/>
      <c r="D1" s="146"/>
      <c r="E1" s="146"/>
      <c r="F1" s="146"/>
    </row>
    <row r="2" spans="1:6" ht="14.45" customHeight="1" x14ac:dyDescent="0.25">
      <c r="A2" s="147" t="s">
        <v>121</v>
      </c>
      <c r="B2" s="149" t="s">
        <v>122</v>
      </c>
      <c r="C2" s="149" t="s">
        <v>123</v>
      </c>
      <c r="D2" s="149" t="s">
        <v>127</v>
      </c>
      <c r="E2" s="147" t="s">
        <v>124</v>
      </c>
      <c r="F2" s="147" t="s">
        <v>125</v>
      </c>
    </row>
    <row r="3" spans="1:6" x14ac:dyDescent="0.25">
      <c r="A3" s="148"/>
      <c r="B3" s="150"/>
      <c r="C3" s="150"/>
      <c r="D3" s="151"/>
      <c r="E3" s="148"/>
      <c r="F3" s="148"/>
    </row>
    <row r="4" spans="1:6" ht="16.5" customHeight="1" x14ac:dyDescent="0.25">
      <c r="A4" s="86" t="s">
        <v>183</v>
      </c>
      <c r="B4" s="35">
        <v>1</v>
      </c>
      <c r="C4" s="35">
        <v>12</v>
      </c>
      <c r="D4" s="36">
        <f>Fisioterapeuta!E126</f>
        <v>12098.464246281459</v>
      </c>
      <c r="E4" s="36">
        <f>B4*D4</f>
        <v>12098.464246281459</v>
      </c>
      <c r="F4" s="37">
        <f t="shared" ref="F4:F6" si="0">C4*E4</f>
        <v>145181.57095537751</v>
      </c>
    </row>
    <row r="5" spans="1:6" x14ac:dyDescent="0.25">
      <c r="A5" s="86" t="s">
        <v>184</v>
      </c>
      <c r="B5" s="35">
        <v>1</v>
      </c>
      <c r="C5" s="35">
        <v>12</v>
      </c>
      <c r="D5" s="36">
        <f>Psicólogo!E126</f>
        <v>12067.798540128304</v>
      </c>
      <c r="E5" s="36">
        <f>B5*D5</f>
        <v>12067.798540128304</v>
      </c>
      <c r="F5" s="37">
        <f t="shared" si="0"/>
        <v>144813.58248153963</v>
      </c>
    </row>
    <row r="6" spans="1:6" x14ac:dyDescent="0.25">
      <c r="A6" s="86" t="s">
        <v>185</v>
      </c>
      <c r="B6" s="35">
        <v>1</v>
      </c>
      <c r="C6" s="35">
        <v>12</v>
      </c>
      <c r="D6" s="36">
        <f>'Prof. educ.física'!E128</f>
        <v>2266.0863800498241</v>
      </c>
      <c r="E6" s="36">
        <f>B6*D6</f>
        <v>2266.0863800498241</v>
      </c>
      <c r="F6" s="37">
        <f t="shared" si="0"/>
        <v>27193.036560597888</v>
      </c>
    </row>
    <row r="7" spans="1:6" x14ac:dyDescent="0.25">
      <c r="A7" s="98" t="s">
        <v>92</v>
      </c>
      <c r="B7" s="99">
        <f>SUM(B4:B6)</f>
        <v>3</v>
      </c>
      <c r="C7" s="97"/>
      <c r="D7" s="100" t="s">
        <v>147</v>
      </c>
      <c r="E7" s="101">
        <f>SUM(E4:E6)</f>
        <v>26432.349166459586</v>
      </c>
      <c r="F7" s="102">
        <f>SUM(F4:F6)</f>
        <v>317188.189997515</v>
      </c>
    </row>
    <row r="8" spans="1:6" ht="16.5" customHeight="1" x14ac:dyDescent="0.25">
      <c r="A8" s="143" t="s">
        <v>206</v>
      </c>
      <c r="B8" s="144"/>
      <c r="C8" s="144"/>
      <c r="D8" s="144"/>
      <c r="E8" s="145"/>
      <c r="F8" s="103">
        <f>F7</f>
        <v>317188.189997515</v>
      </c>
    </row>
    <row r="9" spans="1:6" ht="6.75" customHeight="1" x14ac:dyDescent="0.25">
      <c r="A9" s="87"/>
      <c r="B9" s="88"/>
      <c r="C9" s="89"/>
      <c r="D9" s="88"/>
      <c r="E9" s="90"/>
      <c r="F9" s="90"/>
    </row>
    <row r="10" spans="1:6" ht="26.25" x14ac:dyDescent="0.25">
      <c r="A10" s="104" t="s">
        <v>191</v>
      </c>
      <c r="B10" s="95" t="s">
        <v>138</v>
      </c>
      <c r="C10" s="137" t="s">
        <v>202</v>
      </c>
      <c r="D10" s="138"/>
      <c r="E10" s="137" t="s">
        <v>203</v>
      </c>
      <c r="F10" s="138"/>
    </row>
    <row r="11" spans="1:6" ht="26.25" x14ac:dyDescent="0.25">
      <c r="A11" s="85" t="s">
        <v>193</v>
      </c>
      <c r="B11" s="92">
        <v>10</v>
      </c>
      <c r="C11" s="139">
        <v>477</v>
      </c>
      <c r="D11" s="140"/>
      <c r="E11" s="141">
        <f>C11*B11</f>
        <v>4770</v>
      </c>
      <c r="F11" s="142"/>
    </row>
    <row r="12" spans="1:6" ht="26.25" x14ac:dyDescent="0.25">
      <c r="A12" s="85" t="s">
        <v>194</v>
      </c>
      <c r="B12" s="92">
        <v>6</v>
      </c>
      <c r="C12" s="162">
        <v>460</v>
      </c>
      <c r="D12" s="163"/>
      <c r="E12" s="141">
        <f>C12*B12</f>
        <v>2760</v>
      </c>
      <c r="F12" s="164"/>
    </row>
    <row r="13" spans="1:6" x14ac:dyDescent="0.25">
      <c r="A13" s="154" t="s">
        <v>207</v>
      </c>
      <c r="B13" s="155"/>
      <c r="C13" s="155"/>
      <c r="D13" s="156"/>
      <c r="E13" s="165">
        <v>7530</v>
      </c>
      <c r="F13" s="166"/>
    </row>
    <row r="14" spans="1:6" ht="26.25" x14ac:dyDescent="0.25">
      <c r="A14" s="94" t="s">
        <v>204</v>
      </c>
      <c r="B14" s="96" t="s">
        <v>138</v>
      </c>
      <c r="C14" s="137" t="s">
        <v>202</v>
      </c>
      <c r="D14" s="138"/>
      <c r="E14" s="137" t="s">
        <v>203</v>
      </c>
      <c r="F14" s="138"/>
    </row>
    <row r="15" spans="1:6" x14ac:dyDescent="0.25">
      <c r="A15" s="76" t="s">
        <v>196</v>
      </c>
      <c r="B15" s="92">
        <v>10</v>
      </c>
      <c r="C15" s="162">
        <v>577.6</v>
      </c>
      <c r="D15" s="163"/>
      <c r="E15" s="141">
        <f>C15*B15</f>
        <v>5776</v>
      </c>
      <c r="F15" s="142"/>
    </row>
    <row r="16" spans="1:6" x14ac:dyDescent="0.25">
      <c r="A16" s="93" t="s">
        <v>197</v>
      </c>
      <c r="B16" s="92">
        <v>6</v>
      </c>
      <c r="C16" s="162">
        <v>635.20000000000005</v>
      </c>
      <c r="D16" s="163"/>
      <c r="E16" s="141">
        <f>C16*B16</f>
        <v>3811.2000000000003</v>
      </c>
      <c r="F16" s="164"/>
    </row>
    <row r="17" spans="1:6" x14ac:dyDescent="0.25">
      <c r="A17" s="154" t="s">
        <v>208</v>
      </c>
      <c r="B17" s="155"/>
      <c r="C17" s="155"/>
      <c r="D17" s="156"/>
      <c r="E17" s="152">
        <f>SUM(E15:E16)</f>
        <v>9587.2000000000007</v>
      </c>
      <c r="F17" s="153"/>
    </row>
    <row r="18" spans="1:6" x14ac:dyDescent="0.25">
      <c r="A18" s="155" t="s">
        <v>199</v>
      </c>
      <c r="B18" s="155"/>
      <c r="C18" s="155"/>
      <c r="D18" s="155"/>
      <c r="E18" s="167">
        <f>E13+E17</f>
        <v>17117.2</v>
      </c>
      <c r="F18" s="167"/>
    </row>
    <row r="19" spans="1:6" ht="6.75" customHeight="1" x14ac:dyDescent="0.25">
      <c r="A19" s="91"/>
      <c r="B19" s="91"/>
      <c r="C19" s="91"/>
      <c r="D19" s="91"/>
      <c r="E19" s="91"/>
      <c r="F19" s="91"/>
    </row>
    <row r="20" spans="1:6" x14ac:dyDescent="0.25">
      <c r="A20" s="157" t="s">
        <v>205</v>
      </c>
      <c r="B20" s="158"/>
      <c r="C20" s="158"/>
      <c r="D20" s="159"/>
      <c r="E20" s="160">
        <f>F8+E18</f>
        <v>334305.38999751501</v>
      </c>
      <c r="F20" s="161"/>
    </row>
    <row r="25" spans="1:6" x14ac:dyDescent="0.25">
      <c r="D25" s="38"/>
    </row>
  </sheetData>
  <mergeCells count="28">
    <mergeCell ref="E17:F17"/>
    <mergeCell ref="A17:D17"/>
    <mergeCell ref="A20:D20"/>
    <mergeCell ref="E20:F20"/>
    <mergeCell ref="C12:D12"/>
    <mergeCell ref="E12:F12"/>
    <mergeCell ref="A13:D13"/>
    <mergeCell ref="E13:F13"/>
    <mergeCell ref="C14:D14"/>
    <mergeCell ref="E14:F14"/>
    <mergeCell ref="C15:D15"/>
    <mergeCell ref="C16:D16"/>
    <mergeCell ref="E15:F15"/>
    <mergeCell ref="E16:F16"/>
    <mergeCell ref="A18:D18"/>
    <mergeCell ref="E18:F18"/>
    <mergeCell ref="A1:F1"/>
    <mergeCell ref="A2:A3"/>
    <mergeCell ref="B2:B3"/>
    <mergeCell ref="C2:C3"/>
    <mergeCell ref="D2:D3"/>
    <mergeCell ref="E2:E3"/>
    <mergeCell ref="F2:F3"/>
    <mergeCell ref="E10:F10"/>
    <mergeCell ref="C10:D10"/>
    <mergeCell ref="C11:D11"/>
    <mergeCell ref="E11:F11"/>
    <mergeCell ref="A8:E8"/>
  </mergeCells>
  <printOptions horizontalCentered="1"/>
  <pageMargins left="0.31496062992125984" right="0.31496062992125984" top="2.3622047244094491" bottom="0.39370078740157483" header="0.11811023622047245" footer="0.11811023622047245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15.5703125" bestFit="1" customWidth="1"/>
    <col min="2" max="2" width="13.28515625" customWidth="1"/>
    <col min="3" max="3" width="11.42578125" bestFit="1" customWidth="1"/>
    <col min="4" max="4" width="12.5703125" bestFit="1" customWidth="1"/>
    <col min="7" max="7" width="9.28515625" customWidth="1"/>
    <col min="8" max="8" width="8.28515625" customWidth="1"/>
  </cols>
  <sheetData>
    <row r="1" spans="1:8" x14ac:dyDescent="0.25">
      <c r="A1" s="171" t="s">
        <v>215</v>
      </c>
      <c r="B1" s="171"/>
      <c r="C1" s="171"/>
      <c r="D1" s="171"/>
      <c r="E1" s="171"/>
      <c r="F1" s="171"/>
      <c r="G1" s="171"/>
      <c r="H1" s="171"/>
    </row>
    <row r="2" spans="1:8" x14ac:dyDescent="0.25">
      <c r="A2" s="46"/>
    </row>
    <row r="3" spans="1:8" ht="14.45" x14ac:dyDescent="0.3">
      <c r="C3" s="168" t="s">
        <v>139</v>
      </c>
      <c r="D3" s="168"/>
      <c r="E3" s="168"/>
    </row>
    <row r="4" spans="1:8" ht="27" customHeight="1" x14ac:dyDescent="0.25">
      <c r="A4" s="41" t="s">
        <v>137</v>
      </c>
      <c r="B4" s="42" t="s">
        <v>138</v>
      </c>
      <c r="C4" s="41" t="s">
        <v>140</v>
      </c>
      <c r="D4" s="41" t="s">
        <v>141</v>
      </c>
      <c r="E4" s="41" t="s">
        <v>142</v>
      </c>
      <c r="F4" s="43" t="s">
        <v>143</v>
      </c>
      <c r="G4" s="42" t="s">
        <v>145</v>
      </c>
      <c r="H4" s="42" t="s">
        <v>146</v>
      </c>
    </row>
    <row r="5" spans="1:8" ht="14.45" x14ac:dyDescent="0.3">
      <c r="A5" s="39" t="s">
        <v>181</v>
      </c>
      <c r="B5" s="40">
        <v>4</v>
      </c>
      <c r="C5" s="65">
        <v>69.900000000000006</v>
      </c>
      <c r="D5" s="65">
        <v>50.99</v>
      </c>
      <c r="E5" s="65">
        <v>50.99</v>
      </c>
      <c r="F5" s="65">
        <f>AVERAGE(C5:E5)</f>
        <v>57.293333333333344</v>
      </c>
      <c r="G5" s="44">
        <f>F5*B5</f>
        <v>229.17333333333337</v>
      </c>
      <c r="H5" s="44">
        <f>G5/12</f>
        <v>19.097777777777782</v>
      </c>
    </row>
    <row r="6" spans="1:8" x14ac:dyDescent="0.25">
      <c r="A6" s="39" t="s">
        <v>144</v>
      </c>
      <c r="B6" s="40">
        <v>4</v>
      </c>
      <c r="C6" s="65">
        <v>29.9</v>
      </c>
      <c r="D6" s="65">
        <v>39.99</v>
      </c>
      <c r="E6" s="65">
        <v>59.9</v>
      </c>
      <c r="F6" s="65">
        <f t="shared" ref="F6:F7" si="0">AVERAGE(C6:E6)</f>
        <v>43.263333333333328</v>
      </c>
      <c r="G6" s="44">
        <f t="shared" ref="G6:G7" si="1">F6*B6</f>
        <v>173.05333333333331</v>
      </c>
      <c r="H6" s="44">
        <f t="shared" ref="H6:H7" si="2">G6/12</f>
        <v>14.421111111111109</v>
      </c>
    </row>
    <row r="7" spans="1:8" x14ac:dyDescent="0.25">
      <c r="A7" s="39" t="s">
        <v>182</v>
      </c>
      <c r="B7" s="40">
        <v>2</v>
      </c>
      <c r="C7" s="65">
        <v>89.99</v>
      </c>
      <c r="D7" s="65">
        <v>89.99</v>
      </c>
      <c r="E7" s="65">
        <v>89.99</v>
      </c>
      <c r="F7" s="65">
        <f t="shared" si="0"/>
        <v>89.99</v>
      </c>
      <c r="G7" s="44">
        <f t="shared" si="1"/>
        <v>179.98</v>
      </c>
      <c r="H7" s="44">
        <f t="shared" si="2"/>
        <v>14.998333333333333</v>
      </c>
    </row>
    <row r="8" spans="1:8" x14ac:dyDescent="0.25">
      <c r="E8" s="169" t="s">
        <v>92</v>
      </c>
      <c r="F8" s="170"/>
      <c r="G8" s="44">
        <f>SUM(G5:G7)</f>
        <v>582.20666666666671</v>
      </c>
      <c r="H8" s="45">
        <f>SUM(H5:H7)</f>
        <v>48.51722222222223</v>
      </c>
    </row>
    <row r="9" spans="1:8" x14ac:dyDescent="0.25">
      <c r="E9" s="67"/>
      <c r="F9" s="67"/>
      <c r="G9" s="68"/>
      <c r="H9" s="69"/>
    </row>
    <row r="11" spans="1:8" s="66" customFormat="1" ht="30" x14ac:dyDescent="0.25">
      <c r="A11" s="42" t="s">
        <v>121</v>
      </c>
      <c r="B11" s="42" t="s">
        <v>190</v>
      </c>
      <c r="C11" s="70" t="s">
        <v>189</v>
      </c>
      <c r="D11" s="70" t="s">
        <v>146</v>
      </c>
    </row>
    <row r="12" spans="1:8" ht="30" x14ac:dyDescent="0.25">
      <c r="A12" s="71" t="s">
        <v>183</v>
      </c>
      <c r="B12" s="71" t="s">
        <v>187</v>
      </c>
      <c r="C12" s="109">
        <f>43.26+(57.29*2)</f>
        <v>157.84</v>
      </c>
      <c r="D12" s="110">
        <f>C12/12</f>
        <v>13.153333333333334</v>
      </c>
    </row>
    <row r="13" spans="1:8" ht="30" x14ac:dyDescent="0.25">
      <c r="A13" s="71" t="s">
        <v>184</v>
      </c>
      <c r="B13" s="71" t="s">
        <v>187</v>
      </c>
      <c r="C13" s="109">
        <f>43.26+(57.29*2)</f>
        <v>157.84</v>
      </c>
      <c r="D13" s="110">
        <f>C13/12</f>
        <v>13.153333333333334</v>
      </c>
    </row>
    <row r="14" spans="1:8" ht="30" x14ac:dyDescent="0.25">
      <c r="A14" s="71" t="s">
        <v>186</v>
      </c>
      <c r="B14" s="71" t="s">
        <v>188</v>
      </c>
      <c r="C14" s="109">
        <f>(89.99*2)+(43.26*2)</f>
        <v>266.5</v>
      </c>
      <c r="D14" s="110">
        <f>C14/12</f>
        <v>22.208333333333332</v>
      </c>
    </row>
    <row r="15" spans="1:8" x14ac:dyDescent="0.25">
      <c r="D15" s="1"/>
    </row>
  </sheetData>
  <mergeCells count="3">
    <mergeCell ref="C3:E3"/>
    <mergeCell ref="E8:F8"/>
    <mergeCell ref="A1:H1"/>
  </mergeCells>
  <pageMargins left="0.9055118110236221" right="0.31496062992125984" top="0.78740157480314965" bottom="0.78740157480314965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4" sqref="B24"/>
    </sheetView>
  </sheetViews>
  <sheetFormatPr defaultRowHeight="15" x14ac:dyDescent="0.25"/>
  <cols>
    <col min="1" max="1" width="3.5703125" customWidth="1"/>
    <col min="2" max="2" width="39.85546875" bestFit="1" customWidth="1"/>
    <col min="3" max="3" width="12.5703125" customWidth="1"/>
    <col min="4" max="4" width="13.28515625" bestFit="1" customWidth="1"/>
    <col min="5" max="6" width="10.5703125" bestFit="1" customWidth="1"/>
  </cols>
  <sheetData>
    <row r="1" spans="1:8" x14ac:dyDescent="0.25">
      <c r="A1" s="72"/>
      <c r="B1" s="46" t="s">
        <v>200</v>
      </c>
      <c r="E1" s="73"/>
      <c r="F1" s="73"/>
      <c r="G1" s="73"/>
      <c r="H1" s="73"/>
    </row>
    <row r="2" spans="1:8" s="72" customFormat="1" x14ac:dyDescent="0.25">
      <c r="B2"/>
      <c r="C2"/>
      <c r="D2"/>
      <c r="E2" s="73"/>
      <c r="F2" s="73"/>
    </row>
    <row r="3" spans="1:8" ht="26.25" x14ac:dyDescent="0.25">
      <c r="A3" s="74"/>
      <c r="B3" s="84" t="s">
        <v>191</v>
      </c>
      <c r="C3" s="75" t="s">
        <v>192</v>
      </c>
      <c r="D3" s="84" t="s">
        <v>139</v>
      </c>
      <c r="E3" s="72"/>
      <c r="F3" s="72"/>
      <c r="G3" s="73"/>
      <c r="H3" s="73"/>
    </row>
    <row r="4" spans="1:8" x14ac:dyDescent="0.25">
      <c r="A4" s="74"/>
      <c r="B4" s="76" t="s">
        <v>193</v>
      </c>
      <c r="C4" s="77">
        <v>10</v>
      </c>
      <c r="D4" s="78">
        <f>C4*477</f>
        <v>4770</v>
      </c>
      <c r="E4" s="73"/>
      <c r="F4" s="73"/>
      <c r="G4" s="73"/>
      <c r="H4" s="73"/>
    </row>
    <row r="5" spans="1:8" x14ac:dyDescent="0.25">
      <c r="A5" s="74"/>
      <c r="B5" s="76" t="s">
        <v>194</v>
      </c>
      <c r="C5" s="77">
        <v>6</v>
      </c>
      <c r="D5" s="78">
        <f>C5*460</f>
        <v>2760</v>
      </c>
      <c r="E5" s="73"/>
      <c r="F5" s="73"/>
      <c r="G5" s="73"/>
      <c r="H5" s="73"/>
    </row>
    <row r="6" spans="1:8" x14ac:dyDescent="0.25">
      <c r="A6" s="74"/>
      <c r="B6" s="172" t="s">
        <v>195</v>
      </c>
      <c r="C6" s="173"/>
      <c r="D6" s="79">
        <f>SUM(D4:D5)</f>
        <v>7530</v>
      </c>
      <c r="E6" s="80"/>
      <c r="F6" s="73"/>
      <c r="G6" s="73"/>
      <c r="H6" s="73"/>
    </row>
    <row r="7" spans="1:8" ht="26.25" x14ac:dyDescent="0.25">
      <c r="A7" s="74"/>
      <c r="B7" s="84" t="s">
        <v>201</v>
      </c>
      <c r="C7" s="75" t="s">
        <v>192</v>
      </c>
      <c r="D7" s="84" t="s">
        <v>139</v>
      </c>
      <c r="E7" s="81" t="e">
        <f>SUM(#REF!+#REF!+#REF!+#REF!)/0.9135</f>
        <v>#REF!</v>
      </c>
      <c r="F7" s="73"/>
      <c r="G7" s="73"/>
      <c r="H7" s="73"/>
    </row>
    <row r="8" spans="1:8" x14ac:dyDescent="0.25">
      <c r="A8" s="74"/>
      <c r="B8" s="76" t="s">
        <v>196</v>
      </c>
      <c r="C8" s="40">
        <v>10</v>
      </c>
      <c r="D8" s="78">
        <f>577.6*C8</f>
        <v>5776</v>
      </c>
      <c r="E8" s="82"/>
      <c r="F8" s="73"/>
      <c r="G8" s="73"/>
      <c r="H8" s="73"/>
    </row>
    <row r="9" spans="1:8" x14ac:dyDescent="0.25">
      <c r="A9" s="74"/>
      <c r="B9" s="76" t="s">
        <v>197</v>
      </c>
      <c r="C9" s="83">
        <v>6</v>
      </c>
      <c r="D9" s="78">
        <f>635.2*C9</f>
        <v>3811.2000000000003</v>
      </c>
      <c r="E9" s="73"/>
      <c r="F9" s="73"/>
      <c r="G9" s="73"/>
      <c r="H9" s="73"/>
    </row>
    <row r="10" spans="1:8" x14ac:dyDescent="0.25">
      <c r="A10" s="74"/>
      <c r="B10" s="172" t="s">
        <v>198</v>
      </c>
      <c r="C10" s="173"/>
      <c r="D10" s="79">
        <f>SUM(D8:D9)</f>
        <v>9587.2000000000007</v>
      </c>
    </row>
    <row r="11" spans="1:8" x14ac:dyDescent="0.25">
      <c r="A11" s="74"/>
      <c r="B11" s="174" t="s">
        <v>199</v>
      </c>
      <c r="C11" s="174"/>
      <c r="D11" s="79">
        <f>D10+D6</f>
        <v>17117.2</v>
      </c>
    </row>
    <row r="14" spans="1:8" x14ac:dyDescent="0.25">
      <c r="B14" s="89" t="s">
        <v>209</v>
      </c>
      <c r="C14" s="105"/>
      <c r="D14" s="105"/>
    </row>
    <row r="15" spans="1:8" x14ac:dyDescent="0.25">
      <c r="B15" s="106"/>
      <c r="C15" s="105"/>
      <c r="D15" s="105"/>
    </row>
    <row r="16" spans="1:8" x14ac:dyDescent="0.25">
      <c r="B16" s="106"/>
      <c r="C16" s="105"/>
      <c r="D16" s="105"/>
    </row>
    <row r="17" spans="2:4" x14ac:dyDescent="0.25">
      <c r="B17" s="106" t="s">
        <v>210</v>
      </c>
      <c r="C17" s="105"/>
      <c r="D17" s="105"/>
    </row>
    <row r="18" spans="2:4" x14ac:dyDescent="0.25">
      <c r="B18" s="106" t="s">
        <v>211</v>
      </c>
      <c r="C18" s="105">
        <f>361*1.6</f>
        <v>577.6</v>
      </c>
      <c r="D18" s="105"/>
    </row>
    <row r="19" spans="2:4" x14ac:dyDescent="0.25">
      <c r="B19" s="106" t="s">
        <v>212</v>
      </c>
      <c r="C19" s="105">
        <f>397*1.6</f>
        <v>635.20000000000005</v>
      </c>
      <c r="D19" s="106"/>
    </row>
  </sheetData>
  <mergeCells count="3">
    <mergeCell ref="B6:C6"/>
    <mergeCell ref="B10:C10"/>
    <mergeCell ref="B11:C11"/>
  </mergeCells>
  <pageMargins left="0.9055118110236221" right="0.51181102362204722" top="0.78740157480314965" bottom="0.78740157480314965" header="0.31496062992125984" footer="0.31496062992125984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Fisioterapeuta</vt:lpstr>
      <vt:lpstr>Psicólogo</vt:lpstr>
      <vt:lpstr>Prof. educ.física</vt:lpstr>
      <vt:lpstr>Consolidada</vt:lpstr>
      <vt:lpstr>Uniformes</vt:lpstr>
      <vt:lpstr>Passagens</vt:lpstr>
      <vt:lpstr>Fisioterapeuta!Area_de_impressao</vt:lpstr>
      <vt:lpstr>'Prof. educ.física'!Area_de_impressao</vt:lpstr>
      <vt:lpstr>Psicólogo!Area_de_impressao</vt:lpstr>
      <vt:lpstr>Fisioterapeuta!legislacaoDetalhe.asp?ctdCod_411</vt:lpstr>
      <vt:lpstr>'Prof. educ.física'!legislacaoDetalhe.asp?ctdCod_411</vt:lpstr>
      <vt:lpstr>Psicólogo!legislacaoDetalhe.asp?ctdCod_411</vt:lpstr>
      <vt:lpstr>Fisioterapeuta!legislacaoDetalhe.asp?ctdCod_411_1</vt:lpstr>
      <vt:lpstr>'Prof. educ.física'!legislacaoDetalhe.asp?ctdCod_411_1</vt:lpstr>
      <vt:lpstr>Psicólogo!legislacaoDetalhe.asp?ctdCod_411_1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Michelly de Souza Ferraz</cp:lastModifiedBy>
  <cp:lastPrinted>2017-05-19T17:33:39Z</cp:lastPrinted>
  <dcterms:created xsi:type="dcterms:W3CDTF">2013-10-29T18:52:46Z</dcterms:created>
  <dcterms:modified xsi:type="dcterms:W3CDTF">2017-05-19T17:49:21Z</dcterms:modified>
</cp:coreProperties>
</file>