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415" yWindow="90" windowWidth="10845" windowHeight="9105" activeTab="4"/>
  </bookViews>
  <sheets>
    <sheet name="12x36 diurno" sheetId="12" r:id="rId1"/>
    <sheet name="12x36 noturno" sheetId="3" r:id="rId2"/>
    <sheet name="12x36 seg a sex" sheetId="23" r:id="rId3"/>
    <sheet name="Supervisor (5x2)" sheetId="14" r:id="rId4"/>
    <sheet name="Consolidada" sheetId="6" r:id="rId5"/>
  </sheets>
  <definedNames>
    <definedName name="_xlnm.Print_Area" localSheetId="0">'12x36 diurno'!$A$1:$D$133</definedName>
    <definedName name="_xlnm.Print_Area" localSheetId="1">'12x36 noturno'!$A$1:$D$133</definedName>
    <definedName name="_xlnm.Print_Area" localSheetId="2">'12x36 seg a sex'!$A$1:$D$132</definedName>
    <definedName name="_xlnm.Print_Area" localSheetId="3">'Supervisor (5x2)'!$A$1:$D$129</definedName>
    <definedName name="legislacaoDetalhe.asp?ctdCod_411" localSheetId="0">'12x36 diurno'!$A$1:$G$152</definedName>
    <definedName name="legislacaoDetalhe.asp?ctdCod_411" localSheetId="1">'12x36 noturno'!$A$1:$G$152</definedName>
    <definedName name="legislacaoDetalhe.asp?ctdCod_411" localSheetId="2">'12x36 seg a sex'!$A$1:$G$149</definedName>
    <definedName name="legislacaoDetalhe.asp?ctdCod_411" localSheetId="3">'Supervisor (5x2)'!$A$1:$G$158</definedName>
    <definedName name="legislacaoDetalhe.asp?ctdCod_411_1" localSheetId="0">'12x36 diurno'!$A$1:$G$152</definedName>
    <definedName name="legislacaoDetalhe.asp?ctdCod_411_1" localSheetId="1">'12x36 noturno'!$A$1:$G$152</definedName>
    <definedName name="legislacaoDetalhe.asp?ctdCod_411_1" localSheetId="2">'12x36 seg a sex'!$A$1:$G$149</definedName>
    <definedName name="legislacaoDetalhe.asp?ctdCod_411_1" localSheetId="3">'Supervisor (5x2)'!$A$1:$G$158</definedName>
  </definedNames>
  <calcPr calcId="145621"/>
</workbook>
</file>

<file path=xl/calcChain.xml><?xml version="1.0" encoding="utf-8"?>
<calcChain xmlns="http://schemas.openxmlformats.org/spreadsheetml/2006/main">
  <c r="C14" i="3" l="1"/>
  <c r="C25" i="23" l="1"/>
  <c r="C25" i="3"/>
  <c r="C25" i="12"/>
  <c r="C25" i="14"/>
  <c r="C21" i="23" l="1"/>
  <c r="C20" i="23"/>
  <c r="C21" i="3"/>
  <c r="C20" i="3"/>
  <c r="C21" i="12"/>
  <c r="C20" i="12"/>
  <c r="C21" i="14" l="1"/>
  <c r="B10" i="6" l="1"/>
  <c r="C7" i="14"/>
  <c r="C20" i="14" s="1"/>
  <c r="C10" i="6" l="1"/>
  <c r="C27" i="23" l="1"/>
  <c r="D124" i="23" s="1"/>
  <c r="C114" i="23"/>
  <c r="C113" i="23" s="1"/>
  <c r="C102" i="23"/>
  <c r="C89" i="23"/>
  <c r="C88" i="23"/>
  <c r="C87" i="23"/>
  <c r="C86" i="23"/>
  <c r="C85" i="23"/>
  <c r="C79" i="23"/>
  <c r="D79" i="23" s="1"/>
  <c r="C77" i="23"/>
  <c r="C76" i="23"/>
  <c r="C75" i="23"/>
  <c r="C73" i="23"/>
  <c r="C65" i="23"/>
  <c r="C57" i="23"/>
  <c r="C56" i="23"/>
  <c r="C51" i="23"/>
  <c r="C36" i="23"/>
  <c r="D125" i="23" s="1"/>
  <c r="C14" i="23"/>
  <c r="C8" i="23"/>
  <c r="C15" i="23" l="1"/>
  <c r="D77" i="23" s="1"/>
  <c r="C58" i="23"/>
  <c r="C59" i="23" s="1"/>
  <c r="C60" i="23" s="1"/>
  <c r="C97" i="23" s="1"/>
  <c r="C90" i="23"/>
  <c r="C66" i="23"/>
  <c r="C67" i="23"/>
  <c r="C91" i="23"/>
  <c r="C92" i="23" s="1"/>
  <c r="C101" i="23" s="1"/>
  <c r="C74" i="23"/>
  <c r="C78" i="23"/>
  <c r="C98" i="23"/>
  <c r="D74" i="23" l="1"/>
  <c r="D88" i="23"/>
  <c r="D56" i="23"/>
  <c r="D86" i="23"/>
  <c r="D73" i="23"/>
  <c r="D57" i="23"/>
  <c r="D48" i="23"/>
  <c r="D58" i="23"/>
  <c r="D59" i="23" s="1"/>
  <c r="D44" i="23"/>
  <c r="D123" i="23"/>
  <c r="D78" i="23"/>
  <c r="C68" i="23"/>
  <c r="C99" i="23" s="1"/>
  <c r="D46" i="23"/>
  <c r="D89" i="23"/>
  <c r="D65" i="23"/>
  <c r="D85" i="23"/>
  <c r="D47" i="23"/>
  <c r="D51" i="23" s="1"/>
  <c r="D98" i="23" s="1"/>
  <c r="D50" i="23"/>
  <c r="D45" i="23"/>
  <c r="D75" i="23"/>
  <c r="D66" i="23"/>
  <c r="D68" i="23" s="1"/>
  <c r="D99" i="23" s="1"/>
  <c r="D76" i="23"/>
  <c r="D49" i="23"/>
  <c r="D43" i="23"/>
  <c r="D87" i="23"/>
  <c r="D90" i="23" s="1"/>
  <c r="D67" i="23"/>
  <c r="C80" i="23"/>
  <c r="C100" i="23" s="1"/>
  <c r="C103" i="23" l="1"/>
  <c r="D60" i="23"/>
  <c r="D97" i="23" s="1"/>
  <c r="D80" i="23"/>
  <c r="D100" i="23" s="1"/>
  <c r="C126" i="23"/>
  <c r="D91" i="23"/>
  <c r="D92" i="23" s="1"/>
  <c r="D101" i="23" s="1"/>
  <c r="D103" i="23" l="1"/>
  <c r="D110" i="23" s="1"/>
  <c r="D111" i="23" s="1"/>
  <c r="D113" i="23" s="1"/>
  <c r="E127" i="23"/>
  <c r="D105" i="23" l="1"/>
  <c r="D126" i="23"/>
  <c r="D127" i="23" s="1"/>
  <c r="D116" i="23"/>
  <c r="D114" i="23"/>
  <c r="C14" i="12"/>
  <c r="C10" i="3"/>
  <c r="C8" i="12"/>
  <c r="C15" i="12" s="1"/>
  <c r="C8" i="3"/>
  <c r="C8" i="14"/>
  <c r="C15" i="14" s="1"/>
  <c r="D123" i="14" s="1"/>
  <c r="C114" i="14"/>
  <c r="C113" i="14" s="1"/>
  <c r="C102" i="14"/>
  <c r="C89" i="14"/>
  <c r="C88" i="14"/>
  <c r="C87" i="14"/>
  <c r="C86" i="14"/>
  <c r="C85" i="14"/>
  <c r="C90" i="14" s="1"/>
  <c r="D79" i="14"/>
  <c r="C79" i="14"/>
  <c r="C77" i="14"/>
  <c r="C76" i="14"/>
  <c r="C75" i="14"/>
  <c r="C73" i="14"/>
  <c r="C74" i="14" s="1"/>
  <c r="C65" i="14"/>
  <c r="C57" i="14"/>
  <c r="C56" i="14"/>
  <c r="C58" i="14" s="1"/>
  <c r="C51" i="14"/>
  <c r="C98" i="14" s="1"/>
  <c r="C36" i="14"/>
  <c r="D125" i="14" s="1"/>
  <c r="C114" i="12"/>
  <c r="C113" i="12" s="1"/>
  <c r="C102" i="12"/>
  <c r="C89" i="12"/>
  <c r="C88" i="12"/>
  <c r="C87" i="12"/>
  <c r="C86" i="12"/>
  <c r="C85" i="12"/>
  <c r="C79" i="12"/>
  <c r="D79" i="12" s="1"/>
  <c r="C77" i="12"/>
  <c r="C76" i="12"/>
  <c r="C75" i="12"/>
  <c r="C73" i="12"/>
  <c r="C65" i="12"/>
  <c r="C57" i="12"/>
  <c r="C56" i="12"/>
  <c r="C58" i="12" s="1"/>
  <c r="C51" i="12"/>
  <c r="C98" i="12" s="1"/>
  <c r="C36" i="12"/>
  <c r="D125" i="12" s="1"/>
  <c r="C15" i="3" l="1"/>
  <c r="C90" i="12"/>
  <c r="D65" i="14"/>
  <c r="D89" i="12"/>
  <c r="D123" i="12"/>
  <c r="D85" i="12"/>
  <c r="D77" i="12"/>
  <c r="D88" i="12"/>
  <c r="C27" i="12"/>
  <c r="D124" i="12" s="1"/>
  <c r="D118" i="23"/>
  <c r="D128" i="23" s="1"/>
  <c r="D129" i="23" s="1"/>
  <c r="D48" i="12"/>
  <c r="D57" i="12"/>
  <c r="D73" i="12"/>
  <c r="D87" i="12"/>
  <c r="D43" i="12"/>
  <c r="D65" i="12"/>
  <c r="D75" i="12"/>
  <c r="D86" i="12"/>
  <c r="D44" i="12"/>
  <c r="D47" i="12"/>
  <c r="D76" i="12"/>
  <c r="D48" i="14"/>
  <c r="D76" i="14"/>
  <c r="D87" i="14"/>
  <c r="D43" i="14"/>
  <c r="D74" i="14"/>
  <c r="D88" i="14"/>
  <c r="C27" i="14"/>
  <c r="D124" i="14" s="1"/>
  <c r="D44" i="14"/>
  <c r="D77" i="14"/>
  <c r="D85" i="14"/>
  <c r="D89" i="14"/>
  <c r="D47" i="14"/>
  <c r="D57" i="14"/>
  <c r="D75" i="14"/>
  <c r="D86" i="14"/>
  <c r="D45" i="14"/>
  <c r="C66" i="14"/>
  <c r="D66" i="14" s="1"/>
  <c r="D46" i="14"/>
  <c r="D50" i="14"/>
  <c r="D56" i="14"/>
  <c r="C59" i="14"/>
  <c r="C60" i="14" s="1"/>
  <c r="C67" i="14"/>
  <c r="D67" i="14" s="1"/>
  <c r="C91" i="14"/>
  <c r="C92" i="14" s="1"/>
  <c r="C101" i="14" s="1"/>
  <c r="D73" i="14"/>
  <c r="D49" i="14"/>
  <c r="C78" i="14"/>
  <c r="D78" i="14" s="1"/>
  <c r="D45" i="12"/>
  <c r="D46" i="12"/>
  <c r="D50" i="12"/>
  <c r="D56" i="12"/>
  <c r="C59" i="12"/>
  <c r="C60" i="12" s="1"/>
  <c r="C67" i="12"/>
  <c r="D67" i="12" s="1"/>
  <c r="C91" i="12"/>
  <c r="C92" i="12" s="1"/>
  <c r="C101" i="12" s="1"/>
  <c r="D49" i="12"/>
  <c r="C66" i="12"/>
  <c r="D66" i="12" s="1"/>
  <c r="C74" i="12"/>
  <c r="D74" i="12" s="1"/>
  <c r="C78" i="12"/>
  <c r="D78" i="12" s="1"/>
  <c r="C131" i="23" l="1"/>
  <c r="C132" i="23" s="1"/>
  <c r="E8" i="6" s="1"/>
  <c r="D58" i="12"/>
  <c r="D90" i="12"/>
  <c r="D91" i="12" s="1"/>
  <c r="D92" i="12" s="1"/>
  <c r="D101" i="12" s="1"/>
  <c r="C68" i="14"/>
  <c r="C99" i="14" s="1"/>
  <c r="D68" i="14"/>
  <c r="D99" i="14" s="1"/>
  <c r="D68" i="12"/>
  <c r="D99" i="12" s="1"/>
  <c r="D51" i="12"/>
  <c r="D98" i="12" s="1"/>
  <c r="D80" i="12"/>
  <c r="D100" i="12" s="1"/>
  <c r="D51" i="14"/>
  <c r="D98" i="14" s="1"/>
  <c r="D90" i="14"/>
  <c r="D91" i="14" s="1"/>
  <c r="D58" i="14"/>
  <c r="C97" i="14"/>
  <c r="C103" i="14" s="1"/>
  <c r="D80" i="14"/>
  <c r="D100" i="14" s="1"/>
  <c r="C80" i="14"/>
  <c r="C100" i="14" s="1"/>
  <c r="C97" i="12"/>
  <c r="D59" i="12"/>
  <c r="D60" i="12" s="1"/>
  <c r="D97" i="12" s="1"/>
  <c r="C68" i="12"/>
  <c r="C99" i="12" s="1"/>
  <c r="C80" i="12"/>
  <c r="C100" i="12" s="1"/>
  <c r="C126" i="14" l="1"/>
  <c r="D92" i="14"/>
  <c r="D101" i="14" s="1"/>
  <c r="D103" i="12"/>
  <c r="D105" i="12" s="1"/>
  <c r="D59" i="14"/>
  <c r="D60" i="14" s="1"/>
  <c r="D97" i="14" s="1"/>
  <c r="D103" i="14" s="1"/>
  <c r="C126" i="12"/>
  <c r="C103" i="12"/>
  <c r="D110" i="12" l="1"/>
  <c r="D111" i="12" s="1"/>
  <c r="D113" i="12" s="1"/>
  <c r="D126" i="12"/>
  <c r="D127" i="12" s="1"/>
  <c r="E127" i="12"/>
  <c r="D110" i="14"/>
  <c r="D111" i="14" s="1"/>
  <c r="D113" i="14" s="1"/>
  <c r="D105" i="14"/>
  <c r="E127" i="14"/>
  <c r="D126" i="14"/>
  <c r="D127" i="14" s="1"/>
  <c r="D114" i="14" l="1"/>
  <c r="D116" i="14"/>
  <c r="D116" i="12"/>
  <c r="D114" i="12"/>
  <c r="D118" i="12" l="1"/>
  <c r="D128" i="12" s="1"/>
  <c r="D129" i="12" s="1"/>
  <c r="D118" i="14"/>
  <c r="D128" i="14" s="1"/>
  <c r="D129" i="14" s="1"/>
  <c r="E9" i="6" l="1"/>
  <c r="F9" i="6" s="1"/>
  <c r="G9" i="6" s="1"/>
  <c r="C132" i="12"/>
  <c r="C133" i="12" s="1"/>
  <c r="E6" i="6" s="1"/>
  <c r="F6" i="6" s="1"/>
  <c r="G6" i="6" s="1"/>
  <c r="C114" i="3" l="1"/>
  <c r="C113" i="3"/>
  <c r="C102" i="3"/>
  <c r="C89" i="3"/>
  <c r="C88" i="3"/>
  <c r="C87" i="3"/>
  <c r="C86" i="3"/>
  <c r="C85" i="3"/>
  <c r="C79" i="3"/>
  <c r="D79" i="3" s="1"/>
  <c r="C77" i="3"/>
  <c r="C76" i="3"/>
  <c r="C75" i="3"/>
  <c r="C73" i="3"/>
  <c r="C65" i="3"/>
  <c r="C57" i="3"/>
  <c r="C56" i="3"/>
  <c r="C51" i="3"/>
  <c r="C98" i="3" s="1"/>
  <c r="C36" i="3"/>
  <c r="D125" i="3" s="1"/>
  <c r="C27" i="3"/>
  <c r="D124" i="3" s="1"/>
  <c r="C58" i="3" l="1"/>
  <c r="C90" i="3"/>
  <c r="C91" i="3" s="1"/>
  <c r="C92" i="3" s="1"/>
  <c r="C101" i="3" s="1"/>
  <c r="D48" i="3"/>
  <c r="D57" i="3"/>
  <c r="D65" i="3"/>
  <c r="D73" i="3"/>
  <c r="D76" i="3"/>
  <c r="D86" i="3"/>
  <c r="D88" i="3"/>
  <c r="D44" i="3"/>
  <c r="D46" i="3"/>
  <c r="D50" i="3"/>
  <c r="D56" i="3"/>
  <c r="D75" i="3"/>
  <c r="D77" i="3"/>
  <c r="D85" i="3"/>
  <c r="D87" i="3"/>
  <c r="D89" i="3"/>
  <c r="D43" i="3"/>
  <c r="D45" i="3"/>
  <c r="D47" i="3"/>
  <c r="D49" i="3"/>
  <c r="C59" i="3"/>
  <c r="C60" i="3" s="1"/>
  <c r="C66" i="3"/>
  <c r="D66" i="3" s="1"/>
  <c r="C67" i="3"/>
  <c r="D67" i="3" s="1"/>
  <c r="C74" i="3"/>
  <c r="D74" i="3" s="1"/>
  <c r="C78" i="3"/>
  <c r="D78" i="3" s="1"/>
  <c r="D123" i="3"/>
  <c r="C97" i="3" l="1"/>
  <c r="D90" i="3"/>
  <c r="C68" i="3"/>
  <c r="C99" i="3" s="1"/>
  <c r="C80" i="3"/>
  <c r="C100" i="3" s="1"/>
  <c r="D51" i="3"/>
  <c r="D98" i="3" s="1"/>
  <c r="D58" i="3"/>
  <c r="D80" i="3"/>
  <c r="D100" i="3" s="1"/>
  <c r="D68" i="3"/>
  <c r="D99" i="3" s="1"/>
  <c r="D59" i="3" l="1"/>
  <c r="D60" i="3" s="1"/>
  <c r="D97" i="3" s="1"/>
  <c r="C126" i="3"/>
  <c r="D91" i="3"/>
  <c r="D92" i="3" s="1"/>
  <c r="D101" i="3" s="1"/>
  <c r="C103" i="3"/>
  <c r="D103" i="3" l="1"/>
  <c r="D126" i="3" s="1"/>
  <c r="D127" i="3" s="1"/>
  <c r="E127" i="3" l="1"/>
  <c r="D105" i="3"/>
  <c r="D110" i="3"/>
  <c r="D111" i="3" s="1"/>
  <c r="D113" i="3" l="1"/>
  <c r="D116" i="3" s="1"/>
  <c r="D114" i="3" l="1"/>
  <c r="D118" i="3"/>
  <c r="D128" i="3" s="1"/>
  <c r="D129" i="3" l="1"/>
  <c r="C132" i="3" s="1"/>
  <c r="C133" i="3" s="1"/>
  <c r="E7" i="6" s="1"/>
  <c r="F7" i="6" s="1"/>
  <c r="G7" i="6" s="1"/>
  <c r="F8" i="6" l="1"/>
  <c r="G8" i="6" s="1"/>
  <c r="G10" i="6" s="1"/>
  <c r="F10" i="6" l="1"/>
</calcChain>
</file>

<file path=xl/connections.xml><?xml version="1.0" encoding="utf-8"?>
<connections xmlns="http://schemas.openxmlformats.org/spreadsheetml/2006/main">
  <connection id="1" name="Conexão2111" type="4" refreshedVersion="2" background="1" saveData="1">
    <webPr sourceData="1" parsePre="1" consecutive="1" xl2000="1" url="https://www.comprasnet.gov.br/legislacao/legislacaoDetalhe.asp?ctdCod=411"/>
  </connection>
  <connection id="2" name="Conexão211131" type="4" refreshedVersion="2" background="1" saveData="1">
    <webPr sourceData="1" parsePre="1" consecutive="1" xl2000="1" url="https://www.comprasnet.gov.br/legislacao/legislacaoDetalhe.asp?ctdCod=411"/>
  </connection>
  <connection id="3" name="Conexão21114" type="4" refreshedVersion="2" background="1" saveData="1">
    <webPr sourceData="1" parsePre="1" consecutive="1" xl2000="1" url="https://www.comprasnet.gov.br/legislacao/legislacaoDetalhe.asp?ctdCod=411"/>
  </connection>
  <connection id="4" name="Conexão211143" type="4" refreshedVersion="2" background="1" saveData="1">
    <webPr sourceData="1" parsePre="1" consecutive="1" xl2000="1" url="https://www.comprasnet.gov.br/legislacao/legislacaoDetalhe.asp?ctdCod=411"/>
  </connection>
  <connection id="5" name="Conexão22" type="4" refreshedVersion="2" background="1" saveData="1">
    <webPr sourceData="1" parsePre="1" consecutive="1" xl2000="1" url="https://www.comprasnet.gov.br/legislacao/legislacaoDetalhe.asp?ctdCod=411"/>
  </connection>
  <connection id="6" name="Conexão2231" type="4" refreshedVersion="2" background="1" saveData="1">
    <webPr sourceData="1" parsePre="1" consecutive="1" xl2000="1" url="https://www.comprasnet.gov.br/legislacao/legislacaoDetalhe.asp?ctdCod=411"/>
  </connection>
  <connection id="7" name="Conexão224" type="4" refreshedVersion="2" background="1" saveData="1">
    <webPr sourceData="1" parsePre="1" consecutive="1" xl2000="1" url="https://www.comprasnet.gov.br/legislacao/legislacaoDetalhe.asp?ctdCod=411"/>
  </connection>
  <connection id="8" name="Conexão2243" type="4" refreshedVersion="2" background="1" saveData="1">
    <webPr sourceData="1" parsePre="1" consecutive="1" xl2000="1" url="https://www.comprasnet.gov.br/legislacao/legislacaoDetalhe.asp?ctdCod=411"/>
  </connection>
</connections>
</file>

<file path=xl/sharedStrings.xml><?xml version="1.0" encoding="utf-8"?>
<sst xmlns="http://schemas.openxmlformats.org/spreadsheetml/2006/main" count="960" uniqueCount="167">
  <si>
    <t>PLANILHA DE CUSTO E FORMAÇÃO DE PREÇOS</t>
  </si>
  <si>
    <t>Exemplo para Explicação dos Cálculos</t>
  </si>
  <si>
    <t xml:space="preserve"> MÓDULO 1 :   COMPOSIÇÃO DA REMUNERAÇÃO</t>
  </si>
  <si>
    <t>Composição da Remuneração</t>
  </si>
  <si>
    <t>Valor (R$)</t>
  </si>
  <si>
    <t>A</t>
  </si>
  <si>
    <t>Salário Base</t>
  </si>
  <si>
    <t>B</t>
  </si>
  <si>
    <t>Adicional  de periculosidade</t>
  </si>
  <si>
    <t>C</t>
  </si>
  <si>
    <t>Adicional  de insalubridade</t>
  </si>
  <si>
    <t>D</t>
  </si>
  <si>
    <t>Adicional noturno</t>
  </si>
  <si>
    <t>E</t>
  </si>
  <si>
    <t>Hora noturna adicional</t>
  </si>
  <si>
    <t>F</t>
  </si>
  <si>
    <t>Adicional de Hora Extra</t>
  </si>
  <si>
    <t>G</t>
  </si>
  <si>
    <t>Intervalo Intrajornada</t>
  </si>
  <si>
    <t>H</t>
  </si>
  <si>
    <t>Outros (especificar)</t>
  </si>
  <si>
    <t>Total da Remuneração</t>
  </si>
  <si>
    <t>MÓDULO 2:   BENEFÍCIOS MENSAIS E DIÁRIOS</t>
  </si>
  <si>
    <t>Benefícios Mensais e Diários</t>
  </si>
  <si>
    <t xml:space="preserve">Transporte </t>
  </si>
  <si>
    <t>Auxílio alimentação</t>
  </si>
  <si>
    <t>Total de Benefícios mensais e diários</t>
  </si>
  <si>
    <t>MÓDULO 3:   INSUMOS DIVERSOS</t>
  </si>
  <si>
    <t>Insumos Diversos</t>
  </si>
  <si>
    <t>Uniformes/Epis</t>
  </si>
  <si>
    <t>Materiais</t>
  </si>
  <si>
    <t>Equipamentos</t>
  </si>
  <si>
    <t>Total de Insumos diversos</t>
  </si>
  <si>
    <t>MÓDULO 4:   ENCARGOS SOCIAIS E TRABALHISTAS</t>
  </si>
  <si>
    <t>Submódulo 4.1 – Encargos previdenciários e FGTS:</t>
  </si>
  <si>
    <t>4.1</t>
  </si>
  <si>
    <t>Encargos previdenciários e FGTS</t>
  </si>
  <si>
    <t>%</t>
  </si>
  <si>
    <t>INSS</t>
  </si>
  <si>
    <t>Salário Educação</t>
  </si>
  <si>
    <t>SEBRAE</t>
  </si>
  <si>
    <t>SESI ou SESC</t>
  </si>
  <si>
    <t>SENAI ou SENAC</t>
  </si>
  <si>
    <t>INCRA</t>
  </si>
  <si>
    <t>FGTS</t>
  </si>
  <si>
    <t>TOTAL</t>
  </si>
  <si>
    <t>Submódulo 4.2 – 13º Salário e Adicional de Férias</t>
  </si>
  <si>
    <t>4.2</t>
  </si>
  <si>
    <t>13º Salário e Adicional de Férias</t>
  </si>
  <si>
    <t xml:space="preserve">13 º Salário </t>
  </si>
  <si>
    <t xml:space="preserve">Adicional de Férias </t>
  </si>
  <si>
    <t>Subtotal</t>
  </si>
  <si>
    <t>Incidência do Submódulo 4.1 sobre 13º Salário e Adicional de Férias</t>
  </si>
  <si>
    <t>Submódulo 4.3 - Afastamento Maternidade</t>
  </si>
  <si>
    <t>4.3</t>
  </si>
  <si>
    <t>Afastamento Maternidade:</t>
  </si>
  <si>
    <t xml:space="preserve">Afastamento maternidade </t>
  </si>
  <si>
    <t>B1</t>
  </si>
  <si>
    <t>Incidência do submódulo 4.1 sobre afastamento maternidade</t>
  </si>
  <si>
    <t>B2</t>
  </si>
  <si>
    <t>Submódulo 4.4 -  Provisão para Rescisão</t>
  </si>
  <si>
    <t>4.4</t>
  </si>
  <si>
    <t>Provisão para Rescisão</t>
  </si>
  <si>
    <t xml:space="preserve">Aviso prévio indenizado </t>
  </si>
  <si>
    <t>Incidência do FGTS sobre aviso prévio indenizado</t>
  </si>
  <si>
    <t>C1</t>
  </si>
  <si>
    <t>FGTS nas rescisões sem justa causa (40%)</t>
  </si>
  <si>
    <t>C2</t>
  </si>
  <si>
    <t>Contribuição Social nas recisões sem justa causa (10%)</t>
  </si>
  <si>
    <t>Aviso prévio trabalhado  (pago somente no 1º ano de contrato)</t>
  </si>
  <si>
    <t>Incidência do submódulo 4.1 sobre aviso prévio trabalhado</t>
  </si>
  <si>
    <t>F1</t>
  </si>
  <si>
    <t>Indenização Adicional</t>
  </si>
  <si>
    <t>Submódulo  4.5  – Custo de Reposição do Profissional Ausente</t>
  </si>
  <si>
    <t>4.5</t>
  </si>
  <si>
    <t>Composição do Custo de Reposição do Profissional Ausente</t>
  </si>
  <si>
    <t>Férias</t>
  </si>
  <si>
    <t xml:space="preserve">Ausência por doença </t>
  </si>
  <si>
    <t>Licença Paternidade</t>
  </si>
  <si>
    <t xml:space="preserve">Ausências legais </t>
  </si>
  <si>
    <t>Ausência por Acidente de trabalho</t>
  </si>
  <si>
    <t>Incidência do submódulo 4.1 sobre o Custo de reposição</t>
  </si>
  <si>
    <t>Quadro - resumo – Módulo 4 - Encargos sociais e trabalhistas</t>
  </si>
  <si>
    <t>Módulo 4 - Encargos sociais e trabalhistas</t>
  </si>
  <si>
    <t>13 º salário + Adicional de férias</t>
  </si>
  <si>
    <t>Afastamento maternidade</t>
  </si>
  <si>
    <t>Custo de rescisão</t>
  </si>
  <si>
    <t>Custo de reposição do profissional ausente</t>
  </si>
  <si>
    <t>4.6</t>
  </si>
  <si>
    <t>SOMA DOS MÓDULOS 1, 2, 3 E 4</t>
  </si>
  <si>
    <t xml:space="preserve"> MÓDULO 5 - CUSTOS INDIRETOS, TRIBUTOS E LUCRO</t>
  </si>
  <si>
    <t>Custos Indiretos, Tributos e Lucro</t>
  </si>
  <si>
    <t>Custos Indiretos</t>
  </si>
  <si>
    <t>Lucro</t>
  </si>
  <si>
    <t>Tributos</t>
  </si>
  <si>
    <t>Base de cálculo dos tributos</t>
  </si>
  <si>
    <t>B1. Tributos Federais - PIS - COFINS</t>
  </si>
  <si>
    <t>B.2  Tributos Estaduais (especificar)</t>
  </si>
  <si>
    <t>B.3   Tributos Municipais - ISS</t>
  </si>
  <si>
    <t>B.4   Outros tributos (especificar)</t>
  </si>
  <si>
    <t>Total</t>
  </si>
  <si>
    <t>Anexo III – B - Quadro-resumo do Custo por Empregado</t>
  </si>
  <si>
    <t>Mão-de-obra vinculada à execução contratual (valor por empregado)</t>
  </si>
  <si>
    <t>(R$)</t>
  </si>
  <si>
    <t>Módulo 1 – Composição da Remuneração</t>
  </si>
  <si>
    <t>Módulo 2 – Benefícios Mensais e Diários</t>
  </si>
  <si>
    <t>Módulo 3 – Insumos Diversos (uniformes, materiais, equip e outros)</t>
  </si>
  <si>
    <t>Módulo 4 – Encargos Sociais e Trabalhistas</t>
  </si>
  <si>
    <t>Subtotal (A + B +C+ D)</t>
  </si>
  <si>
    <t>Módulo 5 – Custos indiretos, tributos e lucro</t>
  </si>
  <si>
    <t>Valor total por empregado</t>
  </si>
  <si>
    <t>Observar o que diz a CCT</t>
  </si>
  <si>
    <t>Art. 22, Inc I, lei 8212/91</t>
  </si>
  <si>
    <t>Art 15, lei 9424/96; e decreto 3142/99</t>
  </si>
  <si>
    <t>Art. 8º, lei 8029/90 e lei 8154/90</t>
  </si>
  <si>
    <t>Art. 3º, lei 8036/90</t>
  </si>
  <si>
    <t>Decreto 2.318/86</t>
  </si>
  <si>
    <t>Lei 7787/89 e DL 1146/70</t>
  </si>
  <si>
    <t>Art. 15, lei 8030/90 e art 7º. III CF</t>
  </si>
  <si>
    <t>RATxFAP, Anexo V Decreto 3048/99 e Decreto 6957/09</t>
  </si>
  <si>
    <t>1/12*100%, Art 7º VIII, CF</t>
  </si>
  <si>
    <t>Art 7º, XVII, CF</t>
  </si>
  <si>
    <t>((remuneração+1/3)x(meses de licença/meses do ano)/mese do ano)x2% de incidência</t>
  </si>
  <si>
    <t>Art 7º, XXI, CF e 477, 487 e 491 CLT: 1mês/12x5%(frequencia anula estimada)x1,5salarios+1/30*3/12</t>
  </si>
  <si>
    <t>Lei 8036/90 e 9491/97: 8%(FGTS)x40%(Multa)x100%( estimando que todos demitidos ao final do contrato)</t>
  </si>
  <si>
    <t>Lei Complementar 110/01</t>
  </si>
  <si>
    <t>Art 7º, XXI, CF e 477, 487 e 491 CLT: 1sal/30(dias)*7(aviso previo)/12(meses)*100</t>
  </si>
  <si>
    <t>Lei nº 6.708/1979 e a Lei nº 7.238/1984: 1(mês)/12(meses)x1%frequencia estimada</t>
  </si>
  <si>
    <t>Não haverá</t>
  </si>
  <si>
    <t>Risco acidente do trabalho - RAT ajustado</t>
  </si>
  <si>
    <t>1/12meses</t>
  </si>
  <si>
    <t>Art. 59 e 64 lei 8213/91: 5 (dias)/30dias no mês/12meses*100</t>
  </si>
  <si>
    <t>Art. XIX CF e 10§1º CLT: 5dias/365 dias no ano x 1% frequencia de pai no ano</t>
  </si>
  <si>
    <t xml:space="preserve"> 3 p/ casamento (5%) + 2 p/ nojo (2%) + 1 p/ registro do filho (2%) + 1 p/ justiça (2%)</t>
  </si>
  <si>
    <t>Art.19 a 23 lei 8213/91: 15dias/365*8% frequencia</t>
  </si>
  <si>
    <t>(soma dos módulos 1, 2, 3 e 4) x Custos Indiretos</t>
  </si>
  <si>
    <t>(soma dos módulos 1, 2, 3, 4 + custos indiretos) x lucro</t>
  </si>
  <si>
    <t>Passagem*22*(6%saláriobase)</t>
  </si>
  <si>
    <t>Cargo</t>
  </si>
  <si>
    <t>Quantidade de postos</t>
  </si>
  <si>
    <t>Meses</t>
  </si>
  <si>
    <t>Valor Mensal</t>
  </si>
  <si>
    <t>Valor Anual</t>
  </si>
  <si>
    <t>Valor Total Global do contrato</t>
  </si>
  <si>
    <t>Agente de Segurança CCT 2015/2016</t>
  </si>
  <si>
    <t xml:space="preserve">Seguro de vida, invalidez </t>
  </si>
  <si>
    <t>12x36 noturno</t>
  </si>
  <si>
    <t>Supervisor</t>
  </si>
  <si>
    <t>Valor mensal por vigilante</t>
  </si>
  <si>
    <t>12x36 diurno (Seg a Sex)</t>
  </si>
  <si>
    <t>12x36 diurno (Seg a Dom)</t>
  </si>
  <si>
    <t>Nº de Agentes</t>
  </si>
  <si>
    <t>Valor unitário por posto</t>
  </si>
  <si>
    <t>Valor do Mensal posto</t>
  </si>
  <si>
    <t>Quadro Resumo (31 prestadores)</t>
  </si>
  <si>
    <t>Observar o que diz a CCT - 22 dias</t>
  </si>
  <si>
    <t>Vigilância - 12h Diurno Seg a Dom</t>
  </si>
  <si>
    <t>Vigilância - 12h Diurno Seg a Sex</t>
  </si>
  <si>
    <t>Vigilância - 12h Noturno Seg a Dom</t>
  </si>
  <si>
    <t>Vigilância - 08h Diurno</t>
  </si>
  <si>
    <t>Plano de saúde</t>
  </si>
  <si>
    <t>Benefício social familiar</t>
  </si>
  <si>
    <t>Auxílio medicamentos</t>
  </si>
  <si>
    <t>Supervisor CCT 2015/2016</t>
  </si>
  <si>
    <t>Valor pago atualmente</t>
  </si>
  <si>
    <r>
      <t xml:space="preserve">Incidência do submódulo 4.1 sobre a remuneração e 13º salários recebidos pelo </t>
    </r>
    <r>
      <rPr>
        <b/>
        <sz val="9"/>
        <rFont val="Tahoma"/>
        <family val="2"/>
      </rPr>
      <t>substituto</t>
    </r>
    <r>
      <rPr>
        <sz val="9"/>
        <rFont val="Tahoma"/>
        <family val="2"/>
      </rPr>
      <t xml:space="preserve"> durante os 120 dias de licença maternidade</t>
    </r>
  </si>
  <si>
    <t>CCT CLÁUSULA TRIGÉSIMA QUINTA- JORNADA DE TRABALHO - Parágrafo Primeiro  - Cômputo de horas extras  - CCT - 2015/2016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</si>
</sst>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&quot;R$ 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9"/>
      <color indexed="1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theme="1"/>
      <name val="Tahoma"/>
      <family val="2"/>
    </font>
    <font>
      <u/>
      <sz val="9"/>
      <name val="Tahoma"/>
      <family val="2"/>
    </font>
    <font>
      <sz val="9"/>
      <color indexed="9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8"/>
      <color theme="1"/>
      <name val="Tahoma"/>
      <family val="2"/>
    </font>
    <font>
      <sz val="8"/>
      <color indexed="9"/>
      <name val="Tahoma"/>
      <family val="2"/>
    </font>
    <font>
      <b/>
      <sz val="8"/>
      <color indexed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0" applyFont="1"/>
    <xf numFmtId="0" fontId="4" fillId="0" borderId="0" xfId="0" applyFont="1" applyFill="1"/>
    <xf numFmtId="0" fontId="3" fillId="0" borderId="0" xfId="0" applyFont="1"/>
    <xf numFmtId="0" fontId="2" fillId="0" borderId="0" xfId="0" applyFont="1"/>
    <xf numFmtId="43" fontId="0" fillId="0" borderId="0" xfId="0" applyNumberFormat="1"/>
    <xf numFmtId="0" fontId="1" fillId="4" borderId="1" xfId="0" applyFont="1" applyFill="1" applyBorder="1" applyAlignment="1">
      <alignment horizontal="center" vertical="center"/>
    </xf>
    <xf numFmtId="44" fontId="1" fillId="4" borderId="1" xfId="7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44" fontId="1" fillId="4" borderId="11" xfId="7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43" fontId="2" fillId="2" borderId="13" xfId="0" applyNumberFormat="1" applyFont="1" applyFill="1" applyBorder="1" applyAlignment="1">
      <alignment vertical="center"/>
    </xf>
    <xf numFmtId="43" fontId="2" fillId="2" borderId="14" xfId="0" applyNumberFormat="1" applyFont="1" applyFill="1" applyBorder="1" applyAlignment="1">
      <alignment vertical="center"/>
    </xf>
    <xf numFmtId="0" fontId="0" fillId="5" borderId="8" xfId="0" applyFill="1" applyBorder="1"/>
    <xf numFmtId="0" fontId="1" fillId="4" borderId="13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9" fillId="0" borderId="0" xfId="0" applyFont="1"/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/>
    </xf>
    <xf numFmtId="0" fontId="7" fillId="0" borderId="1" xfId="0" applyFont="1" applyFill="1" applyBorder="1"/>
    <xf numFmtId="2" fontId="7" fillId="0" borderId="0" xfId="0" applyNumberFormat="1" applyFont="1"/>
    <xf numFmtId="0" fontId="8" fillId="0" borderId="1" xfId="0" applyFont="1" applyBorder="1" applyAlignment="1">
      <alignment horizontal="center"/>
    </xf>
    <xf numFmtId="10" fontId="7" fillId="0" borderId="1" xfId="6" applyNumberFormat="1" applyFont="1" applyBorder="1" applyAlignment="1">
      <alignment horizontal="center"/>
    </xf>
    <xf numFmtId="166" fontId="7" fillId="0" borderId="1" xfId="0" applyNumberFormat="1" applyFont="1" applyBorder="1"/>
    <xf numFmtId="10" fontId="7" fillId="0" borderId="1" xfId="6" applyNumberFormat="1" applyFont="1" applyFill="1" applyBorder="1" applyAlignment="1">
      <alignment horizontal="center"/>
    </xf>
    <xf numFmtId="10" fontId="8" fillId="0" borderId="1" xfId="6" applyNumberFormat="1" applyFont="1" applyBorder="1" applyAlignment="1">
      <alignment horizontal="center"/>
    </xf>
    <xf numFmtId="166" fontId="8" fillId="0" borderId="1" xfId="0" applyNumberFormat="1" applyFont="1" applyBorder="1"/>
    <xf numFmtId="10" fontId="7" fillId="0" borderId="0" xfId="6" applyNumberFormat="1" applyFont="1"/>
    <xf numFmtId="10" fontId="7" fillId="0" borderId="0" xfId="0" applyNumberFormat="1" applyFont="1"/>
    <xf numFmtId="10" fontId="9" fillId="0" borderId="0" xfId="0" applyNumberFormat="1" applyFont="1"/>
    <xf numFmtId="10" fontId="7" fillId="0" borderId="1" xfId="0" applyNumberFormat="1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10" fontId="7" fillId="0" borderId="1" xfId="0" applyNumberFormat="1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10" fontId="8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0" xfId="0" applyFont="1" applyFill="1"/>
    <xf numFmtId="166" fontId="7" fillId="0" borderId="1" xfId="0" applyNumberFormat="1" applyFont="1" applyFill="1" applyBorder="1"/>
    <xf numFmtId="0" fontId="9" fillId="0" borderId="0" xfId="0" applyFont="1" applyAlignment="1">
      <alignment wrapText="1"/>
    </xf>
    <xf numFmtId="0" fontId="7" fillId="0" borderId="0" xfId="0" applyFont="1" applyFill="1" applyAlignment="1">
      <alignment wrapText="1"/>
    </xf>
    <xf numFmtId="166" fontId="8" fillId="0" borderId="1" xfId="0" applyNumberFormat="1" applyFont="1" applyFill="1" applyBorder="1"/>
    <xf numFmtId="16" fontId="7" fillId="0" borderId="0" xfId="0" applyNumberFormat="1" applyFont="1"/>
    <xf numFmtId="166" fontId="7" fillId="0" borderId="0" xfId="0" applyNumberFormat="1" applyFont="1"/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43" fontId="7" fillId="0" borderId="1" xfId="0" applyNumberFormat="1" applyFont="1" applyBorder="1"/>
    <xf numFmtId="43" fontId="7" fillId="0" borderId="1" xfId="5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/>
    <xf numFmtId="0" fontId="11" fillId="0" borderId="0" xfId="0" applyFont="1"/>
    <xf numFmtId="166" fontId="11" fillId="0" borderId="0" xfId="0" applyNumberFormat="1" applyFont="1"/>
    <xf numFmtId="166" fontId="8" fillId="0" borderId="1" xfId="5" applyNumberFormat="1" applyFont="1" applyBorder="1"/>
    <xf numFmtId="165" fontId="7" fillId="0" borderId="0" xfId="0" applyNumberFormat="1" applyFont="1"/>
    <xf numFmtId="0" fontId="9" fillId="0" borderId="1" xfId="0" applyFont="1" applyBorder="1"/>
    <xf numFmtId="166" fontId="9" fillId="0" borderId="1" xfId="0" applyNumberFormat="1" applyFont="1" applyBorder="1"/>
    <xf numFmtId="44" fontId="9" fillId="0" borderId="1" xfId="0" applyNumberFormat="1" applyFont="1" applyBorder="1"/>
    <xf numFmtId="0" fontId="6" fillId="3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wrapText="1"/>
    </xf>
    <xf numFmtId="166" fontId="12" fillId="0" borderId="0" xfId="0" applyNumberFormat="1" applyFont="1"/>
    <xf numFmtId="0" fontId="12" fillId="0" borderId="0" xfId="0" applyFont="1"/>
    <xf numFmtId="44" fontId="7" fillId="0" borderId="0" xfId="7" applyFont="1"/>
    <xf numFmtId="2" fontId="12" fillId="0" borderId="0" xfId="0" applyNumberFormat="1" applyFont="1"/>
    <xf numFmtId="10" fontId="12" fillId="0" borderId="0" xfId="6" applyNumberFormat="1" applyFont="1"/>
    <xf numFmtId="0" fontId="12" fillId="0" borderId="0" xfId="0" applyFont="1" applyAlignment="1">
      <alignment wrapText="1"/>
    </xf>
    <xf numFmtId="0" fontId="13" fillId="0" borderId="0" xfId="0" applyFont="1"/>
    <xf numFmtId="0" fontId="12" fillId="0" borderId="0" xfId="0" applyFont="1" applyFill="1"/>
    <xf numFmtId="0" fontId="14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16" fontId="12" fillId="0" borderId="0" xfId="0" applyNumberFormat="1" applyFont="1"/>
    <xf numFmtId="0" fontId="15" fillId="0" borderId="0" xfId="0" applyFont="1"/>
    <xf numFmtId="166" fontId="15" fillId="0" borderId="0" xfId="0" applyNumberFormat="1" applyFont="1"/>
    <xf numFmtId="165" fontId="12" fillId="0" borderId="0" xfId="0" applyNumberFormat="1" applyFont="1"/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6" fillId="3" borderId="0" xfId="0" applyFont="1" applyFill="1" applyBorder="1" applyAlignment="1">
      <alignment vertical="center" wrapText="1"/>
    </xf>
    <xf numFmtId="0" fontId="14" fillId="0" borderId="0" xfId="0" applyFont="1"/>
    <xf numFmtId="166" fontId="8" fillId="0" borderId="1" xfId="0" applyNumberFormat="1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16" xfId="0" applyFont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6" fontId="7" fillId="0" borderId="1" xfId="6" applyNumberFormat="1" applyFont="1" applyBorder="1" applyAlignment="1">
      <alignment horizontal="center"/>
    </xf>
    <xf numFmtId="166" fontId="7" fillId="0" borderId="1" xfId="6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1" xfId="0" applyFont="1" applyBorder="1" applyAlignment="1"/>
    <xf numFmtId="166" fontId="7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/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</cellXfs>
  <cellStyles count="8">
    <cellStyle name="Moeda" xfId="7" builtinId="4"/>
    <cellStyle name="Moeda 2" xfId="2"/>
    <cellStyle name="Normal" xfId="0" builtinId="0"/>
    <cellStyle name="Normal 2" xfId="1"/>
    <cellStyle name="Porcentagem" xfId="6" builtinId="5"/>
    <cellStyle name="Porcentagem 2" xfId="3"/>
    <cellStyle name="Vírgula" xfId="5" builtinId="3"/>
    <cellStyle name="Vírgula 2" xfId="4"/>
  </cellStyles>
  <dxfs count="0"/>
  <tableStyles count="0" defaultTableStyle="TableStyleMedium2" defaultPivotStyle="PivotStyleLight16"/>
  <colors>
    <mruColors>
      <color rgb="FFDD4F0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legislacaoDetalhe.asp?ctdCod=411_1" connectionId="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legislacaoDetalhe.asp?ctdCod=411" connectionId="7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legislacaoDetalhe.asp?ctdCod=411" connectionId="5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legislacaoDetalhe.asp?ctdCod=411_1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legislacaoDetalhe.asp?ctdCod=411" connectionId="8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legislacaoDetalhe.asp?ctdCod=411_1" connectionId="4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legislacaoDetalhe.asp?ctdCod=411" connectionId="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legislacaoDetalhe.asp?ctdCod=411_1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8.xml"/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"/>
  <sheetViews>
    <sheetView view="pageBreakPreview" topLeftCell="A102" zoomScale="112" zoomScaleNormal="90" zoomScaleSheetLayoutView="112" workbookViewId="0">
      <selection activeCell="E136" sqref="E136"/>
    </sheetView>
  </sheetViews>
  <sheetFormatPr defaultRowHeight="15" x14ac:dyDescent="0.25"/>
  <cols>
    <col min="1" max="1" width="5.7109375" customWidth="1"/>
    <col min="2" max="2" width="53" customWidth="1"/>
    <col min="3" max="3" width="14.85546875" customWidth="1"/>
    <col min="4" max="4" width="15.140625" customWidth="1"/>
    <col min="5" max="5" width="31.5703125" customWidth="1"/>
    <col min="6" max="6" width="16.140625" customWidth="1"/>
    <col min="7" max="7" width="18.5703125" bestFit="1" customWidth="1"/>
    <col min="257" max="257" width="5.7109375" customWidth="1"/>
    <col min="258" max="258" width="62.7109375" customWidth="1"/>
    <col min="259" max="259" width="12.42578125" customWidth="1"/>
    <col min="260" max="260" width="18" customWidth="1"/>
    <col min="261" max="261" width="59.7109375" customWidth="1"/>
    <col min="262" max="262" width="16.140625" customWidth="1"/>
    <col min="263" max="263" width="18.5703125" bestFit="1" customWidth="1"/>
    <col min="513" max="513" width="5.7109375" customWidth="1"/>
    <col min="514" max="514" width="62.7109375" customWidth="1"/>
    <col min="515" max="515" width="12.42578125" customWidth="1"/>
    <col min="516" max="516" width="18" customWidth="1"/>
    <col min="517" max="517" width="59.7109375" customWidth="1"/>
    <col min="518" max="518" width="16.140625" customWidth="1"/>
    <col min="519" max="519" width="18.5703125" bestFit="1" customWidth="1"/>
    <col min="769" max="769" width="5.7109375" customWidth="1"/>
    <col min="770" max="770" width="62.7109375" customWidth="1"/>
    <col min="771" max="771" width="12.42578125" customWidth="1"/>
    <col min="772" max="772" width="18" customWidth="1"/>
    <col min="773" max="773" width="59.7109375" customWidth="1"/>
    <col min="774" max="774" width="16.140625" customWidth="1"/>
    <col min="775" max="775" width="18.5703125" bestFit="1" customWidth="1"/>
    <col min="1025" max="1025" width="5.7109375" customWidth="1"/>
    <col min="1026" max="1026" width="62.7109375" customWidth="1"/>
    <col min="1027" max="1027" width="12.42578125" customWidth="1"/>
    <col min="1028" max="1028" width="18" customWidth="1"/>
    <col min="1029" max="1029" width="59.7109375" customWidth="1"/>
    <col min="1030" max="1030" width="16.140625" customWidth="1"/>
    <col min="1031" max="1031" width="18.5703125" bestFit="1" customWidth="1"/>
    <col min="1281" max="1281" width="5.7109375" customWidth="1"/>
    <col min="1282" max="1282" width="62.7109375" customWidth="1"/>
    <col min="1283" max="1283" width="12.42578125" customWidth="1"/>
    <col min="1284" max="1284" width="18" customWidth="1"/>
    <col min="1285" max="1285" width="59.7109375" customWidth="1"/>
    <col min="1286" max="1286" width="16.140625" customWidth="1"/>
    <col min="1287" max="1287" width="18.5703125" bestFit="1" customWidth="1"/>
    <col min="1537" max="1537" width="5.7109375" customWidth="1"/>
    <col min="1538" max="1538" width="62.7109375" customWidth="1"/>
    <col min="1539" max="1539" width="12.42578125" customWidth="1"/>
    <col min="1540" max="1540" width="18" customWidth="1"/>
    <col min="1541" max="1541" width="59.7109375" customWidth="1"/>
    <col min="1542" max="1542" width="16.140625" customWidth="1"/>
    <col min="1543" max="1543" width="18.5703125" bestFit="1" customWidth="1"/>
    <col min="1793" max="1793" width="5.7109375" customWidth="1"/>
    <col min="1794" max="1794" width="62.7109375" customWidth="1"/>
    <col min="1795" max="1795" width="12.42578125" customWidth="1"/>
    <col min="1796" max="1796" width="18" customWidth="1"/>
    <col min="1797" max="1797" width="59.7109375" customWidth="1"/>
    <col min="1798" max="1798" width="16.140625" customWidth="1"/>
    <col min="1799" max="1799" width="18.5703125" bestFit="1" customWidth="1"/>
    <col min="2049" max="2049" width="5.7109375" customWidth="1"/>
    <col min="2050" max="2050" width="62.7109375" customWidth="1"/>
    <col min="2051" max="2051" width="12.42578125" customWidth="1"/>
    <col min="2052" max="2052" width="18" customWidth="1"/>
    <col min="2053" max="2053" width="59.7109375" customWidth="1"/>
    <col min="2054" max="2054" width="16.140625" customWidth="1"/>
    <col min="2055" max="2055" width="18.5703125" bestFit="1" customWidth="1"/>
    <col min="2305" max="2305" width="5.7109375" customWidth="1"/>
    <col min="2306" max="2306" width="62.7109375" customWidth="1"/>
    <col min="2307" max="2307" width="12.42578125" customWidth="1"/>
    <col min="2308" max="2308" width="18" customWidth="1"/>
    <col min="2309" max="2309" width="59.7109375" customWidth="1"/>
    <col min="2310" max="2310" width="16.140625" customWidth="1"/>
    <col min="2311" max="2311" width="18.5703125" bestFit="1" customWidth="1"/>
    <col min="2561" max="2561" width="5.7109375" customWidth="1"/>
    <col min="2562" max="2562" width="62.7109375" customWidth="1"/>
    <col min="2563" max="2563" width="12.42578125" customWidth="1"/>
    <col min="2564" max="2564" width="18" customWidth="1"/>
    <col min="2565" max="2565" width="59.7109375" customWidth="1"/>
    <col min="2566" max="2566" width="16.140625" customWidth="1"/>
    <col min="2567" max="2567" width="18.5703125" bestFit="1" customWidth="1"/>
    <col min="2817" max="2817" width="5.7109375" customWidth="1"/>
    <col min="2818" max="2818" width="62.7109375" customWidth="1"/>
    <col min="2819" max="2819" width="12.42578125" customWidth="1"/>
    <col min="2820" max="2820" width="18" customWidth="1"/>
    <col min="2821" max="2821" width="59.7109375" customWidth="1"/>
    <col min="2822" max="2822" width="16.140625" customWidth="1"/>
    <col min="2823" max="2823" width="18.5703125" bestFit="1" customWidth="1"/>
    <col min="3073" max="3073" width="5.7109375" customWidth="1"/>
    <col min="3074" max="3074" width="62.7109375" customWidth="1"/>
    <col min="3075" max="3075" width="12.42578125" customWidth="1"/>
    <col min="3076" max="3076" width="18" customWidth="1"/>
    <col min="3077" max="3077" width="59.7109375" customWidth="1"/>
    <col min="3078" max="3078" width="16.140625" customWidth="1"/>
    <col min="3079" max="3079" width="18.5703125" bestFit="1" customWidth="1"/>
    <col min="3329" max="3329" width="5.7109375" customWidth="1"/>
    <col min="3330" max="3330" width="62.7109375" customWidth="1"/>
    <col min="3331" max="3331" width="12.42578125" customWidth="1"/>
    <col min="3332" max="3332" width="18" customWidth="1"/>
    <col min="3333" max="3333" width="59.7109375" customWidth="1"/>
    <col min="3334" max="3334" width="16.140625" customWidth="1"/>
    <col min="3335" max="3335" width="18.5703125" bestFit="1" customWidth="1"/>
    <col min="3585" max="3585" width="5.7109375" customWidth="1"/>
    <col min="3586" max="3586" width="62.7109375" customWidth="1"/>
    <col min="3587" max="3587" width="12.42578125" customWidth="1"/>
    <col min="3588" max="3588" width="18" customWidth="1"/>
    <col min="3589" max="3589" width="59.7109375" customWidth="1"/>
    <col min="3590" max="3590" width="16.140625" customWidth="1"/>
    <col min="3591" max="3591" width="18.5703125" bestFit="1" customWidth="1"/>
    <col min="3841" max="3841" width="5.7109375" customWidth="1"/>
    <col min="3842" max="3842" width="62.7109375" customWidth="1"/>
    <col min="3843" max="3843" width="12.42578125" customWidth="1"/>
    <col min="3844" max="3844" width="18" customWidth="1"/>
    <col min="3845" max="3845" width="59.7109375" customWidth="1"/>
    <col min="3846" max="3846" width="16.140625" customWidth="1"/>
    <col min="3847" max="3847" width="18.5703125" bestFit="1" customWidth="1"/>
    <col min="4097" max="4097" width="5.7109375" customWidth="1"/>
    <col min="4098" max="4098" width="62.7109375" customWidth="1"/>
    <col min="4099" max="4099" width="12.42578125" customWidth="1"/>
    <col min="4100" max="4100" width="18" customWidth="1"/>
    <col min="4101" max="4101" width="59.7109375" customWidth="1"/>
    <col min="4102" max="4102" width="16.140625" customWidth="1"/>
    <col min="4103" max="4103" width="18.5703125" bestFit="1" customWidth="1"/>
    <col min="4353" max="4353" width="5.7109375" customWidth="1"/>
    <col min="4354" max="4354" width="62.7109375" customWidth="1"/>
    <col min="4355" max="4355" width="12.42578125" customWidth="1"/>
    <col min="4356" max="4356" width="18" customWidth="1"/>
    <col min="4357" max="4357" width="59.7109375" customWidth="1"/>
    <col min="4358" max="4358" width="16.140625" customWidth="1"/>
    <col min="4359" max="4359" width="18.5703125" bestFit="1" customWidth="1"/>
    <col min="4609" max="4609" width="5.7109375" customWidth="1"/>
    <col min="4610" max="4610" width="62.7109375" customWidth="1"/>
    <col min="4611" max="4611" width="12.42578125" customWidth="1"/>
    <col min="4612" max="4612" width="18" customWidth="1"/>
    <col min="4613" max="4613" width="59.7109375" customWidth="1"/>
    <col min="4614" max="4614" width="16.140625" customWidth="1"/>
    <col min="4615" max="4615" width="18.5703125" bestFit="1" customWidth="1"/>
    <col min="4865" max="4865" width="5.7109375" customWidth="1"/>
    <col min="4866" max="4866" width="62.7109375" customWidth="1"/>
    <col min="4867" max="4867" width="12.42578125" customWidth="1"/>
    <col min="4868" max="4868" width="18" customWidth="1"/>
    <col min="4869" max="4869" width="59.7109375" customWidth="1"/>
    <col min="4870" max="4870" width="16.140625" customWidth="1"/>
    <col min="4871" max="4871" width="18.5703125" bestFit="1" customWidth="1"/>
    <col min="5121" max="5121" width="5.7109375" customWidth="1"/>
    <col min="5122" max="5122" width="62.7109375" customWidth="1"/>
    <col min="5123" max="5123" width="12.42578125" customWidth="1"/>
    <col min="5124" max="5124" width="18" customWidth="1"/>
    <col min="5125" max="5125" width="59.7109375" customWidth="1"/>
    <col min="5126" max="5126" width="16.140625" customWidth="1"/>
    <col min="5127" max="5127" width="18.5703125" bestFit="1" customWidth="1"/>
    <col min="5377" max="5377" width="5.7109375" customWidth="1"/>
    <col min="5378" max="5378" width="62.7109375" customWidth="1"/>
    <col min="5379" max="5379" width="12.42578125" customWidth="1"/>
    <col min="5380" max="5380" width="18" customWidth="1"/>
    <col min="5381" max="5381" width="59.7109375" customWidth="1"/>
    <col min="5382" max="5382" width="16.140625" customWidth="1"/>
    <col min="5383" max="5383" width="18.5703125" bestFit="1" customWidth="1"/>
    <col min="5633" max="5633" width="5.7109375" customWidth="1"/>
    <col min="5634" max="5634" width="62.7109375" customWidth="1"/>
    <col min="5635" max="5635" width="12.42578125" customWidth="1"/>
    <col min="5636" max="5636" width="18" customWidth="1"/>
    <col min="5637" max="5637" width="59.7109375" customWidth="1"/>
    <col min="5638" max="5638" width="16.140625" customWidth="1"/>
    <col min="5639" max="5639" width="18.5703125" bestFit="1" customWidth="1"/>
    <col min="5889" max="5889" width="5.7109375" customWidth="1"/>
    <col min="5890" max="5890" width="62.7109375" customWidth="1"/>
    <col min="5891" max="5891" width="12.42578125" customWidth="1"/>
    <col min="5892" max="5892" width="18" customWidth="1"/>
    <col min="5893" max="5893" width="59.7109375" customWidth="1"/>
    <col min="5894" max="5894" width="16.140625" customWidth="1"/>
    <col min="5895" max="5895" width="18.5703125" bestFit="1" customWidth="1"/>
    <col min="6145" max="6145" width="5.7109375" customWidth="1"/>
    <col min="6146" max="6146" width="62.7109375" customWidth="1"/>
    <col min="6147" max="6147" width="12.42578125" customWidth="1"/>
    <col min="6148" max="6148" width="18" customWidth="1"/>
    <col min="6149" max="6149" width="59.7109375" customWidth="1"/>
    <col min="6150" max="6150" width="16.140625" customWidth="1"/>
    <col min="6151" max="6151" width="18.5703125" bestFit="1" customWidth="1"/>
    <col min="6401" max="6401" width="5.7109375" customWidth="1"/>
    <col min="6402" max="6402" width="62.7109375" customWidth="1"/>
    <col min="6403" max="6403" width="12.42578125" customWidth="1"/>
    <col min="6404" max="6404" width="18" customWidth="1"/>
    <col min="6405" max="6405" width="59.7109375" customWidth="1"/>
    <col min="6406" max="6406" width="16.140625" customWidth="1"/>
    <col min="6407" max="6407" width="18.5703125" bestFit="1" customWidth="1"/>
    <col min="6657" max="6657" width="5.7109375" customWidth="1"/>
    <col min="6658" max="6658" width="62.7109375" customWidth="1"/>
    <col min="6659" max="6659" width="12.42578125" customWidth="1"/>
    <col min="6660" max="6660" width="18" customWidth="1"/>
    <col min="6661" max="6661" width="59.7109375" customWidth="1"/>
    <col min="6662" max="6662" width="16.140625" customWidth="1"/>
    <col min="6663" max="6663" width="18.5703125" bestFit="1" customWidth="1"/>
    <col min="6913" max="6913" width="5.7109375" customWidth="1"/>
    <col min="6914" max="6914" width="62.7109375" customWidth="1"/>
    <col min="6915" max="6915" width="12.42578125" customWidth="1"/>
    <col min="6916" max="6916" width="18" customWidth="1"/>
    <col min="6917" max="6917" width="59.7109375" customWidth="1"/>
    <col min="6918" max="6918" width="16.140625" customWidth="1"/>
    <col min="6919" max="6919" width="18.5703125" bestFit="1" customWidth="1"/>
    <col min="7169" max="7169" width="5.7109375" customWidth="1"/>
    <col min="7170" max="7170" width="62.7109375" customWidth="1"/>
    <col min="7171" max="7171" width="12.42578125" customWidth="1"/>
    <col min="7172" max="7172" width="18" customWidth="1"/>
    <col min="7173" max="7173" width="59.7109375" customWidth="1"/>
    <col min="7174" max="7174" width="16.140625" customWidth="1"/>
    <col min="7175" max="7175" width="18.5703125" bestFit="1" customWidth="1"/>
    <col min="7425" max="7425" width="5.7109375" customWidth="1"/>
    <col min="7426" max="7426" width="62.7109375" customWidth="1"/>
    <col min="7427" max="7427" width="12.42578125" customWidth="1"/>
    <col min="7428" max="7428" width="18" customWidth="1"/>
    <col min="7429" max="7429" width="59.7109375" customWidth="1"/>
    <col min="7430" max="7430" width="16.140625" customWidth="1"/>
    <col min="7431" max="7431" width="18.5703125" bestFit="1" customWidth="1"/>
    <col min="7681" max="7681" width="5.7109375" customWidth="1"/>
    <col min="7682" max="7682" width="62.7109375" customWidth="1"/>
    <col min="7683" max="7683" width="12.42578125" customWidth="1"/>
    <col min="7684" max="7684" width="18" customWidth="1"/>
    <col min="7685" max="7685" width="59.7109375" customWidth="1"/>
    <col min="7686" max="7686" width="16.140625" customWidth="1"/>
    <col min="7687" max="7687" width="18.5703125" bestFit="1" customWidth="1"/>
    <col min="7937" max="7937" width="5.7109375" customWidth="1"/>
    <col min="7938" max="7938" width="62.7109375" customWidth="1"/>
    <col min="7939" max="7939" width="12.42578125" customWidth="1"/>
    <col min="7940" max="7940" width="18" customWidth="1"/>
    <col min="7941" max="7941" width="59.7109375" customWidth="1"/>
    <col min="7942" max="7942" width="16.140625" customWidth="1"/>
    <col min="7943" max="7943" width="18.5703125" bestFit="1" customWidth="1"/>
    <col min="8193" max="8193" width="5.7109375" customWidth="1"/>
    <col min="8194" max="8194" width="62.7109375" customWidth="1"/>
    <col min="8195" max="8195" width="12.42578125" customWidth="1"/>
    <col min="8196" max="8196" width="18" customWidth="1"/>
    <col min="8197" max="8197" width="59.7109375" customWidth="1"/>
    <col min="8198" max="8198" width="16.140625" customWidth="1"/>
    <col min="8199" max="8199" width="18.5703125" bestFit="1" customWidth="1"/>
    <col min="8449" max="8449" width="5.7109375" customWidth="1"/>
    <col min="8450" max="8450" width="62.7109375" customWidth="1"/>
    <col min="8451" max="8451" width="12.42578125" customWidth="1"/>
    <col min="8452" max="8452" width="18" customWidth="1"/>
    <col min="8453" max="8453" width="59.7109375" customWidth="1"/>
    <col min="8454" max="8454" width="16.140625" customWidth="1"/>
    <col min="8455" max="8455" width="18.5703125" bestFit="1" customWidth="1"/>
    <col min="8705" max="8705" width="5.7109375" customWidth="1"/>
    <col min="8706" max="8706" width="62.7109375" customWidth="1"/>
    <col min="8707" max="8707" width="12.42578125" customWidth="1"/>
    <col min="8708" max="8708" width="18" customWidth="1"/>
    <col min="8709" max="8709" width="59.7109375" customWidth="1"/>
    <col min="8710" max="8710" width="16.140625" customWidth="1"/>
    <col min="8711" max="8711" width="18.5703125" bestFit="1" customWidth="1"/>
    <col min="8961" max="8961" width="5.7109375" customWidth="1"/>
    <col min="8962" max="8962" width="62.7109375" customWidth="1"/>
    <col min="8963" max="8963" width="12.42578125" customWidth="1"/>
    <col min="8964" max="8964" width="18" customWidth="1"/>
    <col min="8965" max="8965" width="59.7109375" customWidth="1"/>
    <col min="8966" max="8966" width="16.140625" customWidth="1"/>
    <col min="8967" max="8967" width="18.5703125" bestFit="1" customWidth="1"/>
    <col min="9217" max="9217" width="5.7109375" customWidth="1"/>
    <col min="9218" max="9218" width="62.7109375" customWidth="1"/>
    <col min="9219" max="9219" width="12.42578125" customWidth="1"/>
    <col min="9220" max="9220" width="18" customWidth="1"/>
    <col min="9221" max="9221" width="59.7109375" customWidth="1"/>
    <col min="9222" max="9222" width="16.140625" customWidth="1"/>
    <col min="9223" max="9223" width="18.5703125" bestFit="1" customWidth="1"/>
    <col min="9473" max="9473" width="5.7109375" customWidth="1"/>
    <col min="9474" max="9474" width="62.7109375" customWidth="1"/>
    <col min="9475" max="9475" width="12.42578125" customWidth="1"/>
    <col min="9476" max="9476" width="18" customWidth="1"/>
    <col min="9477" max="9477" width="59.7109375" customWidth="1"/>
    <col min="9478" max="9478" width="16.140625" customWidth="1"/>
    <col min="9479" max="9479" width="18.5703125" bestFit="1" customWidth="1"/>
    <col min="9729" max="9729" width="5.7109375" customWidth="1"/>
    <col min="9730" max="9730" width="62.7109375" customWidth="1"/>
    <col min="9731" max="9731" width="12.42578125" customWidth="1"/>
    <col min="9732" max="9732" width="18" customWidth="1"/>
    <col min="9733" max="9733" width="59.7109375" customWidth="1"/>
    <col min="9734" max="9734" width="16.140625" customWidth="1"/>
    <col min="9735" max="9735" width="18.5703125" bestFit="1" customWidth="1"/>
    <col min="9985" max="9985" width="5.7109375" customWidth="1"/>
    <col min="9986" max="9986" width="62.7109375" customWidth="1"/>
    <col min="9987" max="9987" width="12.42578125" customWidth="1"/>
    <col min="9988" max="9988" width="18" customWidth="1"/>
    <col min="9989" max="9989" width="59.7109375" customWidth="1"/>
    <col min="9990" max="9990" width="16.140625" customWidth="1"/>
    <col min="9991" max="9991" width="18.5703125" bestFit="1" customWidth="1"/>
    <col min="10241" max="10241" width="5.7109375" customWidth="1"/>
    <col min="10242" max="10242" width="62.7109375" customWidth="1"/>
    <col min="10243" max="10243" width="12.42578125" customWidth="1"/>
    <col min="10244" max="10244" width="18" customWidth="1"/>
    <col min="10245" max="10245" width="59.7109375" customWidth="1"/>
    <col min="10246" max="10246" width="16.140625" customWidth="1"/>
    <col min="10247" max="10247" width="18.5703125" bestFit="1" customWidth="1"/>
    <col min="10497" max="10497" width="5.7109375" customWidth="1"/>
    <col min="10498" max="10498" width="62.7109375" customWidth="1"/>
    <col min="10499" max="10499" width="12.42578125" customWidth="1"/>
    <col min="10500" max="10500" width="18" customWidth="1"/>
    <col min="10501" max="10501" width="59.7109375" customWidth="1"/>
    <col min="10502" max="10502" width="16.140625" customWidth="1"/>
    <col min="10503" max="10503" width="18.5703125" bestFit="1" customWidth="1"/>
    <col min="10753" max="10753" width="5.7109375" customWidth="1"/>
    <col min="10754" max="10754" width="62.7109375" customWidth="1"/>
    <col min="10755" max="10755" width="12.42578125" customWidth="1"/>
    <col min="10756" max="10756" width="18" customWidth="1"/>
    <col min="10757" max="10757" width="59.7109375" customWidth="1"/>
    <col min="10758" max="10758" width="16.140625" customWidth="1"/>
    <col min="10759" max="10759" width="18.5703125" bestFit="1" customWidth="1"/>
    <col min="11009" max="11009" width="5.7109375" customWidth="1"/>
    <col min="11010" max="11010" width="62.7109375" customWidth="1"/>
    <col min="11011" max="11011" width="12.42578125" customWidth="1"/>
    <col min="11012" max="11012" width="18" customWidth="1"/>
    <col min="11013" max="11013" width="59.7109375" customWidth="1"/>
    <col min="11014" max="11014" width="16.140625" customWidth="1"/>
    <col min="11015" max="11015" width="18.5703125" bestFit="1" customWidth="1"/>
    <col min="11265" max="11265" width="5.7109375" customWidth="1"/>
    <col min="11266" max="11266" width="62.7109375" customWidth="1"/>
    <col min="11267" max="11267" width="12.42578125" customWidth="1"/>
    <col min="11268" max="11268" width="18" customWidth="1"/>
    <col min="11269" max="11269" width="59.7109375" customWidth="1"/>
    <col min="11270" max="11270" width="16.140625" customWidth="1"/>
    <col min="11271" max="11271" width="18.5703125" bestFit="1" customWidth="1"/>
    <col min="11521" max="11521" width="5.7109375" customWidth="1"/>
    <col min="11522" max="11522" width="62.7109375" customWidth="1"/>
    <col min="11523" max="11523" width="12.42578125" customWidth="1"/>
    <col min="11524" max="11524" width="18" customWidth="1"/>
    <col min="11525" max="11525" width="59.7109375" customWidth="1"/>
    <col min="11526" max="11526" width="16.140625" customWidth="1"/>
    <col min="11527" max="11527" width="18.5703125" bestFit="1" customWidth="1"/>
    <col min="11777" max="11777" width="5.7109375" customWidth="1"/>
    <col min="11778" max="11778" width="62.7109375" customWidth="1"/>
    <col min="11779" max="11779" width="12.42578125" customWidth="1"/>
    <col min="11780" max="11780" width="18" customWidth="1"/>
    <col min="11781" max="11781" width="59.7109375" customWidth="1"/>
    <col min="11782" max="11782" width="16.140625" customWidth="1"/>
    <col min="11783" max="11783" width="18.5703125" bestFit="1" customWidth="1"/>
    <col min="12033" max="12033" width="5.7109375" customWidth="1"/>
    <col min="12034" max="12034" width="62.7109375" customWidth="1"/>
    <col min="12035" max="12035" width="12.42578125" customWidth="1"/>
    <col min="12036" max="12036" width="18" customWidth="1"/>
    <col min="12037" max="12037" width="59.7109375" customWidth="1"/>
    <col min="12038" max="12038" width="16.140625" customWidth="1"/>
    <col min="12039" max="12039" width="18.5703125" bestFit="1" customWidth="1"/>
    <col min="12289" max="12289" width="5.7109375" customWidth="1"/>
    <col min="12290" max="12290" width="62.7109375" customWidth="1"/>
    <col min="12291" max="12291" width="12.42578125" customWidth="1"/>
    <col min="12292" max="12292" width="18" customWidth="1"/>
    <col min="12293" max="12293" width="59.7109375" customWidth="1"/>
    <col min="12294" max="12294" width="16.140625" customWidth="1"/>
    <col min="12295" max="12295" width="18.5703125" bestFit="1" customWidth="1"/>
    <col min="12545" max="12545" width="5.7109375" customWidth="1"/>
    <col min="12546" max="12546" width="62.7109375" customWidth="1"/>
    <col min="12547" max="12547" width="12.42578125" customWidth="1"/>
    <col min="12548" max="12548" width="18" customWidth="1"/>
    <col min="12549" max="12549" width="59.7109375" customWidth="1"/>
    <col min="12550" max="12550" width="16.140625" customWidth="1"/>
    <col min="12551" max="12551" width="18.5703125" bestFit="1" customWidth="1"/>
    <col min="12801" max="12801" width="5.7109375" customWidth="1"/>
    <col min="12802" max="12802" width="62.7109375" customWidth="1"/>
    <col min="12803" max="12803" width="12.42578125" customWidth="1"/>
    <col min="12804" max="12804" width="18" customWidth="1"/>
    <col min="12805" max="12805" width="59.7109375" customWidth="1"/>
    <col min="12806" max="12806" width="16.140625" customWidth="1"/>
    <col min="12807" max="12807" width="18.5703125" bestFit="1" customWidth="1"/>
    <col min="13057" max="13057" width="5.7109375" customWidth="1"/>
    <col min="13058" max="13058" width="62.7109375" customWidth="1"/>
    <col min="13059" max="13059" width="12.42578125" customWidth="1"/>
    <col min="13060" max="13060" width="18" customWidth="1"/>
    <col min="13061" max="13061" width="59.7109375" customWidth="1"/>
    <col min="13062" max="13062" width="16.140625" customWidth="1"/>
    <col min="13063" max="13063" width="18.5703125" bestFit="1" customWidth="1"/>
    <col min="13313" max="13313" width="5.7109375" customWidth="1"/>
    <col min="13314" max="13314" width="62.7109375" customWidth="1"/>
    <col min="13315" max="13315" width="12.42578125" customWidth="1"/>
    <col min="13316" max="13316" width="18" customWidth="1"/>
    <col min="13317" max="13317" width="59.7109375" customWidth="1"/>
    <col min="13318" max="13318" width="16.140625" customWidth="1"/>
    <col min="13319" max="13319" width="18.5703125" bestFit="1" customWidth="1"/>
    <col min="13569" max="13569" width="5.7109375" customWidth="1"/>
    <col min="13570" max="13570" width="62.7109375" customWidth="1"/>
    <col min="13571" max="13571" width="12.42578125" customWidth="1"/>
    <col min="13572" max="13572" width="18" customWidth="1"/>
    <col min="13573" max="13573" width="59.7109375" customWidth="1"/>
    <col min="13574" max="13574" width="16.140625" customWidth="1"/>
    <col min="13575" max="13575" width="18.5703125" bestFit="1" customWidth="1"/>
    <col min="13825" max="13825" width="5.7109375" customWidth="1"/>
    <col min="13826" max="13826" width="62.7109375" customWidth="1"/>
    <col min="13827" max="13827" width="12.42578125" customWidth="1"/>
    <col min="13828" max="13828" width="18" customWidth="1"/>
    <col min="13829" max="13829" width="59.7109375" customWidth="1"/>
    <col min="13830" max="13830" width="16.140625" customWidth="1"/>
    <col min="13831" max="13831" width="18.5703125" bestFit="1" customWidth="1"/>
    <col min="14081" max="14081" width="5.7109375" customWidth="1"/>
    <col min="14082" max="14082" width="62.7109375" customWidth="1"/>
    <col min="14083" max="14083" width="12.42578125" customWidth="1"/>
    <col min="14084" max="14084" width="18" customWidth="1"/>
    <col min="14085" max="14085" width="59.7109375" customWidth="1"/>
    <col min="14086" max="14086" width="16.140625" customWidth="1"/>
    <col min="14087" max="14087" width="18.5703125" bestFit="1" customWidth="1"/>
    <col min="14337" max="14337" width="5.7109375" customWidth="1"/>
    <col min="14338" max="14338" width="62.7109375" customWidth="1"/>
    <col min="14339" max="14339" width="12.42578125" customWidth="1"/>
    <col min="14340" max="14340" width="18" customWidth="1"/>
    <col min="14341" max="14341" width="59.7109375" customWidth="1"/>
    <col min="14342" max="14342" width="16.140625" customWidth="1"/>
    <col min="14343" max="14343" width="18.5703125" bestFit="1" customWidth="1"/>
    <col min="14593" max="14593" width="5.7109375" customWidth="1"/>
    <col min="14594" max="14594" width="62.7109375" customWidth="1"/>
    <col min="14595" max="14595" width="12.42578125" customWidth="1"/>
    <col min="14596" max="14596" width="18" customWidth="1"/>
    <col min="14597" max="14597" width="59.7109375" customWidth="1"/>
    <col min="14598" max="14598" width="16.140625" customWidth="1"/>
    <col min="14599" max="14599" width="18.5703125" bestFit="1" customWidth="1"/>
    <col min="14849" max="14849" width="5.7109375" customWidth="1"/>
    <col min="14850" max="14850" width="62.7109375" customWidth="1"/>
    <col min="14851" max="14851" width="12.42578125" customWidth="1"/>
    <col min="14852" max="14852" width="18" customWidth="1"/>
    <col min="14853" max="14853" width="59.7109375" customWidth="1"/>
    <col min="14854" max="14854" width="16.140625" customWidth="1"/>
    <col min="14855" max="14855" width="18.5703125" bestFit="1" customWidth="1"/>
    <col min="15105" max="15105" width="5.7109375" customWidth="1"/>
    <col min="15106" max="15106" width="62.7109375" customWidth="1"/>
    <col min="15107" max="15107" width="12.42578125" customWidth="1"/>
    <col min="15108" max="15108" width="18" customWidth="1"/>
    <col min="15109" max="15109" width="59.7109375" customWidth="1"/>
    <col min="15110" max="15110" width="16.140625" customWidth="1"/>
    <col min="15111" max="15111" width="18.5703125" bestFit="1" customWidth="1"/>
    <col min="15361" max="15361" width="5.7109375" customWidth="1"/>
    <col min="15362" max="15362" width="62.7109375" customWidth="1"/>
    <col min="15363" max="15363" width="12.42578125" customWidth="1"/>
    <col min="15364" max="15364" width="18" customWidth="1"/>
    <col min="15365" max="15365" width="59.7109375" customWidth="1"/>
    <col min="15366" max="15366" width="16.140625" customWidth="1"/>
    <col min="15367" max="15367" width="18.5703125" bestFit="1" customWidth="1"/>
    <col min="15617" max="15617" width="5.7109375" customWidth="1"/>
    <col min="15618" max="15618" width="62.7109375" customWidth="1"/>
    <col min="15619" max="15619" width="12.42578125" customWidth="1"/>
    <col min="15620" max="15620" width="18" customWidth="1"/>
    <col min="15621" max="15621" width="59.7109375" customWidth="1"/>
    <col min="15622" max="15622" width="16.140625" customWidth="1"/>
    <col min="15623" max="15623" width="18.5703125" bestFit="1" customWidth="1"/>
    <col min="15873" max="15873" width="5.7109375" customWidth="1"/>
    <col min="15874" max="15874" width="62.7109375" customWidth="1"/>
    <col min="15875" max="15875" width="12.42578125" customWidth="1"/>
    <col min="15876" max="15876" width="18" customWidth="1"/>
    <col min="15877" max="15877" width="59.7109375" customWidth="1"/>
    <col min="15878" max="15878" width="16.140625" customWidth="1"/>
    <col min="15879" max="15879" width="18.5703125" bestFit="1" customWidth="1"/>
    <col min="16129" max="16129" width="5.7109375" customWidth="1"/>
    <col min="16130" max="16130" width="62.7109375" customWidth="1"/>
    <col min="16131" max="16131" width="12.42578125" customWidth="1"/>
    <col min="16132" max="16132" width="18" customWidth="1"/>
    <col min="16133" max="16133" width="59.7109375" customWidth="1"/>
    <col min="16134" max="16134" width="16.140625" customWidth="1"/>
    <col min="16135" max="16135" width="18.5703125" bestFit="1" customWidth="1"/>
  </cols>
  <sheetData>
    <row r="1" spans="1:7" x14ac:dyDescent="0.25">
      <c r="A1" s="89" t="s">
        <v>0</v>
      </c>
      <c r="B1" s="89"/>
      <c r="C1" s="89"/>
      <c r="D1" s="89"/>
      <c r="E1" s="17"/>
      <c r="F1" s="17"/>
      <c r="G1" s="18"/>
    </row>
    <row r="2" spans="1:7" x14ac:dyDescent="0.25">
      <c r="A2" s="19"/>
      <c r="B2" s="20" t="s">
        <v>1</v>
      </c>
      <c r="C2" s="21"/>
      <c r="D2" s="21"/>
      <c r="E2" s="21"/>
      <c r="F2" s="21"/>
      <c r="G2" s="18"/>
    </row>
    <row r="3" spans="1:7" x14ac:dyDescent="0.25">
      <c r="A3" s="16"/>
      <c r="B3" s="16"/>
      <c r="C3" s="16"/>
      <c r="D3" s="16"/>
      <c r="E3" s="16"/>
      <c r="F3" s="16"/>
      <c r="G3" s="18"/>
    </row>
    <row r="4" spans="1:7" ht="35.25" customHeight="1" x14ac:dyDescent="0.25">
      <c r="A4" s="22" t="s">
        <v>2</v>
      </c>
      <c r="B4" s="22"/>
      <c r="C4" s="90" t="s">
        <v>144</v>
      </c>
      <c r="D4" s="90"/>
      <c r="E4" s="16"/>
      <c r="F4" s="16"/>
      <c r="G4" s="18"/>
    </row>
    <row r="5" spans="1:7" ht="16.5" customHeight="1" thickBot="1" x14ac:dyDescent="0.3">
      <c r="A5" s="16"/>
      <c r="B5" s="20" t="s">
        <v>1</v>
      </c>
      <c r="C5" s="91" t="s">
        <v>156</v>
      </c>
      <c r="D5" s="92"/>
      <c r="E5" s="66"/>
      <c r="F5" s="66"/>
      <c r="G5" s="66"/>
    </row>
    <row r="6" spans="1:7" x14ac:dyDescent="0.25">
      <c r="A6" s="23"/>
      <c r="B6" s="24" t="s">
        <v>3</v>
      </c>
      <c r="C6" s="88" t="s">
        <v>4</v>
      </c>
      <c r="D6" s="88"/>
      <c r="E6" s="16"/>
      <c r="F6" s="16"/>
      <c r="G6" s="18"/>
    </row>
    <row r="7" spans="1:7" x14ac:dyDescent="0.25">
      <c r="A7" s="25" t="s">
        <v>5</v>
      </c>
      <c r="B7" s="25" t="s">
        <v>6</v>
      </c>
      <c r="C7" s="87">
        <v>1555.54</v>
      </c>
      <c r="D7" s="87"/>
      <c r="E7" s="16"/>
      <c r="F7" s="16"/>
      <c r="G7" s="18"/>
    </row>
    <row r="8" spans="1:7" x14ac:dyDescent="0.25">
      <c r="A8" s="25" t="s">
        <v>7</v>
      </c>
      <c r="B8" s="25" t="s">
        <v>8</v>
      </c>
      <c r="C8" s="87">
        <f>C7*30%</f>
        <v>466.66199999999998</v>
      </c>
      <c r="D8" s="87"/>
      <c r="E8" s="16"/>
      <c r="F8" s="16"/>
      <c r="G8" s="18"/>
    </row>
    <row r="9" spans="1:7" x14ac:dyDescent="0.25">
      <c r="A9" s="25" t="s">
        <v>9</v>
      </c>
      <c r="B9" s="25" t="s">
        <v>10</v>
      </c>
      <c r="C9" s="87" t="s">
        <v>128</v>
      </c>
      <c r="D9" s="87"/>
      <c r="E9" s="16"/>
      <c r="F9" s="16"/>
      <c r="G9" s="18"/>
    </row>
    <row r="10" spans="1:7" x14ac:dyDescent="0.25">
      <c r="A10" s="25" t="s">
        <v>11</v>
      </c>
      <c r="B10" s="25" t="s">
        <v>12</v>
      </c>
      <c r="C10" s="87" t="s">
        <v>128</v>
      </c>
      <c r="D10" s="87"/>
      <c r="E10" s="16"/>
      <c r="F10" s="16"/>
      <c r="G10" s="18"/>
    </row>
    <row r="11" spans="1:7" x14ac:dyDescent="0.25">
      <c r="A11" s="25" t="s">
        <v>13</v>
      </c>
      <c r="B11" s="25" t="s">
        <v>14</v>
      </c>
      <c r="C11" s="87" t="s">
        <v>128</v>
      </c>
      <c r="D11" s="87"/>
      <c r="E11" s="16"/>
      <c r="F11" s="16"/>
      <c r="G11" s="18"/>
    </row>
    <row r="12" spans="1:7" x14ac:dyDescent="0.25">
      <c r="A12" s="25" t="s">
        <v>15</v>
      </c>
      <c r="B12" s="25" t="s">
        <v>16</v>
      </c>
      <c r="C12" s="87" t="s">
        <v>128</v>
      </c>
      <c r="D12" s="87"/>
      <c r="E12" s="16"/>
      <c r="F12" s="16"/>
      <c r="G12" s="18"/>
    </row>
    <row r="13" spans="1:7" x14ac:dyDescent="0.25">
      <c r="A13" s="25" t="s">
        <v>17</v>
      </c>
      <c r="B13" s="25" t="s">
        <v>18</v>
      </c>
      <c r="C13" s="87" t="s">
        <v>128</v>
      </c>
      <c r="D13" s="87"/>
      <c r="E13" s="16"/>
      <c r="F13" s="16"/>
      <c r="G13" s="18"/>
    </row>
    <row r="14" spans="1:7" ht="28.5" customHeight="1" x14ac:dyDescent="0.25">
      <c r="A14" s="25" t="s">
        <v>19</v>
      </c>
      <c r="B14" s="26" t="s">
        <v>166</v>
      </c>
      <c r="C14" s="87">
        <f>SUM(((C7)/220)*10*2*13*50%/12)</f>
        <v>76.598560606060602</v>
      </c>
      <c r="D14" s="87"/>
      <c r="E14" s="16"/>
      <c r="F14" s="16"/>
      <c r="G14" s="18"/>
    </row>
    <row r="15" spans="1:7" x14ac:dyDescent="0.25">
      <c r="A15" s="24"/>
      <c r="B15" s="24" t="s">
        <v>21</v>
      </c>
      <c r="C15" s="86">
        <f>SUM(C7:D14)</f>
        <v>2098.8005606060606</v>
      </c>
      <c r="D15" s="86"/>
      <c r="E15" s="16"/>
      <c r="F15" s="16"/>
      <c r="G15" s="18"/>
    </row>
    <row r="16" spans="1:7" x14ac:dyDescent="0.25">
      <c r="A16" s="16"/>
      <c r="B16" s="16"/>
      <c r="C16" s="16"/>
      <c r="D16" s="16"/>
      <c r="E16" s="16"/>
      <c r="F16" s="16"/>
      <c r="G16" s="18"/>
    </row>
    <row r="17" spans="1:7" x14ac:dyDescent="0.25">
      <c r="A17" s="22" t="s">
        <v>22</v>
      </c>
      <c r="B17" s="22"/>
      <c r="C17" s="16"/>
      <c r="D17" s="16"/>
      <c r="E17" s="16"/>
      <c r="F17" s="16"/>
      <c r="G17" s="18"/>
    </row>
    <row r="18" spans="1:7" x14ac:dyDescent="0.25">
      <c r="A18" s="16"/>
      <c r="B18" s="20" t="s">
        <v>1</v>
      </c>
      <c r="C18" s="16"/>
      <c r="D18" s="16"/>
      <c r="E18" s="16"/>
      <c r="F18" s="16"/>
      <c r="G18" s="18"/>
    </row>
    <row r="19" spans="1:7" x14ac:dyDescent="0.25">
      <c r="A19" s="27">
        <v>2</v>
      </c>
      <c r="B19" s="25" t="s">
        <v>23</v>
      </c>
      <c r="C19" s="95" t="s">
        <v>4</v>
      </c>
      <c r="D19" s="95"/>
      <c r="E19" s="16"/>
      <c r="F19" s="16"/>
      <c r="G19" s="18"/>
    </row>
    <row r="20" spans="1:7" x14ac:dyDescent="0.25">
      <c r="A20" s="25" t="s">
        <v>5</v>
      </c>
      <c r="B20" s="25" t="s">
        <v>24</v>
      </c>
      <c r="C20" s="96">
        <f>(6.5*2*15)-(6%*C7)</f>
        <v>101.66760000000001</v>
      </c>
      <c r="D20" s="96"/>
      <c r="E20" s="16" t="s">
        <v>137</v>
      </c>
      <c r="F20" s="16"/>
      <c r="G20" s="18"/>
    </row>
    <row r="21" spans="1:7" x14ac:dyDescent="0.25">
      <c r="A21" s="25" t="s">
        <v>7</v>
      </c>
      <c r="B21" s="28" t="s">
        <v>25</v>
      </c>
      <c r="C21" s="97">
        <f>18.7*15*80%</f>
        <v>224.4</v>
      </c>
      <c r="D21" s="97"/>
      <c r="E21" s="16" t="s">
        <v>111</v>
      </c>
      <c r="F21" s="16"/>
      <c r="G21" s="18"/>
    </row>
    <row r="22" spans="1:7" x14ac:dyDescent="0.25">
      <c r="A22" s="25" t="s">
        <v>9</v>
      </c>
      <c r="B22" s="25" t="s">
        <v>160</v>
      </c>
      <c r="C22" s="87">
        <v>0</v>
      </c>
      <c r="D22" s="87"/>
      <c r="E22" s="16" t="s">
        <v>111</v>
      </c>
      <c r="F22" s="16"/>
      <c r="G22" s="18"/>
    </row>
    <row r="23" spans="1:7" x14ac:dyDescent="0.25">
      <c r="A23" s="25" t="s">
        <v>11</v>
      </c>
      <c r="B23" s="25" t="s">
        <v>161</v>
      </c>
      <c r="C23" s="93">
        <v>5</v>
      </c>
      <c r="D23" s="94"/>
      <c r="E23" s="16" t="s">
        <v>111</v>
      </c>
      <c r="F23" s="16"/>
      <c r="G23" s="18"/>
    </row>
    <row r="24" spans="1:7" x14ac:dyDescent="0.25">
      <c r="A24" s="25" t="s">
        <v>13</v>
      </c>
      <c r="B24" s="25" t="s">
        <v>145</v>
      </c>
      <c r="C24" s="93">
        <v>21.5</v>
      </c>
      <c r="D24" s="94"/>
      <c r="E24" s="16" t="s">
        <v>164</v>
      </c>
      <c r="F24" s="16"/>
      <c r="G24" s="18"/>
    </row>
    <row r="25" spans="1:7" x14ac:dyDescent="0.25">
      <c r="A25" s="25" t="s">
        <v>15</v>
      </c>
      <c r="B25" s="25" t="s">
        <v>162</v>
      </c>
      <c r="C25" s="93">
        <f>1295.63*0.3*C50</f>
        <v>23.321339999999999</v>
      </c>
      <c r="D25" s="94"/>
      <c r="E25" s="16" t="s">
        <v>111</v>
      </c>
      <c r="F25" s="16"/>
      <c r="G25" s="18"/>
    </row>
    <row r="26" spans="1:7" x14ac:dyDescent="0.25">
      <c r="A26" s="25" t="s">
        <v>17</v>
      </c>
      <c r="B26" s="25" t="s">
        <v>20</v>
      </c>
      <c r="C26" s="93">
        <v>0</v>
      </c>
      <c r="D26" s="94"/>
      <c r="E26" s="16"/>
      <c r="F26" s="16"/>
      <c r="G26" s="18"/>
    </row>
    <row r="27" spans="1:7" x14ac:dyDescent="0.25">
      <c r="A27" s="25"/>
      <c r="B27" s="24" t="s">
        <v>26</v>
      </c>
      <c r="C27" s="86">
        <f>SUM(C20:C25)</f>
        <v>375.88894000000005</v>
      </c>
      <c r="D27" s="86"/>
      <c r="E27" s="16"/>
      <c r="F27" s="16"/>
      <c r="G27" s="18"/>
    </row>
    <row r="28" spans="1:7" x14ac:dyDescent="0.25">
      <c r="A28" s="16"/>
      <c r="B28" s="16"/>
      <c r="C28" s="16"/>
      <c r="D28" s="16"/>
      <c r="E28" s="16"/>
      <c r="F28" s="16"/>
      <c r="G28" s="18"/>
    </row>
    <row r="29" spans="1:7" x14ac:dyDescent="0.25">
      <c r="A29" s="98" t="s">
        <v>27</v>
      </c>
      <c r="B29" s="98"/>
      <c r="C29" s="16"/>
      <c r="D29" s="16"/>
      <c r="E29" s="16"/>
      <c r="F29" s="16"/>
      <c r="G29" s="18"/>
    </row>
    <row r="30" spans="1:7" x14ac:dyDescent="0.25">
      <c r="A30" s="16"/>
      <c r="B30" s="20" t="s">
        <v>1</v>
      </c>
      <c r="C30" s="16"/>
      <c r="D30" s="16"/>
      <c r="E30" s="16"/>
      <c r="F30" s="16"/>
      <c r="G30" s="18"/>
    </row>
    <row r="31" spans="1:7" x14ac:dyDescent="0.25">
      <c r="A31" s="27">
        <v>3</v>
      </c>
      <c r="B31" s="25" t="s">
        <v>28</v>
      </c>
      <c r="C31" s="95" t="s">
        <v>4</v>
      </c>
      <c r="D31" s="95"/>
      <c r="E31" s="16"/>
      <c r="F31" s="16"/>
      <c r="G31" s="18"/>
    </row>
    <row r="32" spans="1:7" x14ac:dyDescent="0.25">
      <c r="A32" s="25" t="s">
        <v>5</v>
      </c>
      <c r="B32" s="25" t="s">
        <v>29</v>
      </c>
      <c r="C32" s="100">
        <v>169.94</v>
      </c>
      <c r="D32" s="100"/>
      <c r="E32" s="29"/>
      <c r="F32" s="16"/>
      <c r="G32" s="18"/>
    </row>
    <row r="33" spans="1:7" x14ac:dyDescent="0.25">
      <c r="A33" s="25" t="s">
        <v>7</v>
      </c>
      <c r="B33" s="25" t="s">
        <v>30</v>
      </c>
      <c r="C33" s="100">
        <v>0</v>
      </c>
      <c r="D33" s="100"/>
      <c r="E33" s="29"/>
      <c r="F33" s="16"/>
      <c r="G33" s="18"/>
    </row>
    <row r="34" spans="1:7" x14ac:dyDescent="0.25">
      <c r="A34" s="25" t="s">
        <v>9</v>
      </c>
      <c r="B34" s="25" t="s">
        <v>31</v>
      </c>
      <c r="C34" s="100">
        <v>0</v>
      </c>
      <c r="D34" s="100"/>
      <c r="E34" s="29"/>
      <c r="F34" s="16"/>
      <c r="G34" s="18"/>
    </row>
    <row r="35" spans="1:7" x14ac:dyDescent="0.25">
      <c r="A35" s="25" t="s">
        <v>11</v>
      </c>
      <c r="B35" s="25" t="s">
        <v>20</v>
      </c>
      <c r="C35" s="100">
        <v>0</v>
      </c>
      <c r="D35" s="100"/>
      <c r="E35" s="16"/>
      <c r="F35" s="16"/>
      <c r="G35" s="18"/>
    </row>
    <row r="36" spans="1:7" x14ac:dyDescent="0.25">
      <c r="A36" s="88" t="s">
        <v>32</v>
      </c>
      <c r="B36" s="88"/>
      <c r="C36" s="86">
        <f>C32</f>
        <v>169.94</v>
      </c>
      <c r="D36" s="86"/>
      <c r="E36" s="16"/>
      <c r="F36" s="16"/>
      <c r="G36" s="18"/>
    </row>
    <row r="37" spans="1:7" x14ac:dyDescent="0.25">
      <c r="A37" s="16"/>
      <c r="B37" s="16"/>
      <c r="C37" s="16"/>
      <c r="D37" s="16"/>
      <c r="E37" s="16"/>
      <c r="F37" s="16"/>
      <c r="G37" s="18"/>
    </row>
    <row r="38" spans="1:7" x14ac:dyDescent="0.25">
      <c r="A38" s="22" t="s">
        <v>33</v>
      </c>
      <c r="B38" s="22"/>
      <c r="C38" s="16"/>
      <c r="D38" s="16"/>
      <c r="E38" s="16"/>
      <c r="F38" s="16"/>
      <c r="G38" s="18"/>
    </row>
    <row r="39" spans="1:7" x14ac:dyDescent="0.25">
      <c r="A39" s="16"/>
      <c r="B39" s="16"/>
      <c r="C39" s="16"/>
      <c r="D39" s="16"/>
      <c r="E39" s="16"/>
      <c r="F39" s="16"/>
      <c r="G39" s="18"/>
    </row>
    <row r="40" spans="1:7" x14ac:dyDescent="0.25">
      <c r="A40" s="22" t="s">
        <v>34</v>
      </c>
      <c r="B40" s="22"/>
      <c r="C40" s="16"/>
      <c r="D40" s="16"/>
      <c r="E40" s="16"/>
      <c r="F40" s="16"/>
      <c r="G40" s="18"/>
    </row>
    <row r="41" spans="1:7" x14ac:dyDescent="0.25">
      <c r="A41" s="16"/>
      <c r="B41" s="20" t="s">
        <v>1</v>
      </c>
      <c r="C41" s="16"/>
      <c r="D41" s="16"/>
      <c r="E41" s="16"/>
      <c r="F41" s="16"/>
      <c r="G41" s="18"/>
    </row>
    <row r="42" spans="1:7" x14ac:dyDescent="0.25">
      <c r="A42" s="24" t="s">
        <v>35</v>
      </c>
      <c r="B42" s="24" t="s">
        <v>36</v>
      </c>
      <c r="C42" s="30" t="s">
        <v>37</v>
      </c>
      <c r="D42" s="24" t="s">
        <v>4</v>
      </c>
      <c r="E42" s="16"/>
      <c r="F42" s="16"/>
      <c r="G42" s="18"/>
    </row>
    <row r="43" spans="1:7" x14ac:dyDescent="0.25">
      <c r="A43" s="25" t="s">
        <v>5</v>
      </c>
      <c r="B43" s="25" t="s">
        <v>38</v>
      </c>
      <c r="C43" s="31">
        <v>0.2</v>
      </c>
      <c r="D43" s="32">
        <f>C43*C15</f>
        <v>419.76011212121216</v>
      </c>
      <c r="E43" s="16" t="s">
        <v>112</v>
      </c>
      <c r="F43" s="16"/>
      <c r="G43" s="18"/>
    </row>
    <row r="44" spans="1:7" x14ac:dyDescent="0.25">
      <c r="A44" s="25" t="s">
        <v>13</v>
      </c>
      <c r="B44" s="25" t="s">
        <v>39</v>
      </c>
      <c r="C44" s="33">
        <v>2.5000000000000001E-2</v>
      </c>
      <c r="D44" s="32">
        <f>C44*C15</f>
        <v>52.47001401515152</v>
      </c>
      <c r="E44" s="16" t="s">
        <v>113</v>
      </c>
      <c r="F44" s="16"/>
      <c r="G44" s="18"/>
    </row>
    <row r="45" spans="1:7" x14ac:dyDescent="0.25">
      <c r="A45" s="25" t="s">
        <v>19</v>
      </c>
      <c r="B45" s="25" t="s">
        <v>40</v>
      </c>
      <c r="C45" s="31">
        <v>6.0000000000000001E-3</v>
      </c>
      <c r="D45" s="32">
        <f>C45*C15</f>
        <v>12.592803363636364</v>
      </c>
      <c r="E45" s="16" t="s">
        <v>114</v>
      </c>
      <c r="F45" s="16"/>
      <c r="G45" s="18"/>
    </row>
    <row r="46" spans="1:7" x14ac:dyDescent="0.25">
      <c r="A46" s="25" t="s">
        <v>7</v>
      </c>
      <c r="B46" s="25" t="s">
        <v>41</v>
      </c>
      <c r="C46" s="31">
        <v>1.4999999999999999E-2</v>
      </c>
      <c r="D46" s="32">
        <f>C46*C15</f>
        <v>31.482008409090909</v>
      </c>
      <c r="E46" s="16" t="s">
        <v>115</v>
      </c>
      <c r="F46" s="16"/>
      <c r="G46" s="18"/>
    </row>
    <row r="47" spans="1:7" x14ac:dyDescent="0.25">
      <c r="A47" s="25" t="s">
        <v>9</v>
      </c>
      <c r="B47" s="25" t="s">
        <v>42</v>
      </c>
      <c r="C47" s="31">
        <v>0.01</v>
      </c>
      <c r="D47" s="32">
        <f>C47*C15</f>
        <v>20.988005606060607</v>
      </c>
      <c r="E47" s="16" t="s">
        <v>116</v>
      </c>
      <c r="F47" s="16"/>
      <c r="G47" s="18"/>
    </row>
    <row r="48" spans="1:7" x14ac:dyDescent="0.25">
      <c r="A48" s="25" t="s">
        <v>11</v>
      </c>
      <c r="B48" s="25" t="s">
        <v>43</v>
      </c>
      <c r="C48" s="31">
        <v>2E-3</v>
      </c>
      <c r="D48" s="32">
        <f>C48*C15</f>
        <v>4.1976011212121209</v>
      </c>
      <c r="E48" s="16" t="s">
        <v>117</v>
      </c>
      <c r="F48" s="16"/>
      <c r="G48" s="18"/>
    </row>
    <row r="49" spans="1:7" x14ac:dyDescent="0.25">
      <c r="A49" s="25" t="s">
        <v>15</v>
      </c>
      <c r="B49" s="25" t="s">
        <v>44</v>
      </c>
      <c r="C49" s="31">
        <v>0.08</v>
      </c>
      <c r="D49" s="32">
        <f>C49*C15</f>
        <v>167.90404484848486</v>
      </c>
      <c r="E49" s="16" t="s">
        <v>118</v>
      </c>
      <c r="F49" s="16"/>
      <c r="G49" s="18"/>
    </row>
    <row r="50" spans="1:7" x14ac:dyDescent="0.25">
      <c r="A50" s="25" t="s">
        <v>17</v>
      </c>
      <c r="B50" s="25" t="s">
        <v>129</v>
      </c>
      <c r="C50" s="31">
        <v>0.06</v>
      </c>
      <c r="D50" s="32">
        <f>C50*C15</f>
        <v>125.92803363636364</v>
      </c>
      <c r="E50" s="16" t="s">
        <v>119</v>
      </c>
      <c r="F50" s="16"/>
      <c r="G50" s="18"/>
    </row>
    <row r="51" spans="1:7" x14ac:dyDescent="0.25">
      <c r="A51" s="88" t="s">
        <v>45</v>
      </c>
      <c r="B51" s="88"/>
      <c r="C51" s="34">
        <f>SUM(C43:C50)</f>
        <v>0.39800000000000002</v>
      </c>
      <c r="D51" s="35">
        <f>SUM(D43:D50)</f>
        <v>835.32262312121202</v>
      </c>
      <c r="E51" s="16"/>
      <c r="F51" s="16"/>
      <c r="G51" s="18"/>
    </row>
    <row r="52" spans="1:7" x14ac:dyDescent="0.25">
      <c r="A52" s="16"/>
      <c r="B52" s="16"/>
      <c r="C52" s="16"/>
      <c r="D52" s="16"/>
      <c r="E52" s="16"/>
      <c r="F52" s="16"/>
      <c r="G52" s="18"/>
    </row>
    <row r="53" spans="1:7" x14ac:dyDescent="0.25">
      <c r="A53" s="22" t="s">
        <v>46</v>
      </c>
      <c r="B53" s="22"/>
      <c r="C53" s="16"/>
      <c r="D53" s="16"/>
      <c r="E53" s="16"/>
      <c r="F53" s="29"/>
      <c r="G53" s="18"/>
    </row>
    <row r="54" spans="1:7" x14ac:dyDescent="0.25">
      <c r="A54" s="16"/>
      <c r="B54" s="20" t="s">
        <v>1</v>
      </c>
      <c r="C54" s="16"/>
      <c r="D54" s="16"/>
      <c r="E54" s="16"/>
      <c r="F54" s="16"/>
      <c r="G54" s="18"/>
    </row>
    <row r="55" spans="1:7" x14ac:dyDescent="0.25">
      <c r="A55" s="24" t="s">
        <v>47</v>
      </c>
      <c r="B55" s="23" t="s">
        <v>48</v>
      </c>
      <c r="C55" s="30" t="s">
        <v>37</v>
      </c>
      <c r="D55" s="24" t="s">
        <v>4</v>
      </c>
      <c r="E55" s="36"/>
      <c r="F55" s="16"/>
      <c r="G55" s="18"/>
    </row>
    <row r="56" spans="1:7" x14ac:dyDescent="0.25">
      <c r="A56" s="25" t="s">
        <v>5</v>
      </c>
      <c r="B56" s="27" t="s">
        <v>49</v>
      </c>
      <c r="C56" s="31">
        <f>1/12</f>
        <v>8.3333333333333329E-2</v>
      </c>
      <c r="D56" s="32">
        <f>C15*C56</f>
        <v>174.9000467171717</v>
      </c>
      <c r="E56" s="36" t="s">
        <v>120</v>
      </c>
      <c r="F56" s="37"/>
      <c r="G56" s="38"/>
    </row>
    <row r="57" spans="1:7" x14ac:dyDescent="0.25">
      <c r="A57" s="25" t="s">
        <v>7</v>
      </c>
      <c r="B57" s="27" t="s">
        <v>50</v>
      </c>
      <c r="C57" s="39">
        <f>1/3/12</f>
        <v>2.7777777777777776E-2</v>
      </c>
      <c r="D57" s="32">
        <f>C57*C15</f>
        <v>58.300015572390571</v>
      </c>
      <c r="E57" s="36" t="s">
        <v>121</v>
      </c>
      <c r="F57" s="37"/>
      <c r="G57" s="18"/>
    </row>
    <row r="58" spans="1:7" x14ac:dyDescent="0.25">
      <c r="A58" s="88" t="s">
        <v>51</v>
      </c>
      <c r="B58" s="88"/>
      <c r="C58" s="40">
        <f>SUM(C56:C57)</f>
        <v>0.1111111111111111</v>
      </c>
      <c r="D58" s="35">
        <f>SUM(D56:D57)</f>
        <v>233.20006228956228</v>
      </c>
      <c r="E58" s="16"/>
      <c r="F58" s="16"/>
      <c r="G58" s="18"/>
    </row>
    <row r="59" spans="1:7" x14ac:dyDescent="0.25">
      <c r="A59" s="25" t="s">
        <v>9</v>
      </c>
      <c r="B59" s="27" t="s">
        <v>52</v>
      </c>
      <c r="C59" s="31">
        <f>C51*C58</f>
        <v>4.4222222222222225E-2</v>
      </c>
      <c r="D59" s="32">
        <f>C51*D58</f>
        <v>92.813624791245786</v>
      </c>
      <c r="E59" s="16"/>
      <c r="F59" s="16"/>
      <c r="G59" s="18"/>
    </row>
    <row r="60" spans="1:7" x14ac:dyDescent="0.25">
      <c r="A60" s="88" t="s">
        <v>45</v>
      </c>
      <c r="B60" s="88"/>
      <c r="C60" s="40">
        <f>SUM(C58:C59)</f>
        <v>0.15533333333333332</v>
      </c>
      <c r="D60" s="35">
        <f>SUM(D58:D59)</f>
        <v>326.01368708080804</v>
      </c>
      <c r="E60" s="16"/>
      <c r="F60" s="16"/>
      <c r="G60" s="18"/>
    </row>
    <row r="61" spans="1:7" x14ac:dyDescent="0.25">
      <c r="A61" s="16"/>
      <c r="B61" s="16"/>
      <c r="C61" s="16"/>
      <c r="D61" s="16"/>
      <c r="E61" s="16"/>
      <c r="F61" s="16"/>
      <c r="G61" s="18"/>
    </row>
    <row r="62" spans="1:7" x14ac:dyDescent="0.25">
      <c r="A62" s="22" t="s">
        <v>53</v>
      </c>
      <c r="B62" s="16"/>
      <c r="C62" s="16"/>
      <c r="D62" s="16"/>
      <c r="E62" s="16"/>
      <c r="F62" s="16"/>
      <c r="G62" s="18"/>
    </row>
    <row r="63" spans="1:7" x14ac:dyDescent="0.25">
      <c r="A63" s="16"/>
      <c r="B63" s="20" t="s">
        <v>1</v>
      </c>
      <c r="C63" s="16"/>
      <c r="D63" s="16"/>
      <c r="E63" s="16"/>
      <c r="F63" s="36"/>
      <c r="G63" s="18"/>
    </row>
    <row r="64" spans="1:7" x14ac:dyDescent="0.25">
      <c r="A64" s="24" t="s">
        <v>54</v>
      </c>
      <c r="B64" s="23" t="s">
        <v>55</v>
      </c>
      <c r="C64" s="30" t="s">
        <v>37</v>
      </c>
      <c r="D64" s="24" t="s">
        <v>4</v>
      </c>
      <c r="E64" s="16"/>
      <c r="F64" s="16"/>
      <c r="G64" s="18"/>
    </row>
    <row r="65" spans="1:8" ht="35.25" x14ac:dyDescent="0.25">
      <c r="A65" s="25" t="s">
        <v>5</v>
      </c>
      <c r="B65" s="27" t="s">
        <v>56</v>
      </c>
      <c r="C65" s="41">
        <f>4/3*4/12/12*2%</f>
        <v>7.407407407407407E-4</v>
      </c>
      <c r="D65" s="32">
        <f>C65*C15</f>
        <v>1.5546670819304151</v>
      </c>
      <c r="E65" s="42" t="s">
        <v>122</v>
      </c>
      <c r="F65" s="16"/>
      <c r="G65" s="18"/>
      <c r="H65" s="2"/>
    </row>
    <row r="66" spans="1:8" x14ac:dyDescent="0.25">
      <c r="A66" s="25" t="s">
        <v>57</v>
      </c>
      <c r="B66" s="27" t="s">
        <v>58</v>
      </c>
      <c r="C66" s="41">
        <f>C65*C51</f>
        <v>2.9481481481481481E-4</v>
      </c>
      <c r="D66" s="32">
        <f>C66*C15</f>
        <v>0.6187574986083052</v>
      </c>
      <c r="E66" s="16"/>
      <c r="F66" s="16"/>
      <c r="G66" s="16"/>
    </row>
    <row r="67" spans="1:8" ht="33.75" x14ac:dyDescent="0.25">
      <c r="A67" s="25" t="s">
        <v>59</v>
      </c>
      <c r="B67" s="43" t="s">
        <v>165</v>
      </c>
      <c r="C67" s="41">
        <f>(13/12*4/12*2%)*C51</f>
        <v>2.8744444444444447E-3</v>
      </c>
      <c r="D67" s="32">
        <f>C15*C67</f>
        <v>6.0328856114309763</v>
      </c>
      <c r="E67" s="16"/>
      <c r="F67" s="16"/>
      <c r="G67" s="16"/>
    </row>
    <row r="68" spans="1:8" x14ac:dyDescent="0.25">
      <c r="A68" s="88" t="s">
        <v>45</v>
      </c>
      <c r="B68" s="88"/>
      <c r="C68" s="44">
        <f>SUM(C65:C67)</f>
        <v>3.9100000000000003E-3</v>
      </c>
      <c r="D68" s="35">
        <f>SUM(D65:D67)</f>
        <v>8.2063101919696972</v>
      </c>
      <c r="E68" s="16"/>
      <c r="F68" s="16"/>
      <c r="G68" s="16"/>
    </row>
    <row r="69" spans="1:8" x14ac:dyDescent="0.25">
      <c r="A69" s="16"/>
      <c r="B69" s="16"/>
      <c r="C69" s="16"/>
      <c r="D69" s="16"/>
      <c r="E69" s="16"/>
      <c r="F69" s="16"/>
      <c r="G69" s="16"/>
    </row>
    <row r="70" spans="1:8" x14ac:dyDescent="0.25">
      <c r="A70" s="22" t="s">
        <v>60</v>
      </c>
      <c r="B70" s="16"/>
      <c r="C70" s="16"/>
      <c r="D70" s="16"/>
      <c r="E70" s="16"/>
      <c r="F70" s="16"/>
      <c r="G70" s="16"/>
    </row>
    <row r="71" spans="1:8" x14ac:dyDescent="0.25">
      <c r="A71" s="16"/>
      <c r="B71" s="20" t="s">
        <v>1</v>
      </c>
      <c r="C71" s="16"/>
      <c r="D71" s="16"/>
      <c r="E71" s="16"/>
      <c r="F71" s="16"/>
      <c r="G71" s="16"/>
    </row>
    <row r="72" spans="1:8" s="4" customFormat="1" ht="12.75" x14ac:dyDescent="0.2">
      <c r="A72" s="24" t="s">
        <v>61</v>
      </c>
      <c r="B72" s="23" t="s">
        <v>62</v>
      </c>
      <c r="C72" s="30" t="s">
        <v>37</v>
      </c>
      <c r="D72" s="24" t="s">
        <v>4</v>
      </c>
      <c r="E72" s="22"/>
      <c r="F72" s="22"/>
      <c r="G72" s="22"/>
    </row>
    <row r="73" spans="1:8" ht="35.25" x14ac:dyDescent="0.25">
      <c r="A73" s="25" t="s">
        <v>5</v>
      </c>
      <c r="B73" s="45" t="s">
        <v>63</v>
      </c>
      <c r="C73" s="41">
        <f>(1/12*1.5+1/30*3/12)*5%</f>
        <v>6.6666666666666671E-3</v>
      </c>
      <c r="D73" s="32">
        <f>C73*C15</f>
        <v>13.992003737373738</v>
      </c>
      <c r="E73" s="42" t="s">
        <v>123</v>
      </c>
      <c r="F73" s="16"/>
      <c r="G73" s="18"/>
    </row>
    <row r="74" spans="1:8" x14ac:dyDescent="0.25">
      <c r="A74" s="25" t="s">
        <v>7</v>
      </c>
      <c r="B74" s="27" t="s">
        <v>64</v>
      </c>
      <c r="C74" s="41">
        <f>C49*C73</f>
        <v>5.3333333333333336E-4</v>
      </c>
      <c r="D74" s="32">
        <f>C74*C15</f>
        <v>1.119360298989899</v>
      </c>
      <c r="E74" s="46"/>
      <c r="F74" s="16"/>
      <c r="G74" s="18"/>
    </row>
    <row r="75" spans="1:8" ht="46.5" x14ac:dyDescent="0.25">
      <c r="A75" s="25" t="s">
        <v>65</v>
      </c>
      <c r="B75" s="45" t="s">
        <v>66</v>
      </c>
      <c r="C75" s="41">
        <f>0.4*C49</f>
        <v>3.2000000000000001E-2</v>
      </c>
      <c r="D75" s="47">
        <f>C75*C15</f>
        <v>67.161617939393935</v>
      </c>
      <c r="E75" s="42" t="s">
        <v>124</v>
      </c>
      <c r="F75" s="16"/>
      <c r="G75" s="18"/>
    </row>
    <row r="76" spans="1:8" x14ac:dyDescent="0.25">
      <c r="A76" s="25" t="s">
        <v>67</v>
      </c>
      <c r="B76" s="45" t="s">
        <v>68</v>
      </c>
      <c r="C76" s="41">
        <f>C49*10%</f>
        <v>8.0000000000000002E-3</v>
      </c>
      <c r="D76" s="47">
        <f>C76*C15</f>
        <v>16.790404484848484</v>
      </c>
      <c r="E76" s="42" t="s">
        <v>125</v>
      </c>
      <c r="F76" s="16"/>
      <c r="G76" s="18"/>
    </row>
    <row r="77" spans="1:8" ht="35.25" x14ac:dyDescent="0.25">
      <c r="A77" s="25" t="s">
        <v>11</v>
      </c>
      <c r="B77" s="45" t="s">
        <v>69</v>
      </c>
      <c r="C77" s="41">
        <f>7/30/12*100%</f>
        <v>1.9444444444444445E-2</v>
      </c>
      <c r="D77" s="47">
        <f>C77*C15</f>
        <v>40.810010900673397</v>
      </c>
      <c r="E77" s="42" t="s">
        <v>126</v>
      </c>
      <c r="F77" s="46"/>
      <c r="G77" s="18"/>
    </row>
    <row r="78" spans="1:8" x14ac:dyDescent="0.25">
      <c r="A78" s="25" t="s">
        <v>13</v>
      </c>
      <c r="B78" s="45" t="s">
        <v>70</v>
      </c>
      <c r="C78" s="41">
        <f>C51*C77</f>
        <v>7.7388888888888898E-3</v>
      </c>
      <c r="D78" s="32">
        <f>C78*C15</f>
        <v>16.242384338468014</v>
      </c>
      <c r="E78" s="48"/>
      <c r="F78" s="16"/>
      <c r="G78" s="18"/>
    </row>
    <row r="79" spans="1:8" ht="46.5" x14ac:dyDescent="0.25">
      <c r="A79" s="25" t="s">
        <v>71</v>
      </c>
      <c r="B79" s="45" t="s">
        <v>72</v>
      </c>
      <c r="C79" s="41">
        <f>1/12*1%</f>
        <v>8.3333333333333328E-4</v>
      </c>
      <c r="D79" s="47">
        <f>C79*C7</f>
        <v>1.2962833333333332</v>
      </c>
      <c r="E79" s="49" t="s">
        <v>127</v>
      </c>
      <c r="F79" s="46"/>
      <c r="G79" s="18"/>
    </row>
    <row r="80" spans="1:8" x14ac:dyDescent="0.25">
      <c r="A80" s="88" t="s">
        <v>45</v>
      </c>
      <c r="B80" s="88"/>
      <c r="C80" s="44">
        <f>SUM(C73:C79)</f>
        <v>7.5216666666666682E-2</v>
      </c>
      <c r="D80" s="50">
        <f>SUM(D73:D79)</f>
        <v>157.41206503308078</v>
      </c>
      <c r="E80" s="46"/>
      <c r="F80" s="16"/>
      <c r="G80" s="18"/>
    </row>
    <row r="81" spans="1:7" x14ac:dyDescent="0.25">
      <c r="A81" s="16"/>
      <c r="B81" s="16"/>
      <c r="C81" s="16"/>
      <c r="D81" s="16"/>
      <c r="E81" s="16"/>
      <c r="F81" s="16"/>
      <c r="G81" s="18"/>
    </row>
    <row r="82" spans="1:7" x14ac:dyDescent="0.25">
      <c r="A82" s="22" t="s">
        <v>73</v>
      </c>
      <c r="B82" s="16"/>
      <c r="C82" s="16"/>
      <c r="D82" s="16"/>
      <c r="E82" s="16"/>
      <c r="F82" s="16"/>
      <c r="G82" s="18"/>
    </row>
    <row r="83" spans="1:7" x14ac:dyDescent="0.25">
      <c r="A83" s="16"/>
      <c r="B83" s="20" t="s">
        <v>1</v>
      </c>
      <c r="C83" s="16"/>
      <c r="D83" s="16"/>
      <c r="E83" s="16"/>
      <c r="F83" s="16"/>
      <c r="G83" s="18"/>
    </row>
    <row r="84" spans="1:7" x14ac:dyDescent="0.25">
      <c r="A84" s="24" t="s">
        <v>74</v>
      </c>
      <c r="B84" s="24" t="s">
        <v>75</v>
      </c>
      <c r="C84" s="30" t="s">
        <v>37</v>
      </c>
      <c r="D84" s="24" t="s">
        <v>4</v>
      </c>
      <c r="E84" s="16"/>
      <c r="F84" s="16"/>
      <c r="G84" s="18"/>
    </row>
    <row r="85" spans="1:7" x14ac:dyDescent="0.25">
      <c r="A85" s="25" t="s">
        <v>5</v>
      </c>
      <c r="B85" s="27" t="s">
        <v>76</v>
      </c>
      <c r="C85" s="41">
        <f>1/12</f>
        <v>8.3333333333333329E-2</v>
      </c>
      <c r="D85" s="32">
        <f>C85*C15</f>
        <v>174.9000467171717</v>
      </c>
      <c r="E85" s="51" t="s">
        <v>130</v>
      </c>
      <c r="F85" s="16"/>
      <c r="G85" s="18"/>
    </row>
    <row r="86" spans="1:7" ht="24" x14ac:dyDescent="0.25">
      <c r="A86" s="25" t="s">
        <v>7</v>
      </c>
      <c r="B86" s="27" t="s">
        <v>77</v>
      </c>
      <c r="C86" s="41">
        <f>5/365*30%</f>
        <v>4.10958904109589E-3</v>
      </c>
      <c r="D86" s="32">
        <f>C86*C15</f>
        <v>8.6252077833125771</v>
      </c>
      <c r="E86" s="42" t="s">
        <v>131</v>
      </c>
      <c r="F86" s="16"/>
      <c r="G86" s="18"/>
    </row>
    <row r="87" spans="1:7" ht="35.25" x14ac:dyDescent="0.25">
      <c r="A87" s="25" t="s">
        <v>9</v>
      </c>
      <c r="B87" s="27" t="s">
        <v>78</v>
      </c>
      <c r="C87" s="41">
        <f>5/365*1%</f>
        <v>1.36986301369863E-4</v>
      </c>
      <c r="D87" s="32">
        <f>C87*C15</f>
        <v>0.28750692611041923</v>
      </c>
      <c r="E87" s="42" t="s">
        <v>132</v>
      </c>
      <c r="F87" s="16"/>
      <c r="G87" s="18"/>
    </row>
    <row r="88" spans="1:7" ht="35.25" x14ac:dyDescent="0.25">
      <c r="A88" s="25" t="s">
        <v>11</v>
      </c>
      <c r="B88" s="27" t="s">
        <v>79</v>
      </c>
      <c r="C88" s="41">
        <f>3/365*5%+2/365*2%+2/365*2%</f>
        <v>6.3013698630136989E-4</v>
      </c>
      <c r="D88" s="32">
        <f>C88*C15</f>
        <v>1.3225318601079286</v>
      </c>
      <c r="E88" s="42" t="s">
        <v>133</v>
      </c>
      <c r="F88" s="16"/>
      <c r="G88" s="18"/>
    </row>
    <row r="89" spans="1:7" ht="24" x14ac:dyDescent="0.25">
      <c r="A89" s="25" t="s">
        <v>13</v>
      </c>
      <c r="B89" s="27" t="s">
        <v>80</v>
      </c>
      <c r="C89" s="41">
        <f>15/365*8%</f>
        <v>3.2876712328767121E-3</v>
      </c>
      <c r="D89" s="32">
        <f>C89*C15</f>
        <v>6.9001662266500619</v>
      </c>
      <c r="E89" s="42" t="s">
        <v>134</v>
      </c>
      <c r="F89" s="16"/>
      <c r="G89" s="18"/>
    </row>
    <row r="90" spans="1:7" x14ac:dyDescent="0.25">
      <c r="A90" s="88" t="s">
        <v>51</v>
      </c>
      <c r="B90" s="88"/>
      <c r="C90" s="44">
        <f>SUM(C85:C89)</f>
        <v>9.1497716894977155E-2</v>
      </c>
      <c r="D90" s="35">
        <f>SUM(D85:D89)</f>
        <v>192.03545951335269</v>
      </c>
      <c r="E90" s="16"/>
      <c r="F90" s="16"/>
      <c r="G90" s="18"/>
    </row>
    <row r="91" spans="1:7" x14ac:dyDescent="0.25">
      <c r="A91" s="25" t="s">
        <v>17</v>
      </c>
      <c r="B91" s="27" t="s">
        <v>81</v>
      </c>
      <c r="C91" s="41">
        <f>C51*C90</f>
        <v>3.6416091324200907E-2</v>
      </c>
      <c r="D91" s="32">
        <f>D90*C51</f>
        <v>76.430112886314376</v>
      </c>
      <c r="E91" s="16"/>
      <c r="F91" s="16"/>
      <c r="G91" s="18"/>
    </row>
    <row r="92" spans="1:7" x14ac:dyDescent="0.25">
      <c r="A92" s="88" t="s">
        <v>45</v>
      </c>
      <c r="B92" s="99"/>
      <c r="C92" s="44">
        <f>SUM(C90:C91)</f>
        <v>0.12791380821917805</v>
      </c>
      <c r="D92" s="35">
        <f>SUM(D90:D91)</f>
        <v>268.46557239966705</v>
      </c>
      <c r="E92" s="16"/>
      <c r="F92" s="16"/>
      <c r="G92" s="18"/>
    </row>
    <row r="93" spans="1:7" x14ac:dyDescent="0.25">
      <c r="A93" s="16"/>
      <c r="B93" s="16"/>
      <c r="C93" s="16"/>
      <c r="D93" s="16"/>
      <c r="E93" s="16"/>
      <c r="F93" s="16"/>
      <c r="G93" s="18"/>
    </row>
    <row r="94" spans="1:7" x14ac:dyDescent="0.25">
      <c r="A94" s="22" t="s">
        <v>82</v>
      </c>
      <c r="B94" s="16"/>
      <c r="C94" s="16"/>
      <c r="D94" s="16"/>
      <c r="E94" s="16"/>
      <c r="F94" s="16"/>
      <c r="G94" s="18"/>
    </row>
    <row r="95" spans="1:7" x14ac:dyDescent="0.25">
      <c r="A95" s="16"/>
      <c r="B95" s="20" t="s">
        <v>1</v>
      </c>
      <c r="C95" s="16"/>
      <c r="D95" s="16"/>
      <c r="E95" s="16"/>
      <c r="F95" s="16"/>
      <c r="G95" s="18"/>
    </row>
    <row r="96" spans="1:7" s="4" customFormat="1" ht="12.75" x14ac:dyDescent="0.2">
      <c r="A96" s="23">
        <v>4</v>
      </c>
      <c r="B96" s="23" t="s">
        <v>83</v>
      </c>
      <c r="C96" s="30" t="s">
        <v>37</v>
      </c>
      <c r="D96" s="24" t="s">
        <v>4</v>
      </c>
      <c r="E96" s="22"/>
      <c r="F96" s="22"/>
      <c r="G96" s="22"/>
    </row>
    <row r="97" spans="1:7" x14ac:dyDescent="0.25">
      <c r="A97" s="25" t="s">
        <v>35</v>
      </c>
      <c r="B97" s="27" t="s">
        <v>84</v>
      </c>
      <c r="C97" s="41">
        <f>C60</f>
        <v>0.15533333333333332</v>
      </c>
      <c r="D97" s="32">
        <f>D60</f>
        <v>326.01368708080804</v>
      </c>
      <c r="E97" s="16"/>
      <c r="F97" s="16"/>
      <c r="G97" s="18"/>
    </row>
    <row r="98" spans="1:7" x14ac:dyDescent="0.25">
      <c r="A98" s="25" t="s">
        <v>47</v>
      </c>
      <c r="B98" s="27" t="s">
        <v>36</v>
      </c>
      <c r="C98" s="41">
        <f>C51</f>
        <v>0.39800000000000002</v>
      </c>
      <c r="D98" s="32">
        <f>D51</f>
        <v>835.32262312121202</v>
      </c>
      <c r="E98" s="16"/>
      <c r="F98" s="16"/>
      <c r="G98" s="18"/>
    </row>
    <row r="99" spans="1:7" x14ac:dyDescent="0.25">
      <c r="A99" s="25" t="s">
        <v>54</v>
      </c>
      <c r="B99" s="27" t="s">
        <v>85</v>
      </c>
      <c r="C99" s="41">
        <f>C68</f>
        <v>3.9100000000000003E-3</v>
      </c>
      <c r="D99" s="32">
        <f>D68</f>
        <v>8.2063101919696972</v>
      </c>
      <c r="E99" s="16"/>
      <c r="F99" s="16"/>
      <c r="G99" s="18"/>
    </row>
    <row r="100" spans="1:7" x14ac:dyDescent="0.25">
      <c r="A100" s="25" t="s">
        <v>61</v>
      </c>
      <c r="B100" s="27" t="s">
        <v>86</v>
      </c>
      <c r="C100" s="41">
        <f>C80</f>
        <v>7.5216666666666682E-2</v>
      </c>
      <c r="D100" s="32">
        <f>D80</f>
        <v>157.41206503308078</v>
      </c>
      <c r="E100" s="16"/>
      <c r="F100" s="16"/>
      <c r="G100" s="18"/>
    </row>
    <row r="101" spans="1:7" x14ac:dyDescent="0.25">
      <c r="A101" s="25" t="s">
        <v>74</v>
      </c>
      <c r="B101" s="27" t="s">
        <v>87</v>
      </c>
      <c r="C101" s="41">
        <f>C92</f>
        <v>0.12791380821917805</v>
      </c>
      <c r="D101" s="32">
        <f>D92</f>
        <v>268.46557239966705</v>
      </c>
      <c r="E101" s="16"/>
      <c r="F101" s="16"/>
      <c r="G101" s="18"/>
    </row>
    <row r="102" spans="1:7" x14ac:dyDescent="0.25">
      <c r="A102" s="25" t="s">
        <v>88</v>
      </c>
      <c r="B102" s="27" t="s">
        <v>20</v>
      </c>
      <c r="C102" s="41">
        <f>C93</f>
        <v>0</v>
      </c>
      <c r="D102" s="32">
        <v>0</v>
      </c>
      <c r="E102" s="16"/>
      <c r="F102" s="16"/>
      <c r="G102" s="18"/>
    </row>
    <row r="103" spans="1:7" x14ac:dyDescent="0.25">
      <c r="A103" s="102" t="s">
        <v>45</v>
      </c>
      <c r="B103" s="103"/>
      <c r="C103" s="44">
        <f>SUM(C97:C102)</f>
        <v>0.7603738082191781</v>
      </c>
      <c r="D103" s="35">
        <f>SUM(D97:D102)</f>
        <v>1595.4202578267377</v>
      </c>
      <c r="E103" s="16"/>
      <c r="F103" s="16"/>
      <c r="G103" s="18"/>
    </row>
    <row r="104" spans="1:7" x14ac:dyDescent="0.25">
      <c r="A104" s="16"/>
      <c r="B104" s="16"/>
      <c r="C104" s="16"/>
      <c r="D104" s="16"/>
      <c r="E104" s="16"/>
      <c r="F104" s="16"/>
      <c r="G104" s="18"/>
    </row>
    <row r="105" spans="1:7" x14ac:dyDescent="0.25">
      <c r="A105" s="104" t="s">
        <v>89</v>
      </c>
      <c r="B105" s="105"/>
      <c r="C105" s="106"/>
      <c r="D105" s="35">
        <f>D103+C36+C27+C15</f>
        <v>4240.0497584327986</v>
      </c>
      <c r="E105" s="16"/>
      <c r="F105" s="16"/>
      <c r="G105" s="18"/>
    </row>
    <row r="106" spans="1:7" x14ac:dyDescent="0.25">
      <c r="A106" s="16"/>
      <c r="B106" s="16"/>
      <c r="C106" s="16"/>
      <c r="D106" s="16"/>
      <c r="E106" s="16"/>
      <c r="F106" s="16"/>
      <c r="G106" s="18"/>
    </row>
    <row r="107" spans="1:7" s="4" customFormat="1" ht="12.75" x14ac:dyDescent="0.2">
      <c r="A107" s="22" t="s">
        <v>90</v>
      </c>
      <c r="B107" s="22"/>
      <c r="C107" s="22"/>
      <c r="D107" s="22"/>
      <c r="E107" s="22"/>
      <c r="F107" s="22"/>
      <c r="G107" s="22"/>
    </row>
    <row r="108" spans="1:7" x14ac:dyDescent="0.25">
      <c r="A108" s="16"/>
      <c r="B108" s="20" t="s">
        <v>1</v>
      </c>
      <c r="C108" s="16"/>
      <c r="D108" s="16"/>
      <c r="E108" s="16"/>
      <c r="F108" s="16"/>
      <c r="G108" s="18"/>
    </row>
    <row r="109" spans="1:7" x14ac:dyDescent="0.25">
      <c r="A109" s="23">
        <v>5</v>
      </c>
      <c r="B109" s="24" t="s">
        <v>91</v>
      </c>
      <c r="C109" s="30" t="s">
        <v>37</v>
      </c>
      <c r="D109" s="24" t="s">
        <v>4</v>
      </c>
      <c r="E109" s="16"/>
      <c r="F109" s="16"/>
      <c r="G109" s="18"/>
    </row>
    <row r="110" spans="1:7" x14ac:dyDescent="0.25">
      <c r="A110" s="25" t="s">
        <v>5</v>
      </c>
      <c r="B110" s="25" t="s">
        <v>92</v>
      </c>
      <c r="C110" s="31">
        <v>0.05</v>
      </c>
      <c r="D110" s="32">
        <f>(D103+C36+C27+C15)*C110</f>
        <v>212.00248792163995</v>
      </c>
      <c r="E110" s="52" t="s">
        <v>135</v>
      </c>
      <c r="F110" s="16"/>
      <c r="G110" s="18"/>
    </row>
    <row r="111" spans="1:7" x14ac:dyDescent="0.25">
      <c r="A111" s="25" t="s">
        <v>7</v>
      </c>
      <c r="B111" s="25" t="s">
        <v>93</v>
      </c>
      <c r="C111" s="31">
        <v>0.1</v>
      </c>
      <c r="D111" s="32">
        <f>(D103+C36+C27+C15+D110)*C111</f>
        <v>445.20522463544387</v>
      </c>
      <c r="E111" s="52" t="s">
        <v>136</v>
      </c>
      <c r="F111" s="16"/>
      <c r="G111" s="18"/>
    </row>
    <row r="112" spans="1:7" x14ac:dyDescent="0.25">
      <c r="A112" s="25" t="s">
        <v>9</v>
      </c>
      <c r="B112" s="25" t="s">
        <v>94</v>
      </c>
      <c r="C112" s="53"/>
      <c r="D112" s="32"/>
      <c r="E112" s="16"/>
      <c r="F112" s="16"/>
      <c r="G112" s="18"/>
    </row>
    <row r="113" spans="1:7" x14ac:dyDescent="0.25">
      <c r="A113" s="25"/>
      <c r="B113" s="25" t="s">
        <v>95</v>
      </c>
      <c r="C113" s="54">
        <f>1-(C114+C116)</f>
        <v>0.85749999999999993</v>
      </c>
      <c r="D113" s="32">
        <f>(D103+C36+C27+C15+D110+D111)/C113</f>
        <v>5711.0874297258115</v>
      </c>
      <c r="E113" s="16"/>
      <c r="F113" s="16"/>
      <c r="G113" s="18"/>
    </row>
    <row r="114" spans="1:7" x14ac:dyDescent="0.25">
      <c r="A114" s="25"/>
      <c r="B114" s="25" t="s">
        <v>96</v>
      </c>
      <c r="C114" s="31">
        <f>1.65% +7.6%</f>
        <v>9.2499999999999999E-2</v>
      </c>
      <c r="D114" s="55">
        <f>C114*D113</f>
        <v>528.27558724963751</v>
      </c>
      <c r="E114" s="16"/>
      <c r="F114" s="16"/>
      <c r="G114" s="18"/>
    </row>
    <row r="115" spans="1:7" x14ac:dyDescent="0.25">
      <c r="A115" s="25"/>
      <c r="B115" s="25" t="s">
        <v>97</v>
      </c>
      <c r="C115" s="53"/>
      <c r="D115" s="32"/>
      <c r="E115" s="16"/>
      <c r="F115" s="16"/>
      <c r="G115" s="18"/>
    </row>
    <row r="116" spans="1:7" x14ac:dyDescent="0.25">
      <c r="A116" s="25"/>
      <c r="B116" s="25" t="s">
        <v>98</v>
      </c>
      <c r="C116" s="31">
        <v>0.05</v>
      </c>
      <c r="D116" s="55">
        <f>D113*C116</f>
        <v>285.55437148629056</v>
      </c>
      <c r="E116" s="16"/>
      <c r="F116" s="16"/>
      <c r="G116" s="18"/>
    </row>
    <row r="117" spans="1:7" x14ac:dyDescent="0.25">
      <c r="A117" s="25"/>
      <c r="B117" s="25" t="s">
        <v>99</v>
      </c>
      <c r="C117" s="53"/>
      <c r="D117" s="32"/>
      <c r="E117" s="16"/>
      <c r="F117" s="16"/>
      <c r="G117" s="18"/>
    </row>
    <row r="118" spans="1:7" x14ac:dyDescent="0.25">
      <c r="A118" s="88" t="s">
        <v>100</v>
      </c>
      <c r="B118" s="88"/>
      <c r="C118" s="88"/>
      <c r="D118" s="35">
        <f>SUM(D110,D114,D116,D111)</f>
        <v>1471.037671293012</v>
      </c>
      <c r="E118" s="16"/>
      <c r="F118" s="16"/>
      <c r="G118" s="18"/>
    </row>
    <row r="119" spans="1:7" x14ac:dyDescent="0.25">
      <c r="A119" s="16"/>
      <c r="B119" s="16"/>
      <c r="C119" s="16"/>
      <c r="D119" s="16"/>
      <c r="E119" s="16"/>
      <c r="F119" s="16"/>
      <c r="G119" s="18"/>
    </row>
    <row r="120" spans="1:7" x14ac:dyDescent="0.25">
      <c r="A120" s="22" t="s">
        <v>101</v>
      </c>
      <c r="B120" s="16"/>
      <c r="C120" s="16"/>
      <c r="D120" s="16"/>
      <c r="E120" s="16"/>
      <c r="F120" s="16"/>
      <c r="G120" s="18"/>
    </row>
    <row r="121" spans="1:7" x14ac:dyDescent="0.25">
      <c r="A121" s="16"/>
      <c r="B121" s="20" t="s">
        <v>1</v>
      </c>
      <c r="C121" s="16"/>
      <c r="D121" s="16"/>
      <c r="E121" s="16"/>
      <c r="F121" s="16"/>
      <c r="G121" s="18"/>
    </row>
    <row r="122" spans="1:7" s="4" customFormat="1" ht="12.75" x14ac:dyDescent="0.2">
      <c r="A122" s="24"/>
      <c r="B122" s="88" t="s">
        <v>102</v>
      </c>
      <c r="C122" s="88"/>
      <c r="D122" s="30" t="s">
        <v>103</v>
      </c>
      <c r="E122" s="22"/>
      <c r="F122" s="22"/>
      <c r="G122" s="22"/>
    </row>
    <row r="123" spans="1:7" x14ac:dyDescent="0.25">
      <c r="A123" s="25" t="s">
        <v>5</v>
      </c>
      <c r="B123" s="101" t="s">
        <v>104</v>
      </c>
      <c r="C123" s="101"/>
      <c r="D123" s="56">
        <f>C15</f>
        <v>2098.8005606060606</v>
      </c>
      <c r="E123" s="16"/>
      <c r="F123" s="16"/>
      <c r="G123" s="18"/>
    </row>
    <row r="124" spans="1:7" x14ac:dyDescent="0.25">
      <c r="A124" s="25" t="s">
        <v>7</v>
      </c>
      <c r="B124" s="101" t="s">
        <v>105</v>
      </c>
      <c r="C124" s="101"/>
      <c r="D124" s="56">
        <f>C27</f>
        <v>375.88894000000005</v>
      </c>
      <c r="E124" s="16"/>
      <c r="F124" s="16"/>
      <c r="G124" s="18"/>
    </row>
    <row r="125" spans="1:7" x14ac:dyDescent="0.25">
      <c r="A125" s="57" t="s">
        <v>9</v>
      </c>
      <c r="B125" s="101" t="s">
        <v>106</v>
      </c>
      <c r="C125" s="99"/>
      <c r="D125" s="56">
        <f>C36</f>
        <v>169.94</v>
      </c>
      <c r="E125" s="16"/>
      <c r="F125" s="16"/>
      <c r="G125" s="18"/>
    </row>
    <row r="126" spans="1:7" x14ac:dyDescent="0.25">
      <c r="A126" s="25" t="s">
        <v>11</v>
      </c>
      <c r="B126" s="58" t="s">
        <v>107</v>
      </c>
      <c r="C126" s="39">
        <f>C51+C60+C68+C80+C92</f>
        <v>0.7603738082191781</v>
      </c>
      <c r="D126" s="56">
        <f>D103</f>
        <v>1595.4202578267377</v>
      </c>
      <c r="E126" s="59"/>
      <c r="F126" s="16"/>
      <c r="G126" s="18"/>
    </row>
    <row r="127" spans="1:7" x14ac:dyDescent="0.25">
      <c r="A127" s="25"/>
      <c r="B127" s="101" t="s">
        <v>108</v>
      </c>
      <c r="C127" s="99"/>
      <c r="D127" s="56">
        <f>SUM(D123:D126)</f>
        <v>4240.0497584327986</v>
      </c>
      <c r="E127" s="60">
        <f>SUM(C15+C27+C36+D103)/0.9135</f>
        <v>4641.5432495159266</v>
      </c>
      <c r="F127" s="16"/>
      <c r="G127" s="18"/>
    </row>
    <row r="128" spans="1:7" x14ac:dyDescent="0.25">
      <c r="A128" s="25" t="s">
        <v>13</v>
      </c>
      <c r="B128" s="101" t="s">
        <v>109</v>
      </c>
      <c r="C128" s="101"/>
      <c r="D128" s="61">
        <f>SUM(D118)</f>
        <v>1471.037671293012</v>
      </c>
      <c r="E128" s="62"/>
      <c r="F128" s="16"/>
      <c r="G128" s="18"/>
    </row>
    <row r="129" spans="1:7" x14ac:dyDescent="0.25">
      <c r="A129" s="88" t="s">
        <v>110</v>
      </c>
      <c r="B129" s="88"/>
      <c r="C129" s="88"/>
      <c r="D129" s="61">
        <f>SUM(D127+D128)</f>
        <v>5711.0874297258106</v>
      </c>
      <c r="E129" s="16"/>
      <c r="F129" s="16"/>
      <c r="G129" s="18"/>
    </row>
    <row r="130" spans="1:7" x14ac:dyDescent="0.25">
      <c r="A130" s="16"/>
      <c r="B130" s="16"/>
      <c r="C130" s="16"/>
      <c r="D130" s="16"/>
      <c r="E130" s="16"/>
      <c r="F130" s="16"/>
      <c r="G130" s="18"/>
    </row>
    <row r="131" spans="1:7" x14ac:dyDescent="0.25">
      <c r="A131" s="16"/>
      <c r="B131" s="18"/>
      <c r="C131" s="16"/>
      <c r="D131" s="16"/>
      <c r="E131" s="16"/>
      <c r="F131" s="16"/>
      <c r="G131" s="18"/>
    </row>
    <row r="132" spans="1:7" x14ac:dyDescent="0.25">
      <c r="A132" s="18"/>
      <c r="B132" s="63" t="s">
        <v>148</v>
      </c>
      <c r="C132" s="64">
        <f>D129</f>
        <v>5711.0874297258106</v>
      </c>
      <c r="D132" s="18"/>
      <c r="E132" s="18"/>
      <c r="F132" s="18"/>
      <c r="G132" s="18"/>
    </row>
    <row r="133" spans="1:7" x14ac:dyDescent="0.25">
      <c r="A133" s="18"/>
      <c r="B133" s="63" t="s">
        <v>153</v>
      </c>
      <c r="C133" s="65">
        <f>C132*2</f>
        <v>11422.174859451621</v>
      </c>
      <c r="D133" s="18"/>
      <c r="E133" s="18"/>
      <c r="F133" s="18"/>
      <c r="G133" s="18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3"/>
      <c r="B152" s="3"/>
      <c r="C152" s="1"/>
      <c r="D152" s="1"/>
      <c r="E152" s="1"/>
      <c r="F152" s="1"/>
    </row>
    <row r="153" spans="1:6" x14ac:dyDescent="0.25">
      <c r="A153" s="3"/>
      <c r="B153" s="3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</sheetData>
  <mergeCells count="47">
    <mergeCell ref="B125:C125"/>
    <mergeCell ref="B127:C127"/>
    <mergeCell ref="B128:C128"/>
    <mergeCell ref="A129:C129"/>
    <mergeCell ref="A103:B103"/>
    <mergeCell ref="A105:C105"/>
    <mergeCell ref="A118:C118"/>
    <mergeCell ref="B122:C122"/>
    <mergeCell ref="B123:C123"/>
    <mergeCell ref="B124:C124"/>
    <mergeCell ref="A29:B29"/>
    <mergeCell ref="C31:D31"/>
    <mergeCell ref="A92:B92"/>
    <mergeCell ref="C33:D33"/>
    <mergeCell ref="C34:D34"/>
    <mergeCell ref="C35:D35"/>
    <mergeCell ref="A36:B36"/>
    <mergeCell ref="C36:D36"/>
    <mergeCell ref="A51:B51"/>
    <mergeCell ref="C32:D32"/>
    <mergeCell ref="A58:B58"/>
    <mergeCell ref="A60:B60"/>
    <mergeCell ref="A68:B68"/>
    <mergeCell ref="A80:B80"/>
    <mergeCell ref="A90:B90"/>
    <mergeCell ref="C24:D24"/>
    <mergeCell ref="C25:D25"/>
    <mergeCell ref="C27:D27"/>
    <mergeCell ref="C19:D19"/>
    <mergeCell ref="C20:D20"/>
    <mergeCell ref="C21:D21"/>
    <mergeCell ref="C22:D22"/>
    <mergeCell ref="C23:D23"/>
    <mergeCell ref="C26:D26"/>
    <mergeCell ref="C6:D6"/>
    <mergeCell ref="C7:D7"/>
    <mergeCell ref="C8:D8"/>
    <mergeCell ref="C9:D9"/>
    <mergeCell ref="A1:D1"/>
    <mergeCell ref="C4:D4"/>
    <mergeCell ref="C5:D5"/>
    <mergeCell ref="C15:D15"/>
    <mergeCell ref="C10:D10"/>
    <mergeCell ref="C11:D11"/>
    <mergeCell ref="C12:D12"/>
    <mergeCell ref="C13:D13"/>
    <mergeCell ref="C14:D14"/>
  </mergeCells>
  <pageMargins left="0.511811024" right="0.511811024" top="0.78740157499999996" bottom="0.78740157499999996" header="0.31496062000000002" footer="0.31496062000000002"/>
  <pageSetup paperSize="9" scale="61" orientation="portrait" verticalDpi="597" r:id="rId1"/>
  <rowBreaks count="1" manualBreakCount="1">
    <brk id="68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4"/>
  <sheetViews>
    <sheetView view="pageBreakPreview" topLeftCell="A106" zoomScale="98" zoomScaleNormal="100" zoomScaleSheetLayoutView="98" workbookViewId="0">
      <selection sqref="A1:F133"/>
    </sheetView>
  </sheetViews>
  <sheetFormatPr defaultRowHeight="15" x14ac:dyDescent="0.25"/>
  <cols>
    <col min="1" max="1" width="5.7109375" customWidth="1"/>
    <col min="2" max="2" width="64.7109375" customWidth="1"/>
    <col min="3" max="3" width="13.42578125" customWidth="1"/>
    <col min="4" max="4" width="17" customWidth="1"/>
    <col min="5" max="5" width="29.42578125" customWidth="1"/>
    <col min="6" max="6" width="13.7109375" customWidth="1"/>
    <col min="7" max="7" width="18.5703125" bestFit="1" customWidth="1"/>
    <col min="257" max="257" width="5.7109375" customWidth="1"/>
    <col min="258" max="258" width="62.7109375" customWidth="1"/>
    <col min="259" max="259" width="12.42578125" customWidth="1"/>
    <col min="260" max="260" width="18" customWidth="1"/>
    <col min="261" max="261" width="59.7109375" customWidth="1"/>
    <col min="262" max="262" width="16.140625" customWidth="1"/>
    <col min="263" max="263" width="18.5703125" bestFit="1" customWidth="1"/>
    <col min="513" max="513" width="5.7109375" customWidth="1"/>
    <col min="514" max="514" width="62.7109375" customWidth="1"/>
    <col min="515" max="515" width="12.42578125" customWidth="1"/>
    <col min="516" max="516" width="18" customWidth="1"/>
    <col min="517" max="517" width="59.7109375" customWidth="1"/>
    <col min="518" max="518" width="16.140625" customWidth="1"/>
    <col min="519" max="519" width="18.5703125" bestFit="1" customWidth="1"/>
    <col min="769" max="769" width="5.7109375" customWidth="1"/>
    <col min="770" max="770" width="62.7109375" customWidth="1"/>
    <col min="771" max="771" width="12.42578125" customWidth="1"/>
    <col min="772" max="772" width="18" customWidth="1"/>
    <col min="773" max="773" width="59.7109375" customWidth="1"/>
    <col min="774" max="774" width="16.140625" customWidth="1"/>
    <col min="775" max="775" width="18.5703125" bestFit="1" customWidth="1"/>
    <col min="1025" max="1025" width="5.7109375" customWidth="1"/>
    <col min="1026" max="1026" width="62.7109375" customWidth="1"/>
    <col min="1027" max="1027" width="12.42578125" customWidth="1"/>
    <col min="1028" max="1028" width="18" customWidth="1"/>
    <col min="1029" max="1029" width="59.7109375" customWidth="1"/>
    <col min="1030" max="1030" width="16.140625" customWidth="1"/>
    <col min="1031" max="1031" width="18.5703125" bestFit="1" customWidth="1"/>
    <col min="1281" max="1281" width="5.7109375" customWidth="1"/>
    <col min="1282" max="1282" width="62.7109375" customWidth="1"/>
    <col min="1283" max="1283" width="12.42578125" customWidth="1"/>
    <col min="1284" max="1284" width="18" customWidth="1"/>
    <col min="1285" max="1285" width="59.7109375" customWidth="1"/>
    <col min="1286" max="1286" width="16.140625" customWidth="1"/>
    <col min="1287" max="1287" width="18.5703125" bestFit="1" customWidth="1"/>
    <col min="1537" max="1537" width="5.7109375" customWidth="1"/>
    <col min="1538" max="1538" width="62.7109375" customWidth="1"/>
    <col min="1539" max="1539" width="12.42578125" customWidth="1"/>
    <col min="1540" max="1540" width="18" customWidth="1"/>
    <col min="1541" max="1541" width="59.7109375" customWidth="1"/>
    <col min="1542" max="1542" width="16.140625" customWidth="1"/>
    <col min="1543" max="1543" width="18.5703125" bestFit="1" customWidth="1"/>
    <col min="1793" max="1793" width="5.7109375" customWidth="1"/>
    <col min="1794" max="1794" width="62.7109375" customWidth="1"/>
    <col min="1795" max="1795" width="12.42578125" customWidth="1"/>
    <col min="1796" max="1796" width="18" customWidth="1"/>
    <col min="1797" max="1797" width="59.7109375" customWidth="1"/>
    <col min="1798" max="1798" width="16.140625" customWidth="1"/>
    <col min="1799" max="1799" width="18.5703125" bestFit="1" customWidth="1"/>
    <col min="2049" max="2049" width="5.7109375" customWidth="1"/>
    <col min="2050" max="2050" width="62.7109375" customWidth="1"/>
    <col min="2051" max="2051" width="12.42578125" customWidth="1"/>
    <col min="2052" max="2052" width="18" customWidth="1"/>
    <col min="2053" max="2053" width="59.7109375" customWidth="1"/>
    <col min="2054" max="2054" width="16.140625" customWidth="1"/>
    <col min="2055" max="2055" width="18.5703125" bestFit="1" customWidth="1"/>
    <col min="2305" max="2305" width="5.7109375" customWidth="1"/>
    <col min="2306" max="2306" width="62.7109375" customWidth="1"/>
    <col min="2307" max="2307" width="12.42578125" customWidth="1"/>
    <col min="2308" max="2308" width="18" customWidth="1"/>
    <col min="2309" max="2309" width="59.7109375" customWidth="1"/>
    <col min="2310" max="2310" width="16.140625" customWidth="1"/>
    <col min="2311" max="2311" width="18.5703125" bestFit="1" customWidth="1"/>
    <col min="2561" max="2561" width="5.7109375" customWidth="1"/>
    <col min="2562" max="2562" width="62.7109375" customWidth="1"/>
    <col min="2563" max="2563" width="12.42578125" customWidth="1"/>
    <col min="2564" max="2564" width="18" customWidth="1"/>
    <col min="2565" max="2565" width="59.7109375" customWidth="1"/>
    <col min="2566" max="2566" width="16.140625" customWidth="1"/>
    <col min="2567" max="2567" width="18.5703125" bestFit="1" customWidth="1"/>
    <col min="2817" max="2817" width="5.7109375" customWidth="1"/>
    <col min="2818" max="2818" width="62.7109375" customWidth="1"/>
    <col min="2819" max="2819" width="12.42578125" customWidth="1"/>
    <col min="2820" max="2820" width="18" customWidth="1"/>
    <col min="2821" max="2821" width="59.7109375" customWidth="1"/>
    <col min="2822" max="2822" width="16.140625" customWidth="1"/>
    <col min="2823" max="2823" width="18.5703125" bestFit="1" customWidth="1"/>
    <col min="3073" max="3073" width="5.7109375" customWidth="1"/>
    <col min="3074" max="3074" width="62.7109375" customWidth="1"/>
    <col min="3075" max="3075" width="12.42578125" customWidth="1"/>
    <col min="3076" max="3076" width="18" customWidth="1"/>
    <col min="3077" max="3077" width="59.7109375" customWidth="1"/>
    <col min="3078" max="3078" width="16.140625" customWidth="1"/>
    <col min="3079" max="3079" width="18.5703125" bestFit="1" customWidth="1"/>
    <col min="3329" max="3329" width="5.7109375" customWidth="1"/>
    <col min="3330" max="3330" width="62.7109375" customWidth="1"/>
    <col min="3331" max="3331" width="12.42578125" customWidth="1"/>
    <col min="3332" max="3332" width="18" customWidth="1"/>
    <col min="3333" max="3333" width="59.7109375" customWidth="1"/>
    <col min="3334" max="3334" width="16.140625" customWidth="1"/>
    <col min="3335" max="3335" width="18.5703125" bestFit="1" customWidth="1"/>
    <col min="3585" max="3585" width="5.7109375" customWidth="1"/>
    <col min="3586" max="3586" width="62.7109375" customWidth="1"/>
    <col min="3587" max="3587" width="12.42578125" customWidth="1"/>
    <col min="3588" max="3588" width="18" customWidth="1"/>
    <col min="3589" max="3589" width="59.7109375" customWidth="1"/>
    <col min="3590" max="3590" width="16.140625" customWidth="1"/>
    <col min="3591" max="3591" width="18.5703125" bestFit="1" customWidth="1"/>
    <col min="3841" max="3841" width="5.7109375" customWidth="1"/>
    <col min="3842" max="3842" width="62.7109375" customWidth="1"/>
    <col min="3843" max="3843" width="12.42578125" customWidth="1"/>
    <col min="3844" max="3844" width="18" customWidth="1"/>
    <col min="3845" max="3845" width="59.7109375" customWidth="1"/>
    <col min="3846" max="3846" width="16.140625" customWidth="1"/>
    <col min="3847" max="3847" width="18.5703125" bestFit="1" customWidth="1"/>
    <col min="4097" max="4097" width="5.7109375" customWidth="1"/>
    <col min="4098" max="4098" width="62.7109375" customWidth="1"/>
    <col min="4099" max="4099" width="12.42578125" customWidth="1"/>
    <col min="4100" max="4100" width="18" customWidth="1"/>
    <col min="4101" max="4101" width="59.7109375" customWidth="1"/>
    <col min="4102" max="4102" width="16.140625" customWidth="1"/>
    <col min="4103" max="4103" width="18.5703125" bestFit="1" customWidth="1"/>
    <col min="4353" max="4353" width="5.7109375" customWidth="1"/>
    <col min="4354" max="4354" width="62.7109375" customWidth="1"/>
    <col min="4355" max="4355" width="12.42578125" customWidth="1"/>
    <col min="4356" max="4356" width="18" customWidth="1"/>
    <col min="4357" max="4357" width="59.7109375" customWidth="1"/>
    <col min="4358" max="4358" width="16.140625" customWidth="1"/>
    <col min="4359" max="4359" width="18.5703125" bestFit="1" customWidth="1"/>
    <col min="4609" max="4609" width="5.7109375" customWidth="1"/>
    <col min="4610" max="4610" width="62.7109375" customWidth="1"/>
    <col min="4611" max="4611" width="12.42578125" customWidth="1"/>
    <col min="4612" max="4612" width="18" customWidth="1"/>
    <col min="4613" max="4613" width="59.7109375" customWidth="1"/>
    <col min="4614" max="4614" width="16.140625" customWidth="1"/>
    <col min="4615" max="4615" width="18.5703125" bestFit="1" customWidth="1"/>
    <col min="4865" max="4865" width="5.7109375" customWidth="1"/>
    <col min="4866" max="4866" width="62.7109375" customWidth="1"/>
    <col min="4867" max="4867" width="12.42578125" customWidth="1"/>
    <col min="4868" max="4868" width="18" customWidth="1"/>
    <col min="4869" max="4869" width="59.7109375" customWidth="1"/>
    <col min="4870" max="4870" width="16.140625" customWidth="1"/>
    <col min="4871" max="4871" width="18.5703125" bestFit="1" customWidth="1"/>
    <col min="5121" max="5121" width="5.7109375" customWidth="1"/>
    <col min="5122" max="5122" width="62.7109375" customWidth="1"/>
    <col min="5123" max="5123" width="12.42578125" customWidth="1"/>
    <col min="5124" max="5124" width="18" customWidth="1"/>
    <col min="5125" max="5125" width="59.7109375" customWidth="1"/>
    <col min="5126" max="5126" width="16.140625" customWidth="1"/>
    <col min="5127" max="5127" width="18.5703125" bestFit="1" customWidth="1"/>
    <col min="5377" max="5377" width="5.7109375" customWidth="1"/>
    <col min="5378" max="5378" width="62.7109375" customWidth="1"/>
    <col min="5379" max="5379" width="12.42578125" customWidth="1"/>
    <col min="5380" max="5380" width="18" customWidth="1"/>
    <col min="5381" max="5381" width="59.7109375" customWidth="1"/>
    <col min="5382" max="5382" width="16.140625" customWidth="1"/>
    <col min="5383" max="5383" width="18.5703125" bestFit="1" customWidth="1"/>
    <col min="5633" max="5633" width="5.7109375" customWidth="1"/>
    <col min="5634" max="5634" width="62.7109375" customWidth="1"/>
    <col min="5635" max="5635" width="12.42578125" customWidth="1"/>
    <col min="5636" max="5636" width="18" customWidth="1"/>
    <col min="5637" max="5637" width="59.7109375" customWidth="1"/>
    <col min="5638" max="5638" width="16.140625" customWidth="1"/>
    <col min="5639" max="5639" width="18.5703125" bestFit="1" customWidth="1"/>
    <col min="5889" max="5889" width="5.7109375" customWidth="1"/>
    <col min="5890" max="5890" width="62.7109375" customWidth="1"/>
    <col min="5891" max="5891" width="12.42578125" customWidth="1"/>
    <col min="5892" max="5892" width="18" customWidth="1"/>
    <col min="5893" max="5893" width="59.7109375" customWidth="1"/>
    <col min="5894" max="5894" width="16.140625" customWidth="1"/>
    <col min="5895" max="5895" width="18.5703125" bestFit="1" customWidth="1"/>
    <col min="6145" max="6145" width="5.7109375" customWidth="1"/>
    <col min="6146" max="6146" width="62.7109375" customWidth="1"/>
    <col min="6147" max="6147" width="12.42578125" customWidth="1"/>
    <col min="6148" max="6148" width="18" customWidth="1"/>
    <col min="6149" max="6149" width="59.7109375" customWidth="1"/>
    <col min="6150" max="6150" width="16.140625" customWidth="1"/>
    <col min="6151" max="6151" width="18.5703125" bestFit="1" customWidth="1"/>
    <col min="6401" max="6401" width="5.7109375" customWidth="1"/>
    <col min="6402" max="6402" width="62.7109375" customWidth="1"/>
    <col min="6403" max="6403" width="12.42578125" customWidth="1"/>
    <col min="6404" max="6404" width="18" customWidth="1"/>
    <col min="6405" max="6405" width="59.7109375" customWidth="1"/>
    <col min="6406" max="6406" width="16.140625" customWidth="1"/>
    <col min="6407" max="6407" width="18.5703125" bestFit="1" customWidth="1"/>
    <col min="6657" max="6657" width="5.7109375" customWidth="1"/>
    <col min="6658" max="6658" width="62.7109375" customWidth="1"/>
    <col min="6659" max="6659" width="12.42578125" customWidth="1"/>
    <col min="6660" max="6660" width="18" customWidth="1"/>
    <col min="6661" max="6661" width="59.7109375" customWidth="1"/>
    <col min="6662" max="6662" width="16.140625" customWidth="1"/>
    <col min="6663" max="6663" width="18.5703125" bestFit="1" customWidth="1"/>
    <col min="6913" max="6913" width="5.7109375" customWidth="1"/>
    <col min="6914" max="6914" width="62.7109375" customWidth="1"/>
    <col min="6915" max="6915" width="12.42578125" customWidth="1"/>
    <col min="6916" max="6916" width="18" customWidth="1"/>
    <col min="6917" max="6917" width="59.7109375" customWidth="1"/>
    <col min="6918" max="6918" width="16.140625" customWidth="1"/>
    <col min="6919" max="6919" width="18.5703125" bestFit="1" customWidth="1"/>
    <col min="7169" max="7169" width="5.7109375" customWidth="1"/>
    <col min="7170" max="7170" width="62.7109375" customWidth="1"/>
    <col min="7171" max="7171" width="12.42578125" customWidth="1"/>
    <col min="7172" max="7172" width="18" customWidth="1"/>
    <col min="7173" max="7173" width="59.7109375" customWidth="1"/>
    <col min="7174" max="7174" width="16.140625" customWidth="1"/>
    <col min="7175" max="7175" width="18.5703125" bestFit="1" customWidth="1"/>
    <col min="7425" max="7425" width="5.7109375" customWidth="1"/>
    <col min="7426" max="7426" width="62.7109375" customWidth="1"/>
    <col min="7427" max="7427" width="12.42578125" customWidth="1"/>
    <col min="7428" max="7428" width="18" customWidth="1"/>
    <col min="7429" max="7429" width="59.7109375" customWidth="1"/>
    <col min="7430" max="7430" width="16.140625" customWidth="1"/>
    <col min="7431" max="7431" width="18.5703125" bestFit="1" customWidth="1"/>
    <col min="7681" max="7681" width="5.7109375" customWidth="1"/>
    <col min="7682" max="7682" width="62.7109375" customWidth="1"/>
    <col min="7683" max="7683" width="12.42578125" customWidth="1"/>
    <col min="7684" max="7684" width="18" customWidth="1"/>
    <col min="7685" max="7685" width="59.7109375" customWidth="1"/>
    <col min="7686" max="7686" width="16.140625" customWidth="1"/>
    <col min="7687" max="7687" width="18.5703125" bestFit="1" customWidth="1"/>
    <col min="7937" max="7937" width="5.7109375" customWidth="1"/>
    <col min="7938" max="7938" width="62.7109375" customWidth="1"/>
    <col min="7939" max="7939" width="12.42578125" customWidth="1"/>
    <col min="7940" max="7940" width="18" customWidth="1"/>
    <col min="7941" max="7941" width="59.7109375" customWidth="1"/>
    <col min="7942" max="7942" width="16.140625" customWidth="1"/>
    <col min="7943" max="7943" width="18.5703125" bestFit="1" customWidth="1"/>
    <col min="8193" max="8193" width="5.7109375" customWidth="1"/>
    <col min="8194" max="8194" width="62.7109375" customWidth="1"/>
    <col min="8195" max="8195" width="12.42578125" customWidth="1"/>
    <col min="8196" max="8196" width="18" customWidth="1"/>
    <col min="8197" max="8197" width="59.7109375" customWidth="1"/>
    <col min="8198" max="8198" width="16.140625" customWidth="1"/>
    <col min="8199" max="8199" width="18.5703125" bestFit="1" customWidth="1"/>
    <col min="8449" max="8449" width="5.7109375" customWidth="1"/>
    <col min="8450" max="8450" width="62.7109375" customWidth="1"/>
    <col min="8451" max="8451" width="12.42578125" customWidth="1"/>
    <col min="8452" max="8452" width="18" customWidth="1"/>
    <col min="8453" max="8453" width="59.7109375" customWidth="1"/>
    <col min="8454" max="8454" width="16.140625" customWidth="1"/>
    <col min="8455" max="8455" width="18.5703125" bestFit="1" customWidth="1"/>
    <col min="8705" max="8705" width="5.7109375" customWidth="1"/>
    <col min="8706" max="8706" width="62.7109375" customWidth="1"/>
    <col min="8707" max="8707" width="12.42578125" customWidth="1"/>
    <col min="8708" max="8708" width="18" customWidth="1"/>
    <col min="8709" max="8709" width="59.7109375" customWidth="1"/>
    <col min="8710" max="8710" width="16.140625" customWidth="1"/>
    <col min="8711" max="8711" width="18.5703125" bestFit="1" customWidth="1"/>
    <col min="8961" max="8961" width="5.7109375" customWidth="1"/>
    <col min="8962" max="8962" width="62.7109375" customWidth="1"/>
    <col min="8963" max="8963" width="12.42578125" customWidth="1"/>
    <col min="8964" max="8964" width="18" customWidth="1"/>
    <col min="8965" max="8965" width="59.7109375" customWidth="1"/>
    <col min="8966" max="8966" width="16.140625" customWidth="1"/>
    <col min="8967" max="8967" width="18.5703125" bestFit="1" customWidth="1"/>
    <col min="9217" max="9217" width="5.7109375" customWidth="1"/>
    <col min="9218" max="9218" width="62.7109375" customWidth="1"/>
    <col min="9219" max="9219" width="12.42578125" customWidth="1"/>
    <col min="9220" max="9220" width="18" customWidth="1"/>
    <col min="9221" max="9221" width="59.7109375" customWidth="1"/>
    <col min="9222" max="9222" width="16.140625" customWidth="1"/>
    <col min="9223" max="9223" width="18.5703125" bestFit="1" customWidth="1"/>
    <col min="9473" max="9473" width="5.7109375" customWidth="1"/>
    <col min="9474" max="9474" width="62.7109375" customWidth="1"/>
    <col min="9475" max="9475" width="12.42578125" customWidth="1"/>
    <col min="9476" max="9476" width="18" customWidth="1"/>
    <col min="9477" max="9477" width="59.7109375" customWidth="1"/>
    <col min="9478" max="9478" width="16.140625" customWidth="1"/>
    <col min="9479" max="9479" width="18.5703125" bestFit="1" customWidth="1"/>
    <col min="9729" max="9729" width="5.7109375" customWidth="1"/>
    <col min="9730" max="9730" width="62.7109375" customWidth="1"/>
    <col min="9731" max="9731" width="12.42578125" customWidth="1"/>
    <col min="9732" max="9732" width="18" customWidth="1"/>
    <col min="9733" max="9733" width="59.7109375" customWidth="1"/>
    <col min="9734" max="9734" width="16.140625" customWidth="1"/>
    <col min="9735" max="9735" width="18.5703125" bestFit="1" customWidth="1"/>
    <col min="9985" max="9985" width="5.7109375" customWidth="1"/>
    <col min="9986" max="9986" width="62.7109375" customWidth="1"/>
    <col min="9987" max="9987" width="12.42578125" customWidth="1"/>
    <col min="9988" max="9988" width="18" customWidth="1"/>
    <col min="9989" max="9989" width="59.7109375" customWidth="1"/>
    <col min="9990" max="9990" width="16.140625" customWidth="1"/>
    <col min="9991" max="9991" width="18.5703125" bestFit="1" customWidth="1"/>
    <col min="10241" max="10241" width="5.7109375" customWidth="1"/>
    <col min="10242" max="10242" width="62.7109375" customWidth="1"/>
    <col min="10243" max="10243" width="12.42578125" customWidth="1"/>
    <col min="10244" max="10244" width="18" customWidth="1"/>
    <col min="10245" max="10245" width="59.7109375" customWidth="1"/>
    <col min="10246" max="10246" width="16.140625" customWidth="1"/>
    <col min="10247" max="10247" width="18.5703125" bestFit="1" customWidth="1"/>
    <col min="10497" max="10497" width="5.7109375" customWidth="1"/>
    <col min="10498" max="10498" width="62.7109375" customWidth="1"/>
    <col min="10499" max="10499" width="12.42578125" customWidth="1"/>
    <col min="10500" max="10500" width="18" customWidth="1"/>
    <col min="10501" max="10501" width="59.7109375" customWidth="1"/>
    <col min="10502" max="10502" width="16.140625" customWidth="1"/>
    <col min="10503" max="10503" width="18.5703125" bestFit="1" customWidth="1"/>
    <col min="10753" max="10753" width="5.7109375" customWidth="1"/>
    <col min="10754" max="10754" width="62.7109375" customWidth="1"/>
    <col min="10755" max="10755" width="12.42578125" customWidth="1"/>
    <col min="10756" max="10756" width="18" customWidth="1"/>
    <col min="10757" max="10757" width="59.7109375" customWidth="1"/>
    <col min="10758" max="10758" width="16.140625" customWidth="1"/>
    <col min="10759" max="10759" width="18.5703125" bestFit="1" customWidth="1"/>
    <col min="11009" max="11009" width="5.7109375" customWidth="1"/>
    <col min="11010" max="11010" width="62.7109375" customWidth="1"/>
    <col min="11011" max="11011" width="12.42578125" customWidth="1"/>
    <col min="11012" max="11012" width="18" customWidth="1"/>
    <col min="11013" max="11013" width="59.7109375" customWidth="1"/>
    <col min="11014" max="11014" width="16.140625" customWidth="1"/>
    <col min="11015" max="11015" width="18.5703125" bestFit="1" customWidth="1"/>
    <col min="11265" max="11265" width="5.7109375" customWidth="1"/>
    <col min="11266" max="11266" width="62.7109375" customWidth="1"/>
    <col min="11267" max="11267" width="12.42578125" customWidth="1"/>
    <col min="11268" max="11268" width="18" customWidth="1"/>
    <col min="11269" max="11269" width="59.7109375" customWidth="1"/>
    <col min="11270" max="11270" width="16.140625" customWidth="1"/>
    <col min="11271" max="11271" width="18.5703125" bestFit="1" customWidth="1"/>
    <col min="11521" max="11521" width="5.7109375" customWidth="1"/>
    <col min="11522" max="11522" width="62.7109375" customWidth="1"/>
    <col min="11523" max="11523" width="12.42578125" customWidth="1"/>
    <col min="11524" max="11524" width="18" customWidth="1"/>
    <col min="11525" max="11525" width="59.7109375" customWidth="1"/>
    <col min="11526" max="11526" width="16.140625" customWidth="1"/>
    <col min="11527" max="11527" width="18.5703125" bestFit="1" customWidth="1"/>
    <col min="11777" max="11777" width="5.7109375" customWidth="1"/>
    <col min="11778" max="11778" width="62.7109375" customWidth="1"/>
    <col min="11779" max="11779" width="12.42578125" customWidth="1"/>
    <col min="11780" max="11780" width="18" customWidth="1"/>
    <col min="11781" max="11781" width="59.7109375" customWidth="1"/>
    <col min="11782" max="11782" width="16.140625" customWidth="1"/>
    <col min="11783" max="11783" width="18.5703125" bestFit="1" customWidth="1"/>
    <col min="12033" max="12033" width="5.7109375" customWidth="1"/>
    <col min="12034" max="12034" width="62.7109375" customWidth="1"/>
    <col min="12035" max="12035" width="12.42578125" customWidth="1"/>
    <col min="12036" max="12036" width="18" customWidth="1"/>
    <col min="12037" max="12037" width="59.7109375" customWidth="1"/>
    <col min="12038" max="12038" width="16.140625" customWidth="1"/>
    <col min="12039" max="12039" width="18.5703125" bestFit="1" customWidth="1"/>
    <col min="12289" max="12289" width="5.7109375" customWidth="1"/>
    <col min="12290" max="12290" width="62.7109375" customWidth="1"/>
    <col min="12291" max="12291" width="12.42578125" customWidth="1"/>
    <col min="12292" max="12292" width="18" customWidth="1"/>
    <col min="12293" max="12293" width="59.7109375" customWidth="1"/>
    <col min="12294" max="12294" width="16.140625" customWidth="1"/>
    <col min="12295" max="12295" width="18.5703125" bestFit="1" customWidth="1"/>
    <col min="12545" max="12545" width="5.7109375" customWidth="1"/>
    <col min="12546" max="12546" width="62.7109375" customWidth="1"/>
    <col min="12547" max="12547" width="12.42578125" customWidth="1"/>
    <col min="12548" max="12548" width="18" customWidth="1"/>
    <col min="12549" max="12549" width="59.7109375" customWidth="1"/>
    <col min="12550" max="12550" width="16.140625" customWidth="1"/>
    <col min="12551" max="12551" width="18.5703125" bestFit="1" customWidth="1"/>
    <col min="12801" max="12801" width="5.7109375" customWidth="1"/>
    <col min="12802" max="12802" width="62.7109375" customWidth="1"/>
    <col min="12803" max="12803" width="12.42578125" customWidth="1"/>
    <col min="12804" max="12804" width="18" customWidth="1"/>
    <col min="12805" max="12805" width="59.7109375" customWidth="1"/>
    <col min="12806" max="12806" width="16.140625" customWidth="1"/>
    <col min="12807" max="12807" width="18.5703125" bestFit="1" customWidth="1"/>
    <col min="13057" max="13057" width="5.7109375" customWidth="1"/>
    <col min="13058" max="13058" width="62.7109375" customWidth="1"/>
    <col min="13059" max="13059" width="12.42578125" customWidth="1"/>
    <col min="13060" max="13060" width="18" customWidth="1"/>
    <col min="13061" max="13061" width="59.7109375" customWidth="1"/>
    <col min="13062" max="13062" width="16.140625" customWidth="1"/>
    <col min="13063" max="13063" width="18.5703125" bestFit="1" customWidth="1"/>
    <col min="13313" max="13313" width="5.7109375" customWidth="1"/>
    <col min="13314" max="13314" width="62.7109375" customWidth="1"/>
    <col min="13315" max="13315" width="12.42578125" customWidth="1"/>
    <col min="13316" max="13316" width="18" customWidth="1"/>
    <col min="13317" max="13317" width="59.7109375" customWidth="1"/>
    <col min="13318" max="13318" width="16.140625" customWidth="1"/>
    <col min="13319" max="13319" width="18.5703125" bestFit="1" customWidth="1"/>
    <col min="13569" max="13569" width="5.7109375" customWidth="1"/>
    <col min="13570" max="13570" width="62.7109375" customWidth="1"/>
    <col min="13571" max="13571" width="12.42578125" customWidth="1"/>
    <col min="13572" max="13572" width="18" customWidth="1"/>
    <col min="13573" max="13573" width="59.7109375" customWidth="1"/>
    <col min="13574" max="13574" width="16.140625" customWidth="1"/>
    <col min="13575" max="13575" width="18.5703125" bestFit="1" customWidth="1"/>
    <col min="13825" max="13825" width="5.7109375" customWidth="1"/>
    <col min="13826" max="13826" width="62.7109375" customWidth="1"/>
    <col min="13827" max="13827" width="12.42578125" customWidth="1"/>
    <col min="13828" max="13828" width="18" customWidth="1"/>
    <col min="13829" max="13829" width="59.7109375" customWidth="1"/>
    <col min="13830" max="13830" width="16.140625" customWidth="1"/>
    <col min="13831" max="13831" width="18.5703125" bestFit="1" customWidth="1"/>
    <col min="14081" max="14081" width="5.7109375" customWidth="1"/>
    <col min="14082" max="14082" width="62.7109375" customWidth="1"/>
    <col min="14083" max="14083" width="12.42578125" customWidth="1"/>
    <col min="14084" max="14084" width="18" customWidth="1"/>
    <col min="14085" max="14085" width="59.7109375" customWidth="1"/>
    <col min="14086" max="14086" width="16.140625" customWidth="1"/>
    <col min="14087" max="14087" width="18.5703125" bestFit="1" customWidth="1"/>
    <col min="14337" max="14337" width="5.7109375" customWidth="1"/>
    <col min="14338" max="14338" width="62.7109375" customWidth="1"/>
    <col min="14339" max="14339" width="12.42578125" customWidth="1"/>
    <col min="14340" max="14340" width="18" customWidth="1"/>
    <col min="14341" max="14341" width="59.7109375" customWidth="1"/>
    <col min="14342" max="14342" width="16.140625" customWidth="1"/>
    <col min="14343" max="14343" width="18.5703125" bestFit="1" customWidth="1"/>
    <col min="14593" max="14593" width="5.7109375" customWidth="1"/>
    <col min="14594" max="14594" width="62.7109375" customWidth="1"/>
    <col min="14595" max="14595" width="12.42578125" customWidth="1"/>
    <col min="14596" max="14596" width="18" customWidth="1"/>
    <col min="14597" max="14597" width="59.7109375" customWidth="1"/>
    <col min="14598" max="14598" width="16.140625" customWidth="1"/>
    <col min="14599" max="14599" width="18.5703125" bestFit="1" customWidth="1"/>
    <col min="14849" max="14849" width="5.7109375" customWidth="1"/>
    <col min="14850" max="14850" width="62.7109375" customWidth="1"/>
    <col min="14851" max="14851" width="12.42578125" customWidth="1"/>
    <col min="14852" max="14852" width="18" customWidth="1"/>
    <col min="14853" max="14853" width="59.7109375" customWidth="1"/>
    <col min="14854" max="14854" width="16.140625" customWidth="1"/>
    <col min="14855" max="14855" width="18.5703125" bestFit="1" customWidth="1"/>
    <col min="15105" max="15105" width="5.7109375" customWidth="1"/>
    <col min="15106" max="15106" width="62.7109375" customWidth="1"/>
    <col min="15107" max="15107" width="12.42578125" customWidth="1"/>
    <col min="15108" max="15108" width="18" customWidth="1"/>
    <col min="15109" max="15109" width="59.7109375" customWidth="1"/>
    <col min="15110" max="15110" width="16.140625" customWidth="1"/>
    <col min="15111" max="15111" width="18.5703125" bestFit="1" customWidth="1"/>
    <col min="15361" max="15361" width="5.7109375" customWidth="1"/>
    <col min="15362" max="15362" width="62.7109375" customWidth="1"/>
    <col min="15363" max="15363" width="12.42578125" customWidth="1"/>
    <col min="15364" max="15364" width="18" customWidth="1"/>
    <col min="15365" max="15365" width="59.7109375" customWidth="1"/>
    <col min="15366" max="15366" width="16.140625" customWidth="1"/>
    <col min="15367" max="15367" width="18.5703125" bestFit="1" customWidth="1"/>
    <col min="15617" max="15617" width="5.7109375" customWidth="1"/>
    <col min="15618" max="15618" width="62.7109375" customWidth="1"/>
    <col min="15619" max="15619" width="12.42578125" customWidth="1"/>
    <col min="15620" max="15620" width="18" customWidth="1"/>
    <col min="15621" max="15621" width="59.7109375" customWidth="1"/>
    <col min="15622" max="15622" width="16.140625" customWidth="1"/>
    <col min="15623" max="15623" width="18.5703125" bestFit="1" customWidth="1"/>
    <col min="15873" max="15873" width="5.7109375" customWidth="1"/>
    <col min="15874" max="15874" width="62.7109375" customWidth="1"/>
    <col min="15875" max="15875" width="12.42578125" customWidth="1"/>
    <col min="15876" max="15876" width="18" customWidth="1"/>
    <col min="15877" max="15877" width="59.7109375" customWidth="1"/>
    <col min="15878" max="15878" width="16.140625" customWidth="1"/>
    <col min="15879" max="15879" width="18.5703125" bestFit="1" customWidth="1"/>
    <col min="16129" max="16129" width="5.7109375" customWidth="1"/>
    <col min="16130" max="16130" width="62.7109375" customWidth="1"/>
    <col min="16131" max="16131" width="12.42578125" customWidth="1"/>
    <col min="16132" max="16132" width="18" customWidth="1"/>
    <col min="16133" max="16133" width="59.7109375" customWidth="1"/>
    <col min="16134" max="16134" width="16.140625" customWidth="1"/>
    <col min="16135" max="16135" width="18.5703125" bestFit="1" customWidth="1"/>
  </cols>
  <sheetData>
    <row r="1" spans="1:7" x14ac:dyDescent="0.25">
      <c r="A1" s="89" t="s">
        <v>0</v>
      </c>
      <c r="B1" s="89"/>
      <c r="C1" s="89"/>
      <c r="D1" s="89"/>
      <c r="E1" s="17"/>
      <c r="F1" s="17"/>
      <c r="G1" s="18"/>
    </row>
    <row r="2" spans="1:7" x14ac:dyDescent="0.25">
      <c r="A2" s="19"/>
      <c r="B2" s="20" t="s">
        <v>1</v>
      </c>
      <c r="C2" s="21"/>
      <c r="D2" s="21"/>
      <c r="E2" s="21"/>
      <c r="F2" s="21"/>
      <c r="G2" s="18"/>
    </row>
    <row r="3" spans="1:7" x14ac:dyDescent="0.25">
      <c r="A3" s="16"/>
      <c r="B3" s="16"/>
      <c r="C3" s="16"/>
      <c r="D3" s="16"/>
      <c r="E3" s="16"/>
      <c r="F3" s="16"/>
      <c r="G3" s="18"/>
    </row>
    <row r="4" spans="1:7" ht="24.75" customHeight="1" x14ac:dyDescent="0.25">
      <c r="A4" s="22" t="s">
        <v>2</v>
      </c>
      <c r="B4" s="22"/>
      <c r="C4" s="90" t="s">
        <v>144</v>
      </c>
      <c r="D4" s="90"/>
      <c r="E4" s="67"/>
      <c r="F4" s="16"/>
      <c r="G4" s="18"/>
    </row>
    <row r="5" spans="1:7" ht="31.5" customHeight="1" x14ac:dyDescent="0.25">
      <c r="A5" s="16"/>
      <c r="B5" s="20" t="s">
        <v>1</v>
      </c>
      <c r="C5" s="107" t="s">
        <v>158</v>
      </c>
      <c r="D5" s="108"/>
      <c r="E5" s="109"/>
      <c r="F5" s="109"/>
      <c r="G5" s="66"/>
    </row>
    <row r="6" spans="1:7" x14ac:dyDescent="0.25">
      <c r="A6" s="23"/>
      <c r="B6" s="24" t="s">
        <v>3</v>
      </c>
      <c r="C6" s="88" t="s">
        <v>4</v>
      </c>
      <c r="D6" s="88"/>
      <c r="E6" s="16"/>
      <c r="F6" s="16"/>
      <c r="G6" s="18"/>
    </row>
    <row r="7" spans="1:7" x14ac:dyDescent="0.25">
      <c r="A7" s="25" t="s">
        <v>5</v>
      </c>
      <c r="B7" s="25" t="s">
        <v>6</v>
      </c>
      <c r="C7" s="87">
        <v>1555.54</v>
      </c>
      <c r="D7" s="87"/>
      <c r="E7" s="16"/>
      <c r="F7" s="16"/>
      <c r="G7" s="18"/>
    </row>
    <row r="8" spans="1:7" x14ac:dyDescent="0.25">
      <c r="A8" s="25" t="s">
        <v>7</v>
      </c>
      <c r="B8" s="25" t="s">
        <v>8</v>
      </c>
      <c r="C8" s="87">
        <f>C7*30%</f>
        <v>466.66199999999998</v>
      </c>
      <c r="D8" s="87"/>
      <c r="E8" s="16"/>
      <c r="F8" s="16"/>
      <c r="G8" s="18"/>
    </row>
    <row r="9" spans="1:7" x14ac:dyDescent="0.25">
      <c r="A9" s="25" t="s">
        <v>9</v>
      </c>
      <c r="B9" s="25" t="s">
        <v>10</v>
      </c>
      <c r="C9" s="87" t="s">
        <v>128</v>
      </c>
      <c r="D9" s="87"/>
      <c r="E9" s="16"/>
      <c r="F9" s="16"/>
      <c r="G9" s="18"/>
    </row>
    <row r="10" spans="1:7" x14ac:dyDescent="0.25">
      <c r="A10" s="25" t="s">
        <v>11</v>
      </c>
      <c r="B10" s="25" t="s">
        <v>12</v>
      </c>
      <c r="C10" s="87">
        <f>(C7/220)*20%*150</f>
        <v>212.11909090909091</v>
      </c>
      <c r="D10" s="87"/>
      <c r="E10" s="16"/>
      <c r="F10" s="16"/>
      <c r="G10" s="18"/>
    </row>
    <row r="11" spans="1:7" x14ac:dyDescent="0.25">
      <c r="A11" s="25" t="s">
        <v>13</v>
      </c>
      <c r="B11" s="25" t="s">
        <v>14</v>
      </c>
      <c r="C11" s="87" t="s">
        <v>128</v>
      </c>
      <c r="D11" s="87"/>
      <c r="E11" s="16"/>
      <c r="F11" s="16"/>
      <c r="G11" s="18"/>
    </row>
    <row r="12" spans="1:7" x14ac:dyDescent="0.25">
      <c r="A12" s="25" t="s">
        <v>15</v>
      </c>
      <c r="B12" s="25" t="s">
        <v>16</v>
      </c>
      <c r="C12" s="87" t="s">
        <v>128</v>
      </c>
      <c r="D12" s="87"/>
      <c r="E12" s="16"/>
      <c r="F12" s="16"/>
      <c r="G12" s="18"/>
    </row>
    <row r="13" spans="1:7" x14ac:dyDescent="0.25">
      <c r="A13" s="25" t="s">
        <v>17</v>
      </c>
      <c r="B13" s="25" t="s">
        <v>18</v>
      </c>
      <c r="C13" s="87" t="s">
        <v>128</v>
      </c>
      <c r="D13" s="87"/>
      <c r="E13" s="16"/>
      <c r="F13" s="16"/>
      <c r="G13" s="18"/>
    </row>
    <row r="14" spans="1:7" ht="27" customHeight="1" x14ac:dyDescent="0.25">
      <c r="A14" s="25" t="s">
        <v>19</v>
      </c>
      <c r="B14" s="26" t="s">
        <v>166</v>
      </c>
      <c r="C14" s="87">
        <f>SUM(((C7)/220)*10*2*13*50%/12)</f>
        <v>76.598560606060602</v>
      </c>
      <c r="D14" s="87"/>
      <c r="E14" s="16"/>
      <c r="F14" s="16"/>
      <c r="G14" s="18"/>
    </row>
    <row r="15" spans="1:7" x14ac:dyDescent="0.25">
      <c r="A15" s="24"/>
      <c r="B15" s="24" t="s">
        <v>21</v>
      </c>
      <c r="C15" s="86">
        <f>SUM(C7:D14)</f>
        <v>2310.9196515151516</v>
      </c>
      <c r="D15" s="86"/>
      <c r="E15" s="16"/>
      <c r="F15" s="16"/>
      <c r="G15" s="18"/>
    </row>
    <row r="16" spans="1:7" x14ac:dyDescent="0.25">
      <c r="A16" s="16"/>
      <c r="B16" s="16"/>
      <c r="C16" s="16"/>
      <c r="D16" s="16"/>
      <c r="E16" s="16"/>
      <c r="F16" s="16"/>
      <c r="G16" s="18"/>
    </row>
    <row r="17" spans="1:7" x14ac:dyDescent="0.25">
      <c r="A17" s="22" t="s">
        <v>22</v>
      </c>
      <c r="B17" s="22"/>
      <c r="C17" s="16"/>
      <c r="D17" s="16"/>
      <c r="E17" s="16"/>
      <c r="F17" s="16"/>
      <c r="G17" s="18"/>
    </row>
    <row r="18" spans="1:7" x14ac:dyDescent="0.25">
      <c r="A18" s="16"/>
      <c r="B18" s="20" t="s">
        <v>1</v>
      </c>
      <c r="C18" s="16"/>
      <c r="D18" s="16"/>
      <c r="E18" s="16"/>
      <c r="F18" s="16"/>
      <c r="G18" s="18"/>
    </row>
    <row r="19" spans="1:7" x14ac:dyDescent="0.25">
      <c r="A19" s="27">
        <v>2</v>
      </c>
      <c r="B19" s="25" t="s">
        <v>23</v>
      </c>
      <c r="C19" s="95" t="s">
        <v>4</v>
      </c>
      <c r="D19" s="95"/>
      <c r="E19" s="16"/>
      <c r="F19" s="16"/>
      <c r="G19" s="18"/>
    </row>
    <row r="20" spans="1:7" x14ac:dyDescent="0.25">
      <c r="A20" s="25" t="s">
        <v>5</v>
      </c>
      <c r="B20" s="25" t="s">
        <v>24</v>
      </c>
      <c r="C20" s="96">
        <f>(6.5*2*15)-(6%*C7)</f>
        <v>101.66760000000001</v>
      </c>
      <c r="D20" s="96"/>
      <c r="E20" s="16" t="s">
        <v>137</v>
      </c>
      <c r="F20" s="16"/>
      <c r="G20" s="18"/>
    </row>
    <row r="21" spans="1:7" x14ac:dyDescent="0.25">
      <c r="A21" s="25" t="s">
        <v>7</v>
      </c>
      <c r="B21" s="28" t="s">
        <v>25</v>
      </c>
      <c r="C21" s="97">
        <f>18.7*15*80%</f>
        <v>224.4</v>
      </c>
      <c r="D21" s="97"/>
      <c r="E21" s="16" t="s">
        <v>111</v>
      </c>
      <c r="F21" s="16"/>
      <c r="G21" s="18"/>
    </row>
    <row r="22" spans="1:7" x14ac:dyDescent="0.25">
      <c r="A22" s="25" t="s">
        <v>9</v>
      </c>
      <c r="B22" s="25" t="s">
        <v>160</v>
      </c>
      <c r="C22" s="87">
        <v>0</v>
      </c>
      <c r="D22" s="87"/>
      <c r="E22" s="16" t="s">
        <v>111</v>
      </c>
      <c r="F22" s="16"/>
      <c r="G22" s="18"/>
    </row>
    <row r="23" spans="1:7" x14ac:dyDescent="0.25">
      <c r="A23" s="25" t="s">
        <v>11</v>
      </c>
      <c r="B23" s="25" t="s">
        <v>161</v>
      </c>
      <c r="C23" s="93">
        <v>5</v>
      </c>
      <c r="D23" s="94"/>
      <c r="E23" s="16" t="s">
        <v>111</v>
      </c>
      <c r="F23" s="16"/>
      <c r="G23" s="18"/>
    </row>
    <row r="24" spans="1:7" ht="15" customHeight="1" x14ac:dyDescent="0.25">
      <c r="A24" s="25" t="s">
        <v>13</v>
      </c>
      <c r="B24" s="25" t="s">
        <v>145</v>
      </c>
      <c r="C24" s="93">
        <v>21.5</v>
      </c>
      <c r="D24" s="94"/>
      <c r="E24" s="16" t="s">
        <v>164</v>
      </c>
      <c r="F24" s="16"/>
      <c r="G24" s="18"/>
    </row>
    <row r="25" spans="1:7" ht="15" customHeight="1" x14ac:dyDescent="0.25">
      <c r="A25" s="25" t="s">
        <v>15</v>
      </c>
      <c r="B25" s="25" t="s">
        <v>162</v>
      </c>
      <c r="C25" s="93">
        <f>1295.63*0.3*C50</f>
        <v>23.321339999999999</v>
      </c>
      <c r="D25" s="94"/>
      <c r="E25" s="16" t="s">
        <v>111</v>
      </c>
      <c r="F25" s="16"/>
      <c r="G25" s="18"/>
    </row>
    <row r="26" spans="1:7" ht="15" customHeight="1" x14ac:dyDescent="0.25">
      <c r="A26" s="25" t="s">
        <v>17</v>
      </c>
      <c r="B26" s="25" t="s">
        <v>20</v>
      </c>
      <c r="C26" s="93">
        <v>0</v>
      </c>
      <c r="D26" s="94"/>
      <c r="E26" s="16"/>
      <c r="F26" s="16"/>
      <c r="G26" s="18"/>
    </row>
    <row r="27" spans="1:7" x14ac:dyDescent="0.25">
      <c r="A27" s="25"/>
      <c r="B27" s="24" t="s">
        <v>26</v>
      </c>
      <c r="C27" s="86">
        <f>SUM(C20:C25)</f>
        <v>375.88894000000005</v>
      </c>
      <c r="D27" s="86"/>
      <c r="E27" s="16"/>
      <c r="F27" s="16"/>
      <c r="G27" s="18"/>
    </row>
    <row r="28" spans="1:7" x14ac:dyDescent="0.25">
      <c r="A28" s="16"/>
      <c r="B28" s="16"/>
      <c r="C28" s="16"/>
      <c r="D28" s="16"/>
      <c r="E28" s="16"/>
      <c r="F28" s="16"/>
      <c r="G28" s="18"/>
    </row>
    <row r="29" spans="1:7" x14ac:dyDescent="0.25">
      <c r="A29" s="98" t="s">
        <v>27</v>
      </c>
      <c r="B29" s="98"/>
      <c r="C29" s="16"/>
      <c r="D29" s="16"/>
      <c r="E29" s="16"/>
      <c r="F29" s="16"/>
      <c r="G29" s="18"/>
    </row>
    <row r="30" spans="1:7" x14ac:dyDescent="0.25">
      <c r="A30" s="16"/>
      <c r="B30" s="20" t="s">
        <v>1</v>
      </c>
      <c r="C30" s="16"/>
      <c r="D30" s="16"/>
      <c r="E30" s="16"/>
      <c r="F30" s="16"/>
      <c r="G30" s="18"/>
    </row>
    <row r="31" spans="1:7" x14ac:dyDescent="0.25">
      <c r="A31" s="27">
        <v>3</v>
      </c>
      <c r="B31" s="25" t="s">
        <v>28</v>
      </c>
      <c r="C31" s="95" t="s">
        <v>4</v>
      </c>
      <c r="D31" s="95"/>
      <c r="E31" s="16"/>
      <c r="F31" s="16"/>
      <c r="G31" s="18"/>
    </row>
    <row r="32" spans="1:7" ht="15" customHeight="1" x14ac:dyDescent="0.25">
      <c r="A32" s="25" t="s">
        <v>5</v>
      </c>
      <c r="B32" s="25" t="s">
        <v>29</v>
      </c>
      <c r="C32" s="100">
        <v>169.94</v>
      </c>
      <c r="D32" s="100"/>
      <c r="E32" s="29"/>
      <c r="F32" s="16"/>
      <c r="G32" s="18"/>
    </row>
    <row r="33" spans="1:7" x14ac:dyDescent="0.25">
      <c r="A33" s="25" t="s">
        <v>7</v>
      </c>
      <c r="B33" s="25" t="s">
        <v>30</v>
      </c>
      <c r="C33" s="100">
        <v>0</v>
      </c>
      <c r="D33" s="100"/>
      <c r="E33" s="29"/>
      <c r="F33" s="16"/>
      <c r="G33" s="18"/>
    </row>
    <row r="34" spans="1:7" x14ac:dyDescent="0.25">
      <c r="A34" s="25" t="s">
        <v>9</v>
      </c>
      <c r="B34" s="25" t="s">
        <v>31</v>
      </c>
      <c r="C34" s="100">
        <v>0</v>
      </c>
      <c r="D34" s="100"/>
      <c r="E34" s="29"/>
      <c r="F34" s="16"/>
      <c r="G34" s="18"/>
    </row>
    <row r="35" spans="1:7" x14ac:dyDescent="0.25">
      <c r="A35" s="25" t="s">
        <v>11</v>
      </c>
      <c r="B35" s="25" t="s">
        <v>20</v>
      </c>
      <c r="C35" s="100">
        <v>0</v>
      </c>
      <c r="D35" s="100"/>
      <c r="E35" s="16"/>
      <c r="F35" s="16"/>
      <c r="G35" s="18"/>
    </row>
    <row r="36" spans="1:7" x14ac:dyDescent="0.25">
      <c r="A36" s="88" t="s">
        <v>32</v>
      </c>
      <c r="B36" s="88"/>
      <c r="C36" s="86">
        <f>C32</f>
        <v>169.94</v>
      </c>
      <c r="D36" s="86"/>
      <c r="E36" s="16"/>
      <c r="F36" s="16"/>
      <c r="G36" s="18"/>
    </row>
    <row r="37" spans="1:7" x14ac:dyDescent="0.25">
      <c r="A37" s="16"/>
      <c r="B37" s="16"/>
      <c r="C37" s="16"/>
      <c r="D37" s="16"/>
      <c r="E37" s="16"/>
      <c r="F37" s="16"/>
      <c r="G37" s="18"/>
    </row>
    <row r="38" spans="1:7" x14ac:dyDescent="0.25">
      <c r="A38" s="22" t="s">
        <v>33</v>
      </c>
      <c r="B38" s="22"/>
      <c r="C38" s="16"/>
      <c r="D38" s="16"/>
      <c r="E38" s="16"/>
      <c r="F38" s="16"/>
      <c r="G38" s="18"/>
    </row>
    <row r="39" spans="1:7" x14ac:dyDescent="0.25">
      <c r="A39" s="16"/>
      <c r="B39" s="16"/>
      <c r="C39" s="16"/>
      <c r="D39" s="16"/>
      <c r="E39" s="16"/>
      <c r="F39" s="16"/>
      <c r="G39" s="18"/>
    </row>
    <row r="40" spans="1:7" x14ac:dyDescent="0.25">
      <c r="A40" s="22" t="s">
        <v>34</v>
      </c>
      <c r="B40" s="22"/>
      <c r="C40" s="16"/>
      <c r="D40" s="16"/>
      <c r="E40" s="16"/>
      <c r="F40" s="16"/>
      <c r="G40" s="18"/>
    </row>
    <row r="41" spans="1:7" x14ac:dyDescent="0.25">
      <c r="A41" s="16"/>
      <c r="B41" s="20" t="s">
        <v>1</v>
      </c>
      <c r="C41" s="16"/>
      <c r="D41" s="16"/>
      <c r="E41" s="16"/>
      <c r="F41" s="16"/>
      <c r="G41" s="18"/>
    </row>
    <row r="42" spans="1:7" x14ac:dyDescent="0.25">
      <c r="A42" s="24" t="s">
        <v>35</v>
      </c>
      <c r="B42" s="24" t="s">
        <v>36</v>
      </c>
      <c r="C42" s="30" t="s">
        <v>37</v>
      </c>
      <c r="D42" s="24" t="s">
        <v>4</v>
      </c>
      <c r="E42" s="16"/>
      <c r="F42" s="16"/>
      <c r="G42" s="18"/>
    </row>
    <row r="43" spans="1:7" x14ac:dyDescent="0.25">
      <c r="A43" s="25" t="s">
        <v>5</v>
      </c>
      <c r="B43" s="25" t="s">
        <v>38</v>
      </c>
      <c r="C43" s="31">
        <v>0.2</v>
      </c>
      <c r="D43" s="32">
        <f>C43*C15</f>
        <v>462.18393030303037</v>
      </c>
      <c r="E43" s="16" t="s">
        <v>112</v>
      </c>
      <c r="F43" s="16"/>
      <c r="G43" s="18"/>
    </row>
    <row r="44" spans="1:7" x14ac:dyDescent="0.25">
      <c r="A44" s="25" t="s">
        <v>13</v>
      </c>
      <c r="B44" s="25" t="s">
        <v>39</v>
      </c>
      <c r="C44" s="33">
        <v>2.5000000000000001E-2</v>
      </c>
      <c r="D44" s="32">
        <f>C44*C15</f>
        <v>57.772991287878796</v>
      </c>
      <c r="E44" s="16" t="s">
        <v>113</v>
      </c>
      <c r="F44" s="16"/>
      <c r="G44" s="18"/>
    </row>
    <row r="45" spans="1:7" x14ac:dyDescent="0.25">
      <c r="A45" s="25" t="s">
        <v>19</v>
      </c>
      <c r="B45" s="25" t="s">
        <v>40</v>
      </c>
      <c r="C45" s="31">
        <v>6.0000000000000001E-3</v>
      </c>
      <c r="D45" s="32">
        <f>C45*C15</f>
        <v>13.86551790909091</v>
      </c>
      <c r="E45" s="16" t="s">
        <v>114</v>
      </c>
      <c r="F45" s="16"/>
      <c r="G45" s="18"/>
    </row>
    <row r="46" spans="1:7" x14ac:dyDescent="0.25">
      <c r="A46" s="25" t="s">
        <v>7</v>
      </c>
      <c r="B46" s="25" t="s">
        <v>41</v>
      </c>
      <c r="C46" s="31">
        <v>1.4999999999999999E-2</v>
      </c>
      <c r="D46" s="32">
        <f>C46*C15</f>
        <v>34.663794772727272</v>
      </c>
      <c r="E46" s="16" t="s">
        <v>115</v>
      </c>
      <c r="F46" s="16"/>
      <c r="G46" s="18"/>
    </row>
    <row r="47" spans="1:7" x14ac:dyDescent="0.25">
      <c r="A47" s="25" t="s">
        <v>9</v>
      </c>
      <c r="B47" s="25" t="s">
        <v>42</v>
      </c>
      <c r="C47" s="31">
        <v>0.01</v>
      </c>
      <c r="D47" s="32">
        <f>C47*C15</f>
        <v>23.109196515151517</v>
      </c>
      <c r="E47" s="16" t="s">
        <v>116</v>
      </c>
      <c r="F47" s="16"/>
      <c r="G47" s="18"/>
    </row>
    <row r="48" spans="1:7" x14ac:dyDescent="0.25">
      <c r="A48" s="25" t="s">
        <v>11</v>
      </c>
      <c r="B48" s="25" t="s">
        <v>43</v>
      </c>
      <c r="C48" s="31">
        <v>2E-3</v>
      </c>
      <c r="D48" s="32">
        <f>C48*C15</f>
        <v>4.6218393030303035</v>
      </c>
      <c r="E48" s="16" t="s">
        <v>117</v>
      </c>
      <c r="F48" s="16"/>
      <c r="G48" s="18"/>
    </row>
    <row r="49" spans="1:7" x14ac:dyDescent="0.25">
      <c r="A49" s="25" t="s">
        <v>15</v>
      </c>
      <c r="B49" s="25" t="s">
        <v>44</v>
      </c>
      <c r="C49" s="31">
        <v>0.08</v>
      </c>
      <c r="D49" s="32">
        <f>C49*C15</f>
        <v>184.87357212121213</v>
      </c>
      <c r="E49" s="16" t="s">
        <v>118</v>
      </c>
      <c r="F49" s="16"/>
      <c r="G49" s="18"/>
    </row>
    <row r="50" spans="1:7" x14ac:dyDescent="0.25">
      <c r="A50" s="25" t="s">
        <v>17</v>
      </c>
      <c r="B50" s="25" t="s">
        <v>129</v>
      </c>
      <c r="C50" s="31">
        <v>0.06</v>
      </c>
      <c r="D50" s="32">
        <f>C50*C15</f>
        <v>138.65517909090909</v>
      </c>
      <c r="E50" s="16" t="s">
        <v>119</v>
      </c>
      <c r="F50" s="16"/>
      <c r="G50" s="18"/>
    </row>
    <row r="51" spans="1:7" x14ac:dyDescent="0.25">
      <c r="A51" s="88" t="s">
        <v>45</v>
      </c>
      <c r="B51" s="88"/>
      <c r="C51" s="34">
        <f>SUM(C43:C50)</f>
        <v>0.39800000000000002</v>
      </c>
      <c r="D51" s="35">
        <f>SUM(D43:D50)</f>
        <v>919.7460213030306</v>
      </c>
      <c r="E51" s="16"/>
      <c r="F51" s="16"/>
      <c r="G51" s="18"/>
    </row>
    <row r="52" spans="1:7" x14ac:dyDescent="0.25">
      <c r="A52" s="16"/>
      <c r="B52" s="16"/>
      <c r="C52" s="16"/>
      <c r="D52" s="16"/>
      <c r="E52" s="16"/>
      <c r="F52" s="16"/>
      <c r="G52" s="18"/>
    </row>
    <row r="53" spans="1:7" x14ac:dyDescent="0.25">
      <c r="A53" s="22" t="s">
        <v>46</v>
      </c>
      <c r="B53" s="22"/>
      <c r="C53" s="16"/>
      <c r="D53" s="16"/>
      <c r="E53" s="16"/>
      <c r="F53" s="29"/>
      <c r="G53" s="18"/>
    </row>
    <row r="54" spans="1:7" x14ac:dyDescent="0.25">
      <c r="A54" s="16"/>
      <c r="B54" s="20" t="s">
        <v>1</v>
      </c>
      <c r="C54" s="16"/>
      <c r="D54" s="16"/>
      <c r="E54" s="16"/>
      <c r="F54" s="16"/>
      <c r="G54" s="18"/>
    </row>
    <row r="55" spans="1:7" x14ac:dyDescent="0.25">
      <c r="A55" s="24" t="s">
        <v>47</v>
      </c>
      <c r="B55" s="23" t="s">
        <v>48</v>
      </c>
      <c r="C55" s="30" t="s">
        <v>37</v>
      </c>
      <c r="D55" s="24" t="s">
        <v>4</v>
      </c>
      <c r="E55" s="36"/>
      <c r="F55" s="16"/>
      <c r="G55" s="18"/>
    </row>
    <row r="56" spans="1:7" x14ac:dyDescent="0.25">
      <c r="A56" s="25" t="s">
        <v>5</v>
      </c>
      <c r="B56" s="27" t="s">
        <v>49</v>
      </c>
      <c r="C56" s="31">
        <f>1/12</f>
        <v>8.3333333333333329E-2</v>
      </c>
      <c r="D56" s="32">
        <f>C15*C56</f>
        <v>192.57663762626262</v>
      </c>
      <c r="E56" s="36" t="s">
        <v>120</v>
      </c>
      <c r="F56" s="37"/>
      <c r="G56" s="38"/>
    </row>
    <row r="57" spans="1:7" x14ac:dyDescent="0.25">
      <c r="A57" s="25" t="s">
        <v>7</v>
      </c>
      <c r="B57" s="27" t="s">
        <v>50</v>
      </c>
      <c r="C57" s="39">
        <f>1/3/12</f>
        <v>2.7777777777777776E-2</v>
      </c>
      <c r="D57" s="32">
        <f>C57*C15</f>
        <v>64.192212542087546</v>
      </c>
      <c r="E57" s="36" t="s">
        <v>121</v>
      </c>
      <c r="F57" s="37"/>
      <c r="G57" s="18"/>
    </row>
    <row r="58" spans="1:7" x14ac:dyDescent="0.25">
      <c r="A58" s="88" t="s">
        <v>51</v>
      </c>
      <c r="B58" s="88"/>
      <c r="C58" s="40">
        <f>SUM(C56:C57)</f>
        <v>0.1111111111111111</v>
      </c>
      <c r="D58" s="35">
        <f>SUM(D56:D57)</f>
        <v>256.76885016835018</v>
      </c>
      <c r="E58" s="16"/>
      <c r="F58" s="16"/>
      <c r="G58" s="18"/>
    </row>
    <row r="59" spans="1:7" x14ac:dyDescent="0.25">
      <c r="A59" s="25" t="s">
        <v>9</v>
      </c>
      <c r="B59" s="27" t="s">
        <v>52</v>
      </c>
      <c r="C59" s="31">
        <f>C51*C58</f>
        <v>4.4222222222222225E-2</v>
      </c>
      <c r="D59" s="32">
        <f>C51*D58</f>
        <v>102.19400236700338</v>
      </c>
      <c r="E59" s="16"/>
      <c r="F59" s="16"/>
      <c r="G59" s="18"/>
    </row>
    <row r="60" spans="1:7" x14ac:dyDescent="0.25">
      <c r="A60" s="88" t="s">
        <v>45</v>
      </c>
      <c r="B60" s="88"/>
      <c r="C60" s="40">
        <f>SUM(C58:C59)</f>
        <v>0.15533333333333332</v>
      </c>
      <c r="D60" s="35">
        <f>SUM(D58:D59)</f>
        <v>358.96285253535359</v>
      </c>
      <c r="E60" s="16"/>
      <c r="F60" s="16"/>
      <c r="G60" s="18"/>
    </row>
    <row r="61" spans="1:7" x14ac:dyDescent="0.25">
      <c r="A61" s="16"/>
      <c r="B61" s="16"/>
      <c r="C61" s="16"/>
      <c r="D61" s="16"/>
      <c r="E61" s="16"/>
      <c r="F61" s="16"/>
      <c r="G61" s="18"/>
    </row>
    <row r="62" spans="1:7" x14ac:dyDescent="0.25">
      <c r="A62" s="22" t="s">
        <v>53</v>
      </c>
      <c r="B62" s="16"/>
      <c r="C62" s="16"/>
      <c r="D62" s="16"/>
      <c r="E62" s="16"/>
      <c r="F62" s="16"/>
      <c r="G62" s="18"/>
    </row>
    <row r="63" spans="1:7" x14ac:dyDescent="0.25">
      <c r="A63" s="16"/>
      <c r="B63" s="20" t="s">
        <v>1</v>
      </c>
      <c r="C63" s="16"/>
      <c r="D63" s="16"/>
      <c r="E63" s="16"/>
      <c r="F63" s="36"/>
      <c r="G63" s="18"/>
    </row>
    <row r="64" spans="1:7" x14ac:dyDescent="0.25">
      <c r="A64" s="24" t="s">
        <v>54</v>
      </c>
      <c r="B64" s="23" t="s">
        <v>55</v>
      </c>
      <c r="C64" s="30" t="s">
        <v>37</v>
      </c>
      <c r="D64" s="24" t="s">
        <v>4</v>
      </c>
      <c r="E64" s="16"/>
      <c r="F64" s="16"/>
      <c r="G64" s="18"/>
    </row>
    <row r="65" spans="1:8" ht="35.25" x14ac:dyDescent="0.25">
      <c r="A65" s="25" t="s">
        <v>5</v>
      </c>
      <c r="B65" s="27" t="s">
        <v>56</v>
      </c>
      <c r="C65" s="41">
        <f>4/3*4/12/12*2%</f>
        <v>7.407407407407407E-4</v>
      </c>
      <c r="D65" s="32">
        <f>C65*C15</f>
        <v>1.7117923344556678</v>
      </c>
      <c r="E65" s="42" t="s">
        <v>122</v>
      </c>
      <c r="F65" s="16"/>
      <c r="G65" s="18"/>
      <c r="H65" s="2"/>
    </row>
    <row r="66" spans="1:8" x14ac:dyDescent="0.25">
      <c r="A66" s="25" t="s">
        <v>57</v>
      </c>
      <c r="B66" s="27" t="s">
        <v>58</v>
      </c>
      <c r="C66" s="41">
        <f>C65*C51</f>
        <v>2.9481481481481481E-4</v>
      </c>
      <c r="D66" s="32">
        <f>C66*C15</f>
        <v>0.68129334911335582</v>
      </c>
      <c r="E66" s="16"/>
      <c r="F66" s="16"/>
      <c r="G66" s="16"/>
    </row>
    <row r="67" spans="1:8" ht="22.5" x14ac:dyDescent="0.25">
      <c r="A67" s="25" t="s">
        <v>59</v>
      </c>
      <c r="B67" s="43" t="s">
        <v>165</v>
      </c>
      <c r="C67" s="41">
        <f>(13/12*4/12*2%)*C51</f>
        <v>2.8744444444444447E-3</v>
      </c>
      <c r="D67" s="32">
        <f>C15*C67</f>
        <v>6.6426101538552196</v>
      </c>
      <c r="E67" s="16"/>
      <c r="F67" s="16"/>
      <c r="G67" s="16"/>
    </row>
    <row r="68" spans="1:8" x14ac:dyDescent="0.25">
      <c r="A68" s="88" t="s">
        <v>45</v>
      </c>
      <c r="B68" s="88"/>
      <c r="C68" s="44">
        <f>SUM(C65:C67)</f>
        <v>3.9100000000000003E-3</v>
      </c>
      <c r="D68" s="35">
        <f>SUM(D65:D67)</f>
        <v>9.0356958374242424</v>
      </c>
      <c r="E68" s="16"/>
      <c r="F68" s="16"/>
      <c r="G68" s="16"/>
    </row>
    <row r="69" spans="1:8" x14ac:dyDescent="0.25">
      <c r="A69" s="16"/>
      <c r="B69" s="16"/>
      <c r="C69" s="16"/>
      <c r="D69" s="16"/>
      <c r="E69" s="16"/>
      <c r="F69" s="16"/>
      <c r="G69" s="16"/>
    </row>
    <row r="70" spans="1:8" x14ac:dyDescent="0.25">
      <c r="A70" s="22" t="s">
        <v>60</v>
      </c>
      <c r="B70" s="16"/>
      <c r="C70" s="16"/>
      <c r="D70" s="16"/>
      <c r="E70" s="16"/>
      <c r="F70" s="16"/>
      <c r="G70" s="16"/>
    </row>
    <row r="71" spans="1:8" x14ac:dyDescent="0.25">
      <c r="A71" s="16"/>
      <c r="B71" s="20" t="s">
        <v>1</v>
      </c>
      <c r="C71" s="16"/>
      <c r="D71" s="16"/>
      <c r="E71" s="16"/>
      <c r="F71" s="16"/>
      <c r="G71" s="16"/>
    </row>
    <row r="72" spans="1:8" s="4" customFormat="1" ht="12.75" x14ac:dyDescent="0.2">
      <c r="A72" s="24" t="s">
        <v>61</v>
      </c>
      <c r="B72" s="23" t="s">
        <v>62</v>
      </c>
      <c r="C72" s="30" t="s">
        <v>37</v>
      </c>
      <c r="D72" s="24" t="s">
        <v>4</v>
      </c>
      <c r="E72" s="22"/>
      <c r="F72" s="22"/>
      <c r="G72" s="22"/>
    </row>
    <row r="73" spans="1:8" ht="46.5" x14ac:dyDescent="0.25">
      <c r="A73" s="25" t="s">
        <v>5</v>
      </c>
      <c r="B73" s="45" t="s">
        <v>63</v>
      </c>
      <c r="C73" s="41">
        <f>(1/12*1.5+1/30*3/12)*5%</f>
        <v>6.6666666666666671E-3</v>
      </c>
      <c r="D73" s="32">
        <f>C73*C15</f>
        <v>15.406131010101012</v>
      </c>
      <c r="E73" s="42" t="s">
        <v>123</v>
      </c>
      <c r="F73" s="16"/>
      <c r="G73" s="18"/>
    </row>
    <row r="74" spans="1:8" x14ac:dyDescent="0.25">
      <c r="A74" s="25" t="s">
        <v>7</v>
      </c>
      <c r="B74" s="27" t="s">
        <v>64</v>
      </c>
      <c r="C74" s="41">
        <f>C49*C73</f>
        <v>5.3333333333333336E-4</v>
      </c>
      <c r="D74" s="32">
        <f>C74*C15</f>
        <v>1.232490480808081</v>
      </c>
      <c r="E74" s="46"/>
      <c r="F74" s="16"/>
      <c r="G74" s="18"/>
    </row>
    <row r="75" spans="1:8" ht="46.5" x14ac:dyDescent="0.25">
      <c r="A75" s="25" t="s">
        <v>65</v>
      </c>
      <c r="B75" s="45" t="s">
        <v>66</v>
      </c>
      <c r="C75" s="41">
        <f>0.4*C49</f>
        <v>3.2000000000000001E-2</v>
      </c>
      <c r="D75" s="47">
        <f>C75*C15</f>
        <v>73.949428848484857</v>
      </c>
      <c r="E75" s="42" t="s">
        <v>124</v>
      </c>
      <c r="F75" s="16"/>
      <c r="G75" s="18"/>
    </row>
    <row r="76" spans="1:8" ht="17.25" customHeight="1" x14ac:dyDescent="0.25">
      <c r="A76" s="25" t="s">
        <v>67</v>
      </c>
      <c r="B76" s="45" t="s">
        <v>68</v>
      </c>
      <c r="C76" s="41">
        <f>C49*10%</f>
        <v>8.0000000000000002E-3</v>
      </c>
      <c r="D76" s="47">
        <f>C76*C15</f>
        <v>18.487357212121214</v>
      </c>
      <c r="E76" s="42" t="s">
        <v>125</v>
      </c>
      <c r="F76" s="16"/>
      <c r="G76" s="18"/>
    </row>
    <row r="77" spans="1:8" ht="35.25" x14ac:dyDescent="0.25">
      <c r="A77" s="25" t="s">
        <v>11</v>
      </c>
      <c r="B77" s="45" t="s">
        <v>69</v>
      </c>
      <c r="C77" s="41">
        <f>7/30/12*100%</f>
        <v>1.9444444444444445E-2</v>
      </c>
      <c r="D77" s="47">
        <f>C77*C15</f>
        <v>44.934548779461281</v>
      </c>
      <c r="E77" s="42" t="s">
        <v>126</v>
      </c>
      <c r="F77" s="46"/>
      <c r="G77" s="18"/>
    </row>
    <row r="78" spans="1:8" x14ac:dyDescent="0.25">
      <c r="A78" s="25" t="s">
        <v>13</v>
      </c>
      <c r="B78" s="45" t="s">
        <v>70</v>
      </c>
      <c r="C78" s="41">
        <f>C51*C77</f>
        <v>7.7388888888888898E-3</v>
      </c>
      <c r="D78" s="32">
        <f>C78*C15</f>
        <v>17.883950414225591</v>
      </c>
      <c r="E78" s="48"/>
      <c r="F78" s="16"/>
      <c r="G78" s="18"/>
    </row>
    <row r="79" spans="1:8" ht="46.5" x14ac:dyDescent="0.25">
      <c r="A79" s="25" t="s">
        <v>71</v>
      </c>
      <c r="B79" s="45" t="s">
        <v>72</v>
      </c>
      <c r="C79" s="41">
        <f>1/12*1%</f>
        <v>8.3333333333333328E-4</v>
      </c>
      <c r="D79" s="47">
        <f>C79*C7</f>
        <v>1.2962833333333332</v>
      </c>
      <c r="E79" s="49" t="s">
        <v>127</v>
      </c>
      <c r="F79" s="46"/>
      <c r="G79" s="18"/>
    </row>
    <row r="80" spans="1:8" x14ac:dyDescent="0.25">
      <c r="A80" s="88" t="s">
        <v>45</v>
      </c>
      <c r="B80" s="88"/>
      <c r="C80" s="44">
        <f>SUM(C73:C79)</f>
        <v>7.5216666666666682E-2</v>
      </c>
      <c r="D80" s="50">
        <f>SUM(D73:D79)</f>
        <v>173.19019007853532</v>
      </c>
      <c r="E80" s="46"/>
      <c r="F80" s="16"/>
      <c r="G80" s="18"/>
    </row>
    <row r="81" spans="1:7" x14ac:dyDescent="0.25">
      <c r="A81" s="16"/>
      <c r="B81" s="16"/>
      <c r="C81" s="16"/>
      <c r="D81" s="16"/>
      <c r="E81" s="16"/>
      <c r="F81" s="16"/>
      <c r="G81" s="18"/>
    </row>
    <row r="82" spans="1:7" x14ac:dyDescent="0.25">
      <c r="A82" s="22" t="s">
        <v>73</v>
      </c>
      <c r="B82" s="16"/>
      <c r="C82" s="16"/>
      <c r="D82" s="16"/>
      <c r="E82" s="16"/>
      <c r="F82" s="16"/>
      <c r="G82" s="18"/>
    </row>
    <row r="83" spans="1:7" x14ac:dyDescent="0.25">
      <c r="A83" s="16"/>
      <c r="B83" s="20" t="s">
        <v>1</v>
      </c>
      <c r="C83" s="16"/>
      <c r="D83" s="16"/>
      <c r="E83" s="16"/>
      <c r="F83" s="16"/>
      <c r="G83" s="18"/>
    </row>
    <row r="84" spans="1:7" x14ac:dyDescent="0.25">
      <c r="A84" s="24" t="s">
        <v>74</v>
      </c>
      <c r="B84" s="24" t="s">
        <v>75</v>
      </c>
      <c r="C84" s="30" t="s">
        <v>37</v>
      </c>
      <c r="D84" s="24" t="s">
        <v>4</v>
      </c>
      <c r="E84" s="16"/>
      <c r="F84" s="16"/>
      <c r="G84" s="18"/>
    </row>
    <row r="85" spans="1:7" x14ac:dyDescent="0.25">
      <c r="A85" s="25" t="s">
        <v>5</v>
      </c>
      <c r="B85" s="27" t="s">
        <v>76</v>
      </c>
      <c r="C85" s="41">
        <f>1/12</f>
        <v>8.3333333333333329E-2</v>
      </c>
      <c r="D85" s="32">
        <f>C85*C15</f>
        <v>192.57663762626262</v>
      </c>
      <c r="E85" s="51" t="s">
        <v>130</v>
      </c>
      <c r="F85" s="16"/>
      <c r="G85" s="18"/>
    </row>
    <row r="86" spans="1:7" ht="24" x14ac:dyDescent="0.25">
      <c r="A86" s="25" t="s">
        <v>7</v>
      </c>
      <c r="B86" s="27" t="s">
        <v>77</v>
      </c>
      <c r="C86" s="41">
        <f>5/365*30%</f>
        <v>4.10958904109589E-3</v>
      </c>
      <c r="D86" s="32">
        <f>C86*C15</f>
        <v>9.4969300747198009</v>
      </c>
      <c r="E86" s="42" t="s">
        <v>131</v>
      </c>
      <c r="F86" s="16"/>
      <c r="G86" s="18"/>
    </row>
    <row r="87" spans="1:7" ht="35.25" x14ac:dyDescent="0.25">
      <c r="A87" s="25" t="s">
        <v>9</v>
      </c>
      <c r="B87" s="27" t="s">
        <v>78</v>
      </c>
      <c r="C87" s="41">
        <f>5/365*1%</f>
        <v>1.36986301369863E-4</v>
      </c>
      <c r="D87" s="32">
        <f>C87*C15</f>
        <v>0.31656433582399335</v>
      </c>
      <c r="E87" s="42" t="s">
        <v>132</v>
      </c>
      <c r="F87" s="16"/>
      <c r="G87" s="18"/>
    </row>
    <row r="88" spans="1:7" ht="35.25" x14ac:dyDescent="0.25">
      <c r="A88" s="25" t="s">
        <v>11</v>
      </c>
      <c r="B88" s="27" t="s">
        <v>79</v>
      </c>
      <c r="C88" s="41">
        <f>3/365*5%+2/365*2%+2/365*2%</f>
        <v>6.3013698630136989E-4</v>
      </c>
      <c r="D88" s="32">
        <f>C88*C15</f>
        <v>1.4561959447903696</v>
      </c>
      <c r="E88" s="42" t="s">
        <v>133</v>
      </c>
      <c r="F88" s="16"/>
      <c r="G88" s="18"/>
    </row>
    <row r="89" spans="1:7" ht="24" x14ac:dyDescent="0.25">
      <c r="A89" s="25" t="s">
        <v>13</v>
      </c>
      <c r="B89" s="27" t="s">
        <v>80</v>
      </c>
      <c r="C89" s="41">
        <f>15/365*8%</f>
        <v>3.2876712328767121E-3</v>
      </c>
      <c r="D89" s="32">
        <f>C89*C15</f>
        <v>7.5975440597758404</v>
      </c>
      <c r="E89" s="42" t="s">
        <v>134</v>
      </c>
      <c r="F89" s="16"/>
      <c r="G89" s="18"/>
    </row>
    <row r="90" spans="1:7" x14ac:dyDescent="0.25">
      <c r="A90" s="88" t="s">
        <v>51</v>
      </c>
      <c r="B90" s="88"/>
      <c r="C90" s="44">
        <f>SUM(C85:C89)</f>
        <v>9.1497716894977155E-2</v>
      </c>
      <c r="D90" s="35">
        <f>SUM(D85:D89)</f>
        <v>211.44387204137263</v>
      </c>
      <c r="E90" s="16"/>
      <c r="F90" s="16"/>
      <c r="G90" s="18"/>
    </row>
    <row r="91" spans="1:7" x14ac:dyDescent="0.25">
      <c r="A91" s="25" t="s">
        <v>17</v>
      </c>
      <c r="B91" s="27" t="s">
        <v>81</v>
      </c>
      <c r="C91" s="41">
        <f>C51*C90</f>
        <v>3.6416091324200907E-2</v>
      </c>
      <c r="D91" s="32">
        <f>D90*C51</f>
        <v>84.154661072466311</v>
      </c>
      <c r="E91" s="16"/>
      <c r="F91" s="16"/>
      <c r="G91" s="18"/>
    </row>
    <row r="92" spans="1:7" x14ac:dyDescent="0.25">
      <c r="A92" s="88" t="s">
        <v>45</v>
      </c>
      <c r="B92" s="99"/>
      <c r="C92" s="44">
        <f>SUM(C90:C91)</f>
        <v>0.12791380821917805</v>
      </c>
      <c r="D92" s="35">
        <f>SUM(D90:D91)</f>
        <v>295.59853311383893</v>
      </c>
      <c r="E92" s="16"/>
      <c r="F92" s="16"/>
      <c r="G92" s="18"/>
    </row>
    <row r="93" spans="1:7" x14ac:dyDescent="0.25">
      <c r="A93" s="16"/>
      <c r="B93" s="16"/>
      <c r="C93" s="16"/>
      <c r="D93" s="16"/>
      <c r="E93" s="16"/>
      <c r="F93" s="16"/>
      <c r="G93" s="18"/>
    </row>
    <row r="94" spans="1:7" x14ac:dyDescent="0.25">
      <c r="A94" s="22" t="s">
        <v>82</v>
      </c>
      <c r="B94" s="16"/>
      <c r="C94" s="16"/>
      <c r="D94" s="16"/>
      <c r="E94" s="16"/>
      <c r="F94" s="16"/>
      <c r="G94" s="18"/>
    </row>
    <row r="95" spans="1:7" x14ac:dyDescent="0.25">
      <c r="A95" s="16"/>
      <c r="B95" s="20" t="s">
        <v>1</v>
      </c>
      <c r="C95" s="16"/>
      <c r="D95" s="16"/>
      <c r="E95" s="16"/>
      <c r="F95" s="16"/>
      <c r="G95" s="18"/>
    </row>
    <row r="96" spans="1:7" s="4" customFormat="1" ht="12.75" x14ac:dyDescent="0.2">
      <c r="A96" s="23">
        <v>4</v>
      </c>
      <c r="B96" s="23" t="s">
        <v>83</v>
      </c>
      <c r="C96" s="30" t="s">
        <v>37</v>
      </c>
      <c r="D96" s="24" t="s">
        <v>4</v>
      </c>
      <c r="E96" s="22"/>
      <c r="F96" s="22"/>
      <c r="G96" s="22"/>
    </row>
    <row r="97" spans="1:7" x14ac:dyDescent="0.25">
      <c r="A97" s="25" t="s">
        <v>35</v>
      </c>
      <c r="B97" s="27" t="s">
        <v>84</v>
      </c>
      <c r="C97" s="41">
        <f>C60</f>
        <v>0.15533333333333332</v>
      </c>
      <c r="D97" s="32">
        <f>D60</f>
        <v>358.96285253535359</v>
      </c>
      <c r="E97" s="16"/>
      <c r="F97" s="16"/>
      <c r="G97" s="18"/>
    </row>
    <row r="98" spans="1:7" x14ac:dyDescent="0.25">
      <c r="A98" s="25" t="s">
        <v>47</v>
      </c>
      <c r="B98" s="27" t="s">
        <v>36</v>
      </c>
      <c r="C98" s="41">
        <f>C51</f>
        <v>0.39800000000000002</v>
      </c>
      <c r="D98" s="32">
        <f>D51</f>
        <v>919.7460213030306</v>
      </c>
      <c r="E98" s="16"/>
      <c r="F98" s="16"/>
      <c r="G98" s="18"/>
    </row>
    <row r="99" spans="1:7" x14ac:dyDescent="0.25">
      <c r="A99" s="25" t="s">
        <v>54</v>
      </c>
      <c r="B99" s="27" t="s">
        <v>85</v>
      </c>
      <c r="C99" s="41">
        <f>C68</f>
        <v>3.9100000000000003E-3</v>
      </c>
      <c r="D99" s="32">
        <f>D68</f>
        <v>9.0356958374242424</v>
      </c>
      <c r="E99" s="16"/>
      <c r="F99" s="16"/>
      <c r="G99" s="18"/>
    </row>
    <row r="100" spans="1:7" x14ac:dyDescent="0.25">
      <c r="A100" s="25" t="s">
        <v>61</v>
      </c>
      <c r="B100" s="27" t="s">
        <v>86</v>
      </c>
      <c r="C100" s="41">
        <f>C80</f>
        <v>7.5216666666666682E-2</v>
      </c>
      <c r="D100" s="32">
        <f>D80</f>
        <v>173.19019007853532</v>
      </c>
      <c r="E100" s="16"/>
      <c r="F100" s="16"/>
      <c r="G100" s="18"/>
    </row>
    <row r="101" spans="1:7" x14ac:dyDescent="0.25">
      <c r="A101" s="25" t="s">
        <v>74</v>
      </c>
      <c r="B101" s="27" t="s">
        <v>87</v>
      </c>
      <c r="C101" s="41">
        <f>C92</f>
        <v>0.12791380821917805</v>
      </c>
      <c r="D101" s="32">
        <f>D92</f>
        <v>295.59853311383893</v>
      </c>
      <c r="E101" s="16"/>
      <c r="F101" s="16"/>
      <c r="G101" s="18"/>
    </row>
    <row r="102" spans="1:7" x14ac:dyDescent="0.25">
      <c r="A102" s="25" t="s">
        <v>88</v>
      </c>
      <c r="B102" s="27" t="s">
        <v>20</v>
      </c>
      <c r="C102" s="41">
        <f>C93</f>
        <v>0</v>
      </c>
      <c r="D102" s="32">
        <v>0</v>
      </c>
      <c r="E102" s="16"/>
      <c r="F102" s="16"/>
      <c r="G102" s="18"/>
    </row>
    <row r="103" spans="1:7" x14ac:dyDescent="0.25">
      <c r="A103" s="102" t="s">
        <v>45</v>
      </c>
      <c r="B103" s="103"/>
      <c r="C103" s="44">
        <f>SUM(C97:C102)</f>
        <v>0.7603738082191781</v>
      </c>
      <c r="D103" s="35">
        <f>SUM(D97:D102)</f>
        <v>1756.5332928681828</v>
      </c>
      <c r="E103" s="16"/>
      <c r="F103" s="16"/>
      <c r="G103" s="18"/>
    </row>
    <row r="104" spans="1:7" x14ac:dyDescent="0.25">
      <c r="A104" s="16"/>
      <c r="B104" s="16"/>
      <c r="C104" s="16"/>
      <c r="D104" s="16"/>
      <c r="E104" s="16"/>
      <c r="F104" s="16"/>
      <c r="G104" s="18"/>
    </row>
    <row r="105" spans="1:7" x14ac:dyDescent="0.25">
      <c r="A105" s="104" t="s">
        <v>89</v>
      </c>
      <c r="B105" s="105"/>
      <c r="C105" s="106"/>
      <c r="D105" s="35">
        <f>D103+C36+C27+C15</f>
        <v>4613.2818843833347</v>
      </c>
      <c r="E105" s="16"/>
      <c r="F105" s="16"/>
      <c r="G105" s="18"/>
    </row>
    <row r="106" spans="1:7" x14ac:dyDescent="0.25">
      <c r="A106" s="16"/>
      <c r="B106" s="16"/>
      <c r="C106" s="16"/>
      <c r="D106" s="16"/>
      <c r="E106" s="16"/>
      <c r="F106" s="16"/>
      <c r="G106" s="18"/>
    </row>
    <row r="107" spans="1:7" s="4" customFormat="1" ht="12.75" x14ac:dyDescent="0.2">
      <c r="A107" s="22" t="s">
        <v>90</v>
      </c>
      <c r="B107" s="22"/>
      <c r="C107" s="22"/>
      <c r="D107" s="22"/>
      <c r="E107" s="22"/>
      <c r="F107" s="22"/>
      <c r="G107" s="22"/>
    </row>
    <row r="108" spans="1:7" x14ac:dyDescent="0.25">
      <c r="A108" s="16"/>
      <c r="B108" s="20" t="s">
        <v>1</v>
      </c>
      <c r="C108" s="16"/>
      <c r="D108" s="16"/>
      <c r="E108" s="16"/>
      <c r="F108" s="16"/>
      <c r="G108" s="18"/>
    </row>
    <row r="109" spans="1:7" x14ac:dyDescent="0.25">
      <c r="A109" s="23">
        <v>5</v>
      </c>
      <c r="B109" s="24" t="s">
        <v>91</v>
      </c>
      <c r="C109" s="30" t="s">
        <v>37</v>
      </c>
      <c r="D109" s="24" t="s">
        <v>4</v>
      </c>
      <c r="E109" s="16"/>
      <c r="F109" s="16"/>
      <c r="G109" s="18"/>
    </row>
    <row r="110" spans="1:7" x14ac:dyDescent="0.25">
      <c r="A110" s="25" t="s">
        <v>5</v>
      </c>
      <c r="B110" s="25" t="s">
        <v>92</v>
      </c>
      <c r="C110" s="31">
        <v>0.05</v>
      </c>
      <c r="D110" s="32">
        <f>(D103+C36+C27+C15)*C110</f>
        <v>230.66409421916674</v>
      </c>
      <c r="E110" s="68" t="s">
        <v>135</v>
      </c>
      <c r="F110" s="69"/>
      <c r="G110" s="18"/>
    </row>
    <row r="111" spans="1:7" x14ac:dyDescent="0.25">
      <c r="A111" s="25" t="s">
        <v>7</v>
      </c>
      <c r="B111" s="25" t="s">
        <v>93</v>
      </c>
      <c r="C111" s="31">
        <v>0.1</v>
      </c>
      <c r="D111" s="32">
        <f>(D103+C36+C27+C15+D110)*C111</f>
        <v>484.3945978602502</v>
      </c>
      <c r="E111" s="68" t="s">
        <v>136</v>
      </c>
      <c r="F111" s="69"/>
      <c r="G111" s="18"/>
    </row>
    <row r="112" spans="1:7" x14ac:dyDescent="0.25">
      <c r="A112" s="25" t="s">
        <v>9</v>
      </c>
      <c r="B112" s="25" t="s">
        <v>94</v>
      </c>
      <c r="C112" s="53"/>
      <c r="D112" s="32"/>
      <c r="E112" s="16"/>
      <c r="F112" s="16"/>
      <c r="G112" s="18"/>
    </row>
    <row r="113" spans="1:7" x14ac:dyDescent="0.25">
      <c r="A113" s="25"/>
      <c r="B113" s="25" t="s">
        <v>95</v>
      </c>
      <c r="C113" s="54">
        <f>1-(C114+C116)</f>
        <v>0.85749999999999993</v>
      </c>
      <c r="D113" s="32">
        <f>(D103+C36+C27+C15+D110+D111)/C113</f>
        <v>6213.8082524346974</v>
      </c>
      <c r="E113" s="16"/>
      <c r="F113" s="16"/>
      <c r="G113" s="18"/>
    </row>
    <row r="114" spans="1:7" x14ac:dyDescent="0.25">
      <c r="A114" s="25"/>
      <c r="B114" s="25" t="s">
        <v>96</v>
      </c>
      <c r="C114" s="31">
        <f>1.65% +7.6%</f>
        <v>9.2499999999999999E-2</v>
      </c>
      <c r="D114" s="55">
        <f>C114*D113</f>
        <v>574.77726335020952</v>
      </c>
      <c r="E114" s="16"/>
      <c r="F114" s="16"/>
      <c r="G114" s="18"/>
    </row>
    <row r="115" spans="1:7" x14ac:dyDescent="0.25">
      <c r="A115" s="25"/>
      <c r="B115" s="25" t="s">
        <v>97</v>
      </c>
      <c r="C115" s="53"/>
      <c r="D115" s="32"/>
      <c r="E115" s="16"/>
      <c r="F115" s="16"/>
      <c r="G115" s="18"/>
    </row>
    <row r="116" spans="1:7" x14ac:dyDescent="0.25">
      <c r="A116" s="25"/>
      <c r="B116" s="25" t="s">
        <v>98</v>
      </c>
      <c r="C116" s="31">
        <v>0.05</v>
      </c>
      <c r="D116" s="55">
        <f>D113*C116</f>
        <v>310.69041262173488</v>
      </c>
      <c r="E116" s="16"/>
      <c r="F116" s="16"/>
      <c r="G116" s="18"/>
    </row>
    <row r="117" spans="1:7" x14ac:dyDescent="0.25">
      <c r="A117" s="25"/>
      <c r="B117" s="25" t="s">
        <v>99</v>
      </c>
      <c r="C117" s="53"/>
      <c r="D117" s="32"/>
      <c r="E117" s="16"/>
      <c r="F117" s="16"/>
      <c r="G117" s="18"/>
    </row>
    <row r="118" spans="1:7" x14ac:dyDescent="0.25">
      <c r="A118" s="88" t="s">
        <v>100</v>
      </c>
      <c r="B118" s="88"/>
      <c r="C118" s="88"/>
      <c r="D118" s="35">
        <f>SUM(D110,D114,D116,D111)</f>
        <v>1600.5263680513613</v>
      </c>
      <c r="E118" s="16"/>
      <c r="F118" s="16"/>
      <c r="G118" s="18"/>
    </row>
    <row r="119" spans="1:7" x14ac:dyDescent="0.25">
      <c r="A119" s="16"/>
      <c r="B119" s="16"/>
      <c r="C119" s="16"/>
      <c r="D119" s="16"/>
      <c r="E119" s="16"/>
      <c r="F119" s="16"/>
      <c r="G119" s="18"/>
    </row>
    <row r="120" spans="1:7" x14ac:dyDescent="0.25">
      <c r="A120" s="22" t="s">
        <v>101</v>
      </c>
      <c r="B120" s="16"/>
      <c r="C120" s="16"/>
      <c r="D120" s="16"/>
      <c r="E120" s="16"/>
      <c r="F120" s="16"/>
      <c r="G120" s="18"/>
    </row>
    <row r="121" spans="1:7" x14ac:dyDescent="0.25">
      <c r="A121" s="16"/>
      <c r="B121" s="20" t="s">
        <v>1</v>
      </c>
      <c r="C121" s="16"/>
      <c r="D121" s="16"/>
      <c r="E121" s="16"/>
      <c r="F121" s="16"/>
      <c r="G121" s="18"/>
    </row>
    <row r="122" spans="1:7" s="4" customFormat="1" ht="12.75" x14ac:dyDescent="0.2">
      <c r="A122" s="24"/>
      <c r="B122" s="88" t="s">
        <v>102</v>
      </c>
      <c r="C122" s="88"/>
      <c r="D122" s="30" t="s">
        <v>103</v>
      </c>
      <c r="E122" s="22"/>
      <c r="F122" s="22"/>
      <c r="G122" s="22"/>
    </row>
    <row r="123" spans="1:7" x14ac:dyDescent="0.25">
      <c r="A123" s="25" t="s">
        <v>5</v>
      </c>
      <c r="B123" s="101" t="s">
        <v>104</v>
      </c>
      <c r="C123" s="101"/>
      <c r="D123" s="56">
        <f>C15</f>
        <v>2310.9196515151516</v>
      </c>
      <c r="E123" s="16"/>
      <c r="F123" s="16"/>
      <c r="G123" s="18"/>
    </row>
    <row r="124" spans="1:7" x14ac:dyDescent="0.25">
      <c r="A124" s="25" t="s">
        <v>7</v>
      </c>
      <c r="B124" s="101" t="s">
        <v>105</v>
      </c>
      <c r="C124" s="101"/>
      <c r="D124" s="56">
        <f>C27</f>
        <v>375.88894000000005</v>
      </c>
      <c r="E124" s="16"/>
      <c r="F124" s="16"/>
      <c r="G124" s="18"/>
    </row>
    <row r="125" spans="1:7" x14ac:dyDescent="0.25">
      <c r="A125" s="57" t="s">
        <v>9</v>
      </c>
      <c r="B125" s="101" t="s">
        <v>106</v>
      </c>
      <c r="C125" s="99"/>
      <c r="D125" s="56">
        <f>C36</f>
        <v>169.94</v>
      </c>
      <c r="E125" s="16"/>
      <c r="F125" s="16"/>
      <c r="G125" s="18"/>
    </row>
    <row r="126" spans="1:7" x14ac:dyDescent="0.25">
      <c r="A126" s="25" t="s">
        <v>11</v>
      </c>
      <c r="B126" s="58" t="s">
        <v>107</v>
      </c>
      <c r="C126" s="39">
        <f>C51+C60+C68+C80+C92</f>
        <v>0.7603738082191781</v>
      </c>
      <c r="D126" s="56">
        <f>D103</f>
        <v>1756.5332928681828</v>
      </c>
      <c r="E126" s="59"/>
      <c r="F126" s="16"/>
      <c r="G126" s="18"/>
    </row>
    <row r="127" spans="1:7" x14ac:dyDescent="0.25">
      <c r="A127" s="25"/>
      <c r="B127" s="101" t="s">
        <v>108</v>
      </c>
      <c r="C127" s="99"/>
      <c r="D127" s="56">
        <f>SUM(D123:D126)</f>
        <v>4613.2818843833338</v>
      </c>
      <c r="E127" s="60">
        <f>SUM(C15+C27+C36+D103)/0.9135</f>
        <v>5050.1170053457408</v>
      </c>
      <c r="F127" s="16"/>
      <c r="G127" s="18"/>
    </row>
    <row r="128" spans="1:7" x14ac:dyDescent="0.25">
      <c r="A128" s="25" t="s">
        <v>13</v>
      </c>
      <c r="B128" s="101" t="s">
        <v>109</v>
      </c>
      <c r="C128" s="101"/>
      <c r="D128" s="61">
        <f>SUM(D118)</f>
        <v>1600.5263680513613</v>
      </c>
      <c r="E128" s="62"/>
      <c r="F128" s="16"/>
      <c r="G128" s="18"/>
    </row>
    <row r="129" spans="1:7" x14ac:dyDescent="0.25">
      <c r="A129" s="88" t="s">
        <v>110</v>
      </c>
      <c r="B129" s="88"/>
      <c r="C129" s="88"/>
      <c r="D129" s="61">
        <f>SUM(D127+D128)</f>
        <v>6213.8082524346955</v>
      </c>
      <c r="E129" s="16"/>
      <c r="F129" s="16"/>
      <c r="G129" s="18"/>
    </row>
    <row r="130" spans="1:7" x14ac:dyDescent="0.25">
      <c r="A130" s="16"/>
      <c r="B130" s="16"/>
      <c r="C130" s="16"/>
      <c r="D130" s="16"/>
      <c r="E130" s="16"/>
      <c r="F130" s="16"/>
      <c r="G130" s="18"/>
    </row>
    <row r="131" spans="1:7" x14ac:dyDescent="0.25">
      <c r="A131" s="16"/>
      <c r="B131" s="16"/>
      <c r="C131" s="16"/>
      <c r="D131" s="16"/>
      <c r="E131" s="16"/>
      <c r="F131" s="16"/>
      <c r="G131" s="18"/>
    </row>
    <row r="132" spans="1:7" x14ac:dyDescent="0.25">
      <c r="A132" s="18"/>
      <c r="B132" s="63" t="s">
        <v>148</v>
      </c>
      <c r="C132" s="64">
        <f>D129</f>
        <v>6213.8082524346955</v>
      </c>
      <c r="D132" s="18"/>
      <c r="E132" s="18"/>
      <c r="F132" s="18"/>
      <c r="G132" s="18"/>
    </row>
    <row r="133" spans="1:7" x14ac:dyDescent="0.25">
      <c r="A133" s="18"/>
      <c r="B133" s="63" t="s">
        <v>153</v>
      </c>
      <c r="C133" s="65">
        <f>C132*2</f>
        <v>12427.616504869391</v>
      </c>
      <c r="D133" s="18"/>
      <c r="E133" s="18"/>
      <c r="F133" s="18"/>
      <c r="G133" s="18"/>
    </row>
    <row r="134" spans="1:7" x14ac:dyDescent="0.25">
      <c r="A134" s="18"/>
      <c r="B134" s="18"/>
      <c r="C134" s="18"/>
      <c r="D134" s="18"/>
      <c r="E134" s="18"/>
      <c r="F134" s="18"/>
      <c r="G134" s="18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3"/>
      <c r="B152" s="3"/>
      <c r="C152" s="1"/>
      <c r="D152" s="1"/>
      <c r="E152" s="1"/>
      <c r="F152" s="1"/>
    </row>
    <row r="153" spans="1:6" x14ac:dyDescent="0.25">
      <c r="A153" s="3"/>
      <c r="B153" s="3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</sheetData>
  <mergeCells count="48">
    <mergeCell ref="E5:F5"/>
    <mergeCell ref="A105:C105"/>
    <mergeCell ref="C35:D35"/>
    <mergeCell ref="A51:B51"/>
    <mergeCell ref="A58:B58"/>
    <mergeCell ref="A60:B60"/>
    <mergeCell ref="A68:B68"/>
    <mergeCell ref="A80:B80"/>
    <mergeCell ref="A90:B90"/>
    <mergeCell ref="A92:B92"/>
    <mergeCell ref="A103:B103"/>
    <mergeCell ref="A29:B29"/>
    <mergeCell ref="C31:D31"/>
    <mergeCell ref="C32:D32"/>
    <mergeCell ref="C33:D33"/>
    <mergeCell ref="A36:B36"/>
    <mergeCell ref="B128:C128"/>
    <mergeCell ref="A129:C129"/>
    <mergeCell ref="A118:C118"/>
    <mergeCell ref="B122:C122"/>
    <mergeCell ref="B123:C123"/>
    <mergeCell ref="B124:C124"/>
    <mergeCell ref="B125:C125"/>
    <mergeCell ref="B127:C127"/>
    <mergeCell ref="C21:D21"/>
    <mergeCell ref="C22:D22"/>
    <mergeCell ref="C26:D26"/>
    <mergeCell ref="C36:D36"/>
    <mergeCell ref="C34:D34"/>
    <mergeCell ref="C25:D25"/>
    <mergeCell ref="C27:D27"/>
    <mergeCell ref="C23:D23"/>
    <mergeCell ref="A1:D1"/>
    <mergeCell ref="C15:D15"/>
    <mergeCell ref="C24:D24"/>
    <mergeCell ref="C10:D10"/>
    <mergeCell ref="C11:D11"/>
    <mergeCell ref="C12:D12"/>
    <mergeCell ref="C13:D13"/>
    <mergeCell ref="C14:D14"/>
    <mergeCell ref="C6:D6"/>
    <mergeCell ref="C7:D7"/>
    <mergeCell ref="C8:D8"/>
    <mergeCell ref="C9:D9"/>
    <mergeCell ref="C4:D4"/>
    <mergeCell ref="C5:D5"/>
    <mergeCell ref="C19:D19"/>
    <mergeCell ref="C20:D20"/>
  </mergeCells>
  <pageMargins left="0.511811024" right="0.511811024" top="0.78740157499999996" bottom="0.78740157499999996" header="0.31496062000000002" footer="0.31496062000000002"/>
  <pageSetup paperSize="9" scale="64" fitToHeight="0" orientation="portrait" verticalDpi="597" r:id="rId1"/>
  <rowBreaks count="1" manualBreakCount="1">
    <brk id="68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view="pageBreakPreview" topLeftCell="A103" zoomScaleNormal="100" zoomScaleSheetLayoutView="100" workbookViewId="0">
      <selection sqref="A1:F132"/>
    </sheetView>
  </sheetViews>
  <sheetFormatPr defaultRowHeight="11.25" x14ac:dyDescent="0.15"/>
  <cols>
    <col min="1" max="1" width="5.7109375" style="18" customWidth="1"/>
    <col min="2" max="2" width="53.5703125" style="18" customWidth="1"/>
    <col min="3" max="3" width="15.42578125" style="18" customWidth="1"/>
    <col min="4" max="4" width="14.140625" style="18" customWidth="1"/>
    <col min="5" max="5" width="34.5703125" style="18" customWidth="1"/>
    <col min="6" max="6" width="5.28515625" style="18" customWidth="1"/>
    <col min="7" max="7" width="18.5703125" style="18" bestFit="1" customWidth="1"/>
    <col min="8" max="256" width="9.140625" style="18"/>
    <col min="257" max="257" width="5.7109375" style="18" customWidth="1"/>
    <col min="258" max="258" width="62.7109375" style="18" customWidth="1"/>
    <col min="259" max="259" width="12.42578125" style="18" customWidth="1"/>
    <col min="260" max="260" width="18" style="18" customWidth="1"/>
    <col min="261" max="261" width="59.7109375" style="18" customWidth="1"/>
    <col min="262" max="262" width="16.140625" style="18" customWidth="1"/>
    <col min="263" max="263" width="18.5703125" style="18" bestFit="1" customWidth="1"/>
    <col min="264" max="512" width="9.140625" style="18"/>
    <col min="513" max="513" width="5.7109375" style="18" customWidth="1"/>
    <col min="514" max="514" width="62.7109375" style="18" customWidth="1"/>
    <col min="515" max="515" width="12.42578125" style="18" customWidth="1"/>
    <col min="516" max="516" width="18" style="18" customWidth="1"/>
    <col min="517" max="517" width="59.7109375" style="18" customWidth="1"/>
    <col min="518" max="518" width="16.140625" style="18" customWidth="1"/>
    <col min="519" max="519" width="18.5703125" style="18" bestFit="1" customWidth="1"/>
    <col min="520" max="768" width="9.140625" style="18"/>
    <col min="769" max="769" width="5.7109375" style="18" customWidth="1"/>
    <col min="770" max="770" width="62.7109375" style="18" customWidth="1"/>
    <col min="771" max="771" width="12.42578125" style="18" customWidth="1"/>
    <col min="772" max="772" width="18" style="18" customWidth="1"/>
    <col min="773" max="773" width="59.7109375" style="18" customWidth="1"/>
    <col min="774" max="774" width="16.140625" style="18" customWidth="1"/>
    <col min="775" max="775" width="18.5703125" style="18" bestFit="1" customWidth="1"/>
    <col min="776" max="1024" width="9.140625" style="18"/>
    <col min="1025" max="1025" width="5.7109375" style="18" customWidth="1"/>
    <col min="1026" max="1026" width="62.7109375" style="18" customWidth="1"/>
    <col min="1027" max="1027" width="12.42578125" style="18" customWidth="1"/>
    <col min="1028" max="1028" width="18" style="18" customWidth="1"/>
    <col min="1029" max="1029" width="59.7109375" style="18" customWidth="1"/>
    <col min="1030" max="1030" width="16.140625" style="18" customWidth="1"/>
    <col min="1031" max="1031" width="18.5703125" style="18" bestFit="1" customWidth="1"/>
    <col min="1032" max="1280" width="9.140625" style="18"/>
    <col min="1281" max="1281" width="5.7109375" style="18" customWidth="1"/>
    <col min="1282" max="1282" width="62.7109375" style="18" customWidth="1"/>
    <col min="1283" max="1283" width="12.42578125" style="18" customWidth="1"/>
    <col min="1284" max="1284" width="18" style="18" customWidth="1"/>
    <col min="1285" max="1285" width="59.7109375" style="18" customWidth="1"/>
    <col min="1286" max="1286" width="16.140625" style="18" customWidth="1"/>
    <col min="1287" max="1287" width="18.5703125" style="18" bestFit="1" customWidth="1"/>
    <col min="1288" max="1536" width="9.140625" style="18"/>
    <col min="1537" max="1537" width="5.7109375" style="18" customWidth="1"/>
    <col min="1538" max="1538" width="62.7109375" style="18" customWidth="1"/>
    <col min="1539" max="1539" width="12.42578125" style="18" customWidth="1"/>
    <col min="1540" max="1540" width="18" style="18" customWidth="1"/>
    <col min="1541" max="1541" width="59.7109375" style="18" customWidth="1"/>
    <col min="1542" max="1542" width="16.140625" style="18" customWidth="1"/>
    <col min="1543" max="1543" width="18.5703125" style="18" bestFit="1" customWidth="1"/>
    <col min="1544" max="1792" width="9.140625" style="18"/>
    <col min="1793" max="1793" width="5.7109375" style="18" customWidth="1"/>
    <col min="1794" max="1794" width="62.7109375" style="18" customWidth="1"/>
    <col min="1795" max="1795" width="12.42578125" style="18" customWidth="1"/>
    <col min="1796" max="1796" width="18" style="18" customWidth="1"/>
    <col min="1797" max="1797" width="59.7109375" style="18" customWidth="1"/>
    <col min="1798" max="1798" width="16.140625" style="18" customWidth="1"/>
    <col min="1799" max="1799" width="18.5703125" style="18" bestFit="1" customWidth="1"/>
    <col min="1800" max="2048" width="9.140625" style="18"/>
    <col min="2049" max="2049" width="5.7109375" style="18" customWidth="1"/>
    <col min="2050" max="2050" width="62.7109375" style="18" customWidth="1"/>
    <col min="2051" max="2051" width="12.42578125" style="18" customWidth="1"/>
    <col min="2052" max="2052" width="18" style="18" customWidth="1"/>
    <col min="2053" max="2053" width="59.7109375" style="18" customWidth="1"/>
    <col min="2054" max="2054" width="16.140625" style="18" customWidth="1"/>
    <col min="2055" max="2055" width="18.5703125" style="18" bestFit="1" customWidth="1"/>
    <col min="2056" max="2304" width="9.140625" style="18"/>
    <col min="2305" max="2305" width="5.7109375" style="18" customWidth="1"/>
    <col min="2306" max="2306" width="62.7109375" style="18" customWidth="1"/>
    <col min="2307" max="2307" width="12.42578125" style="18" customWidth="1"/>
    <col min="2308" max="2308" width="18" style="18" customWidth="1"/>
    <col min="2309" max="2309" width="59.7109375" style="18" customWidth="1"/>
    <col min="2310" max="2310" width="16.140625" style="18" customWidth="1"/>
    <col min="2311" max="2311" width="18.5703125" style="18" bestFit="1" customWidth="1"/>
    <col min="2312" max="2560" width="9.140625" style="18"/>
    <col min="2561" max="2561" width="5.7109375" style="18" customWidth="1"/>
    <col min="2562" max="2562" width="62.7109375" style="18" customWidth="1"/>
    <col min="2563" max="2563" width="12.42578125" style="18" customWidth="1"/>
    <col min="2564" max="2564" width="18" style="18" customWidth="1"/>
    <col min="2565" max="2565" width="59.7109375" style="18" customWidth="1"/>
    <col min="2566" max="2566" width="16.140625" style="18" customWidth="1"/>
    <col min="2567" max="2567" width="18.5703125" style="18" bestFit="1" customWidth="1"/>
    <col min="2568" max="2816" width="9.140625" style="18"/>
    <col min="2817" max="2817" width="5.7109375" style="18" customWidth="1"/>
    <col min="2818" max="2818" width="62.7109375" style="18" customWidth="1"/>
    <col min="2819" max="2819" width="12.42578125" style="18" customWidth="1"/>
    <col min="2820" max="2820" width="18" style="18" customWidth="1"/>
    <col min="2821" max="2821" width="59.7109375" style="18" customWidth="1"/>
    <col min="2822" max="2822" width="16.140625" style="18" customWidth="1"/>
    <col min="2823" max="2823" width="18.5703125" style="18" bestFit="1" customWidth="1"/>
    <col min="2824" max="3072" width="9.140625" style="18"/>
    <col min="3073" max="3073" width="5.7109375" style="18" customWidth="1"/>
    <col min="3074" max="3074" width="62.7109375" style="18" customWidth="1"/>
    <col min="3075" max="3075" width="12.42578125" style="18" customWidth="1"/>
    <col min="3076" max="3076" width="18" style="18" customWidth="1"/>
    <col min="3077" max="3077" width="59.7109375" style="18" customWidth="1"/>
    <col min="3078" max="3078" width="16.140625" style="18" customWidth="1"/>
    <col min="3079" max="3079" width="18.5703125" style="18" bestFit="1" customWidth="1"/>
    <col min="3080" max="3328" width="9.140625" style="18"/>
    <col min="3329" max="3329" width="5.7109375" style="18" customWidth="1"/>
    <col min="3330" max="3330" width="62.7109375" style="18" customWidth="1"/>
    <col min="3331" max="3331" width="12.42578125" style="18" customWidth="1"/>
    <col min="3332" max="3332" width="18" style="18" customWidth="1"/>
    <col min="3333" max="3333" width="59.7109375" style="18" customWidth="1"/>
    <col min="3334" max="3334" width="16.140625" style="18" customWidth="1"/>
    <col min="3335" max="3335" width="18.5703125" style="18" bestFit="1" customWidth="1"/>
    <col min="3336" max="3584" width="9.140625" style="18"/>
    <col min="3585" max="3585" width="5.7109375" style="18" customWidth="1"/>
    <col min="3586" max="3586" width="62.7109375" style="18" customWidth="1"/>
    <col min="3587" max="3587" width="12.42578125" style="18" customWidth="1"/>
    <col min="3588" max="3588" width="18" style="18" customWidth="1"/>
    <col min="3589" max="3589" width="59.7109375" style="18" customWidth="1"/>
    <col min="3590" max="3590" width="16.140625" style="18" customWidth="1"/>
    <col min="3591" max="3591" width="18.5703125" style="18" bestFit="1" customWidth="1"/>
    <col min="3592" max="3840" width="9.140625" style="18"/>
    <col min="3841" max="3841" width="5.7109375" style="18" customWidth="1"/>
    <col min="3842" max="3842" width="62.7109375" style="18" customWidth="1"/>
    <col min="3843" max="3843" width="12.42578125" style="18" customWidth="1"/>
    <col min="3844" max="3844" width="18" style="18" customWidth="1"/>
    <col min="3845" max="3845" width="59.7109375" style="18" customWidth="1"/>
    <col min="3846" max="3846" width="16.140625" style="18" customWidth="1"/>
    <col min="3847" max="3847" width="18.5703125" style="18" bestFit="1" customWidth="1"/>
    <col min="3848" max="4096" width="9.140625" style="18"/>
    <col min="4097" max="4097" width="5.7109375" style="18" customWidth="1"/>
    <col min="4098" max="4098" width="62.7109375" style="18" customWidth="1"/>
    <col min="4099" max="4099" width="12.42578125" style="18" customWidth="1"/>
    <col min="4100" max="4100" width="18" style="18" customWidth="1"/>
    <col min="4101" max="4101" width="59.7109375" style="18" customWidth="1"/>
    <col min="4102" max="4102" width="16.140625" style="18" customWidth="1"/>
    <col min="4103" max="4103" width="18.5703125" style="18" bestFit="1" customWidth="1"/>
    <col min="4104" max="4352" width="9.140625" style="18"/>
    <col min="4353" max="4353" width="5.7109375" style="18" customWidth="1"/>
    <col min="4354" max="4354" width="62.7109375" style="18" customWidth="1"/>
    <col min="4355" max="4355" width="12.42578125" style="18" customWidth="1"/>
    <col min="4356" max="4356" width="18" style="18" customWidth="1"/>
    <col min="4357" max="4357" width="59.7109375" style="18" customWidth="1"/>
    <col min="4358" max="4358" width="16.140625" style="18" customWidth="1"/>
    <col min="4359" max="4359" width="18.5703125" style="18" bestFit="1" customWidth="1"/>
    <col min="4360" max="4608" width="9.140625" style="18"/>
    <col min="4609" max="4609" width="5.7109375" style="18" customWidth="1"/>
    <col min="4610" max="4610" width="62.7109375" style="18" customWidth="1"/>
    <col min="4611" max="4611" width="12.42578125" style="18" customWidth="1"/>
    <col min="4612" max="4612" width="18" style="18" customWidth="1"/>
    <col min="4613" max="4613" width="59.7109375" style="18" customWidth="1"/>
    <col min="4614" max="4614" width="16.140625" style="18" customWidth="1"/>
    <col min="4615" max="4615" width="18.5703125" style="18" bestFit="1" customWidth="1"/>
    <col min="4616" max="4864" width="9.140625" style="18"/>
    <col min="4865" max="4865" width="5.7109375" style="18" customWidth="1"/>
    <col min="4866" max="4866" width="62.7109375" style="18" customWidth="1"/>
    <col min="4867" max="4867" width="12.42578125" style="18" customWidth="1"/>
    <col min="4868" max="4868" width="18" style="18" customWidth="1"/>
    <col min="4869" max="4869" width="59.7109375" style="18" customWidth="1"/>
    <col min="4870" max="4870" width="16.140625" style="18" customWidth="1"/>
    <col min="4871" max="4871" width="18.5703125" style="18" bestFit="1" customWidth="1"/>
    <col min="4872" max="5120" width="9.140625" style="18"/>
    <col min="5121" max="5121" width="5.7109375" style="18" customWidth="1"/>
    <col min="5122" max="5122" width="62.7109375" style="18" customWidth="1"/>
    <col min="5123" max="5123" width="12.42578125" style="18" customWidth="1"/>
    <col min="5124" max="5124" width="18" style="18" customWidth="1"/>
    <col min="5125" max="5125" width="59.7109375" style="18" customWidth="1"/>
    <col min="5126" max="5126" width="16.140625" style="18" customWidth="1"/>
    <col min="5127" max="5127" width="18.5703125" style="18" bestFit="1" customWidth="1"/>
    <col min="5128" max="5376" width="9.140625" style="18"/>
    <col min="5377" max="5377" width="5.7109375" style="18" customWidth="1"/>
    <col min="5378" max="5378" width="62.7109375" style="18" customWidth="1"/>
    <col min="5379" max="5379" width="12.42578125" style="18" customWidth="1"/>
    <col min="5380" max="5380" width="18" style="18" customWidth="1"/>
    <col min="5381" max="5381" width="59.7109375" style="18" customWidth="1"/>
    <col min="5382" max="5382" width="16.140625" style="18" customWidth="1"/>
    <col min="5383" max="5383" width="18.5703125" style="18" bestFit="1" customWidth="1"/>
    <col min="5384" max="5632" width="9.140625" style="18"/>
    <col min="5633" max="5633" width="5.7109375" style="18" customWidth="1"/>
    <col min="5634" max="5634" width="62.7109375" style="18" customWidth="1"/>
    <col min="5635" max="5635" width="12.42578125" style="18" customWidth="1"/>
    <col min="5636" max="5636" width="18" style="18" customWidth="1"/>
    <col min="5637" max="5637" width="59.7109375" style="18" customWidth="1"/>
    <col min="5638" max="5638" width="16.140625" style="18" customWidth="1"/>
    <col min="5639" max="5639" width="18.5703125" style="18" bestFit="1" customWidth="1"/>
    <col min="5640" max="5888" width="9.140625" style="18"/>
    <col min="5889" max="5889" width="5.7109375" style="18" customWidth="1"/>
    <col min="5890" max="5890" width="62.7109375" style="18" customWidth="1"/>
    <col min="5891" max="5891" width="12.42578125" style="18" customWidth="1"/>
    <col min="5892" max="5892" width="18" style="18" customWidth="1"/>
    <col min="5893" max="5893" width="59.7109375" style="18" customWidth="1"/>
    <col min="5894" max="5894" width="16.140625" style="18" customWidth="1"/>
    <col min="5895" max="5895" width="18.5703125" style="18" bestFit="1" customWidth="1"/>
    <col min="5896" max="6144" width="9.140625" style="18"/>
    <col min="6145" max="6145" width="5.7109375" style="18" customWidth="1"/>
    <col min="6146" max="6146" width="62.7109375" style="18" customWidth="1"/>
    <col min="6147" max="6147" width="12.42578125" style="18" customWidth="1"/>
    <col min="6148" max="6148" width="18" style="18" customWidth="1"/>
    <col min="6149" max="6149" width="59.7109375" style="18" customWidth="1"/>
    <col min="6150" max="6150" width="16.140625" style="18" customWidth="1"/>
    <col min="6151" max="6151" width="18.5703125" style="18" bestFit="1" customWidth="1"/>
    <col min="6152" max="6400" width="9.140625" style="18"/>
    <col min="6401" max="6401" width="5.7109375" style="18" customWidth="1"/>
    <col min="6402" max="6402" width="62.7109375" style="18" customWidth="1"/>
    <col min="6403" max="6403" width="12.42578125" style="18" customWidth="1"/>
    <col min="6404" max="6404" width="18" style="18" customWidth="1"/>
    <col min="6405" max="6405" width="59.7109375" style="18" customWidth="1"/>
    <col min="6406" max="6406" width="16.140625" style="18" customWidth="1"/>
    <col min="6407" max="6407" width="18.5703125" style="18" bestFit="1" customWidth="1"/>
    <col min="6408" max="6656" width="9.140625" style="18"/>
    <col min="6657" max="6657" width="5.7109375" style="18" customWidth="1"/>
    <col min="6658" max="6658" width="62.7109375" style="18" customWidth="1"/>
    <col min="6659" max="6659" width="12.42578125" style="18" customWidth="1"/>
    <col min="6660" max="6660" width="18" style="18" customWidth="1"/>
    <col min="6661" max="6661" width="59.7109375" style="18" customWidth="1"/>
    <col min="6662" max="6662" width="16.140625" style="18" customWidth="1"/>
    <col min="6663" max="6663" width="18.5703125" style="18" bestFit="1" customWidth="1"/>
    <col min="6664" max="6912" width="9.140625" style="18"/>
    <col min="6913" max="6913" width="5.7109375" style="18" customWidth="1"/>
    <col min="6914" max="6914" width="62.7109375" style="18" customWidth="1"/>
    <col min="6915" max="6915" width="12.42578125" style="18" customWidth="1"/>
    <col min="6916" max="6916" width="18" style="18" customWidth="1"/>
    <col min="6917" max="6917" width="59.7109375" style="18" customWidth="1"/>
    <col min="6918" max="6918" width="16.140625" style="18" customWidth="1"/>
    <col min="6919" max="6919" width="18.5703125" style="18" bestFit="1" customWidth="1"/>
    <col min="6920" max="7168" width="9.140625" style="18"/>
    <col min="7169" max="7169" width="5.7109375" style="18" customWidth="1"/>
    <col min="7170" max="7170" width="62.7109375" style="18" customWidth="1"/>
    <col min="7171" max="7171" width="12.42578125" style="18" customWidth="1"/>
    <col min="7172" max="7172" width="18" style="18" customWidth="1"/>
    <col min="7173" max="7173" width="59.7109375" style="18" customWidth="1"/>
    <col min="7174" max="7174" width="16.140625" style="18" customWidth="1"/>
    <col min="7175" max="7175" width="18.5703125" style="18" bestFit="1" customWidth="1"/>
    <col min="7176" max="7424" width="9.140625" style="18"/>
    <col min="7425" max="7425" width="5.7109375" style="18" customWidth="1"/>
    <col min="7426" max="7426" width="62.7109375" style="18" customWidth="1"/>
    <col min="7427" max="7427" width="12.42578125" style="18" customWidth="1"/>
    <col min="7428" max="7428" width="18" style="18" customWidth="1"/>
    <col min="7429" max="7429" width="59.7109375" style="18" customWidth="1"/>
    <col min="7430" max="7430" width="16.140625" style="18" customWidth="1"/>
    <col min="7431" max="7431" width="18.5703125" style="18" bestFit="1" customWidth="1"/>
    <col min="7432" max="7680" width="9.140625" style="18"/>
    <col min="7681" max="7681" width="5.7109375" style="18" customWidth="1"/>
    <col min="7682" max="7682" width="62.7109375" style="18" customWidth="1"/>
    <col min="7683" max="7683" width="12.42578125" style="18" customWidth="1"/>
    <col min="7684" max="7684" width="18" style="18" customWidth="1"/>
    <col min="7685" max="7685" width="59.7109375" style="18" customWidth="1"/>
    <col min="7686" max="7686" width="16.140625" style="18" customWidth="1"/>
    <col min="7687" max="7687" width="18.5703125" style="18" bestFit="1" customWidth="1"/>
    <col min="7688" max="7936" width="9.140625" style="18"/>
    <col min="7937" max="7937" width="5.7109375" style="18" customWidth="1"/>
    <col min="7938" max="7938" width="62.7109375" style="18" customWidth="1"/>
    <col min="7939" max="7939" width="12.42578125" style="18" customWidth="1"/>
    <col min="7940" max="7940" width="18" style="18" customWidth="1"/>
    <col min="7941" max="7941" width="59.7109375" style="18" customWidth="1"/>
    <col min="7942" max="7942" width="16.140625" style="18" customWidth="1"/>
    <col min="7943" max="7943" width="18.5703125" style="18" bestFit="1" customWidth="1"/>
    <col min="7944" max="8192" width="9.140625" style="18"/>
    <col min="8193" max="8193" width="5.7109375" style="18" customWidth="1"/>
    <col min="8194" max="8194" width="62.7109375" style="18" customWidth="1"/>
    <col min="8195" max="8195" width="12.42578125" style="18" customWidth="1"/>
    <col min="8196" max="8196" width="18" style="18" customWidth="1"/>
    <col min="8197" max="8197" width="59.7109375" style="18" customWidth="1"/>
    <col min="8198" max="8198" width="16.140625" style="18" customWidth="1"/>
    <col min="8199" max="8199" width="18.5703125" style="18" bestFit="1" customWidth="1"/>
    <col min="8200" max="8448" width="9.140625" style="18"/>
    <col min="8449" max="8449" width="5.7109375" style="18" customWidth="1"/>
    <col min="8450" max="8450" width="62.7109375" style="18" customWidth="1"/>
    <col min="8451" max="8451" width="12.42578125" style="18" customWidth="1"/>
    <col min="8452" max="8452" width="18" style="18" customWidth="1"/>
    <col min="8453" max="8453" width="59.7109375" style="18" customWidth="1"/>
    <col min="8454" max="8454" width="16.140625" style="18" customWidth="1"/>
    <col min="8455" max="8455" width="18.5703125" style="18" bestFit="1" customWidth="1"/>
    <col min="8456" max="8704" width="9.140625" style="18"/>
    <col min="8705" max="8705" width="5.7109375" style="18" customWidth="1"/>
    <col min="8706" max="8706" width="62.7109375" style="18" customWidth="1"/>
    <col min="8707" max="8707" width="12.42578125" style="18" customWidth="1"/>
    <col min="8708" max="8708" width="18" style="18" customWidth="1"/>
    <col min="8709" max="8709" width="59.7109375" style="18" customWidth="1"/>
    <col min="8710" max="8710" width="16.140625" style="18" customWidth="1"/>
    <col min="8711" max="8711" width="18.5703125" style="18" bestFit="1" customWidth="1"/>
    <col min="8712" max="8960" width="9.140625" style="18"/>
    <col min="8961" max="8961" width="5.7109375" style="18" customWidth="1"/>
    <col min="8962" max="8962" width="62.7109375" style="18" customWidth="1"/>
    <col min="8963" max="8963" width="12.42578125" style="18" customWidth="1"/>
    <col min="8964" max="8964" width="18" style="18" customWidth="1"/>
    <col min="8965" max="8965" width="59.7109375" style="18" customWidth="1"/>
    <col min="8966" max="8966" width="16.140625" style="18" customWidth="1"/>
    <col min="8967" max="8967" width="18.5703125" style="18" bestFit="1" customWidth="1"/>
    <col min="8968" max="9216" width="9.140625" style="18"/>
    <col min="9217" max="9217" width="5.7109375" style="18" customWidth="1"/>
    <col min="9218" max="9218" width="62.7109375" style="18" customWidth="1"/>
    <col min="9219" max="9219" width="12.42578125" style="18" customWidth="1"/>
    <col min="9220" max="9220" width="18" style="18" customWidth="1"/>
    <col min="9221" max="9221" width="59.7109375" style="18" customWidth="1"/>
    <col min="9222" max="9222" width="16.140625" style="18" customWidth="1"/>
    <col min="9223" max="9223" width="18.5703125" style="18" bestFit="1" customWidth="1"/>
    <col min="9224" max="9472" width="9.140625" style="18"/>
    <col min="9473" max="9473" width="5.7109375" style="18" customWidth="1"/>
    <col min="9474" max="9474" width="62.7109375" style="18" customWidth="1"/>
    <col min="9475" max="9475" width="12.42578125" style="18" customWidth="1"/>
    <col min="9476" max="9476" width="18" style="18" customWidth="1"/>
    <col min="9477" max="9477" width="59.7109375" style="18" customWidth="1"/>
    <col min="9478" max="9478" width="16.140625" style="18" customWidth="1"/>
    <col min="9479" max="9479" width="18.5703125" style="18" bestFit="1" customWidth="1"/>
    <col min="9480" max="9728" width="9.140625" style="18"/>
    <col min="9729" max="9729" width="5.7109375" style="18" customWidth="1"/>
    <col min="9730" max="9730" width="62.7109375" style="18" customWidth="1"/>
    <col min="9731" max="9731" width="12.42578125" style="18" customWidth="1"/>
    <col min="9732" max="9732" width="18" style="18" customWidth="1"/>
    <col min="9733" max="9733" width="59.7109375" style="18" customWidth="1"/>
    <col min="9734" max="9734" width="16.140625" style="18" customWidth="1"/>
    <col min="9735" max="9735" width="18.5703125" style="18" bestFit="1" customWidth="1"/>
    <col min="9736" max="9984" width="9.140625" style="18"/>
    <col min="9985" max="9985" width="5.7109375" style="18" customWidth="1"/>
    <col min="9986" max="9986" width="62.7109375" style="18" customWidth="1"/>
    <col min="9987" max="9987" width="12.42578125" style="18" customWidth="1"/>
    <col min="9988" max="9988" width="18" style="18" customWidth="1"/>
    <col min="9989" max="9989" width="59.7109375" style="18" customWidth="1"/>
    <col min="9990" max="9990" width="16.140625" style="18" customWidth="1"/>
    <col min="9991" max="9991" width="18.5703125" style="18" bestFit="1" customWidth="1"/>
    <col min="9992" max="10240" width="9.140625" style="18"/>
    <col min="10241" max="10241" width="5.7109375" style="18" customWidth="1"/>
    <col min="10242" max="10242" width="62.7109375" style="18" customWidth="1"/>
    <col min="10243" max="10243" width="12.42578125" style="18" customWidth="1"/>
    <col min="10244" max="10244" width="18" style="18" customWidth="1"/>
    <col min="10245" max="10245" width="59.7109375" style="18" customWidth="1"/>
    <col min="10246" max="10246" width="16.140625" style="18" customWidth="1"/>
    <col min="10247" max="10247" width="18.5703125" style="18" bestFit="1" customWidth="1"/>
    <col min="10248" max="10496" width="9.140625" style="18"/>
    <col min="10497" max="10497" width="5.7109375" style="18" customWidth="1"/>
    <col min="10498" max="10498" width="62.7109375" style="18" customWidth="1"/>
    <col min="10499" max="10499" width="12.42578125" style="18" customWidth="1"/>
    <col min="10500" max="10500" width="18" style="18" customWidth="1"/>
    <col min="10501" max="10501" width="59.7109375" style="18" customWidth="1"/>
    <col min="10502" max="10502" width="16.140625" style="18" customWidth="1"/>
    <col min="10503" max="10503" width="18.5703125" style="18" bestFit="1" customWidth="1"/>
    <col min="10504" max="10752" width="9.140625" style="18"/>
    <col min="10753" max="10753" width="5.7109375" style="18" customWidth="1"/>
    <col min="10754" max="10754" width="62.7109375" style="18" customWidth="1"/>
    <col min="10755" max="10755" width="12.42578125" style="18" customWidth="1"/>
    <col min="10756" max="10756" width="18" style="18" customWidth="1"/>
    <col min="10757" max="10757" width="59.7109375" style="18" customWidth="1"/>
    <col min="10758" max="10758" width="16.140625" style="18" customWidth="1"/>
    <col min="10759" max="10759" width="18.5703125" style="18" bestFit="1" customWidth="1"/>
    <col min="10760" max="11008" width="9.140625" style="18"/>
    <col min="11009" max="11009" width="5.7109375" style="18" customWidth="1"/>
    <col min="11010" max="11010" width="62.7109375" style="18" customWidth="1"/>
    <col min="11011" max="11011" width="12.42578125" style="18" customWidth="1"/>
    <col min="11012" max="11012" width="18" style="18" customWidth="1"/>
    <col min="11013" max="11013" width="59.7109375" style="18" customWidth="1"/>
    <col min="11014" max="11014" width="16.140625" style="18" customWidth="1"/>
    <col min="11015" max="11015" width="18.5703125" style="18" bestFit="1" customWidth="1"/>
    <col min="11016" max="11264" width="9.140625" style="18"/>
    <col min="11265" max="11265" width="5.7109375" style="18" customWidth="1"/>
    <col min="11266" max="11266" width="62.7109375" style="18" customWidth="1"/>
    <col min="11267" max="11267" width="12.42578125" style="18" customWidth="1"/>
    <col min="11268" max="11268" width="18" style="18" customWidth="1"/>
    <col min="11269" max="11269" width="59.7109375" style="18" customWidth="1"/>
    <col min="11270" max="11270" width="16.140625" style="18" customWidth="1"/>
    <col min="11271" max="11271" width="18.5703125" style="18" bestFit="1" customWidth="1"/>
    <col min="11272" max="11520" width="9.140625" style="18"/>
    <col min="11521" max="11521" width="5.7109375" style="18" customWidth="1"/>
    <col min="11522" max="11522" width="62.7109375" style="18" customWidth="1"/>
    <col min="11523" max="11523" width="12.42578125" style="18" customWidth="1"/>
    <col min="11524" max="11524" width="18" style="18" customWidth="1"/>
    <col min="11525" max="11525" width="59.7109375" style="18" customWidth="1"/>
    <col min="11526" max="11526" width="16.140625" style="18" customWidth="1"/>
    <col min="11527" max="11527" width="18.5703125" style="18" bestFit="1" customWidth="1"/>
    <col min="11528" max="11776" width="9.140625" style="18"/>
    <col min="11777" max="11777" width="5.7109375" style="18" customWidth="1"/>
    <col min="11778" max="11778" width="62.7109375" style="18" customWidth="1"/>
    <col min="11779" max="11779" width="12.42578125" style="18" customWidth="1"/>
    <col min="11780" max="11780" width="18" style="18" customWidth="1"/>
    <col min="11781" max="11781" width="59.7109375" style="18" customWidth="1"/>
    <col min="11782" max="11782" width="16.140625" style="18" customWidth="1"/>
    <col min="11783" max="11783" width="18.5703125" style="18" bestFit="1" customWidth="1"/>
    <col min="11784" max="12032" width="9.140625" style="18"/>
    <col min="12033" max="12033" width="5.7109375" style="18" customWidth="1"/>
    <col min="12034" max="12034" width="62.7109375" style="18" customWidth="1"/>
    <col min="12035" max="12035" width="12.42578125" style="18" customWidth="1"/>
    <col min="12036" max="12036" width="18" style="18" customWidth="1"/>
    <col min="12037" max="12037" width="59.7109375" style="18" customWidth="1"/>
    <col min="12038" max="12038" width="16.140625" style="18" customWidth="1"/>
    <col min="12039" max="12039" width="18.5703125" style="18" bestFit="1" customWidth="1"/>
    <col min="12040" max="12288" width="9.140625" style="18"/>
    <col min="12289" max="12289" width="5.7109375" style="18" customWidth="1"/>
    <col min="12290" max="12290" width="62.7109375" style="18" customWidth="1"/>
    <col min="12291" max="12291" width="12.42578125" style="18" customWidth="1"/>
    <col min="12292" max="12292" width="18" style="18" customWidth="1"/>
    <col min="12293" max="12293" width="59.7109375" style="18" customWidth="1"/>
    <col min="12294" max="12294" width="16.140625" style="18" customWidth="1"/>
    <col min="12295" max="12295" width="18.5703125" style="18" bestFit="1" customWidth="1"/>
    <col min="12296" max="12544" width="9.140625" style="18"/>
    <col min="12545" max="12545" width="5.7109375" style="18" customWidth="1"/>
    <col min="12546" max="12546" width="62.7109375" style="18" customWidth="1"/>
    <col min="12547" max="12547" width="12.42578125" style="18" customWidth="1"/>
    <col min="12548" max="12548" width="18" style="18" customWidth="1"/>
    <col min="12549" max="12549" width="59.7109375" style="18" customWidth="1"/>
    <col min="12550" max="12550" width="16.140625" style="18" customWidth="1"/>
    <col min="12551" max="12551" width="18.5703125" style="18" bestFit="1" customWidth="1"/>
    <col min="12552" max="12800" width="9.140625" style="18"/>
    <col min="12801" max="12801" width="5.7109375" style="18" customWidth="1"/>
    <col min="12802" max="12802" width="62.7109375" style="18" customWidth="1"/>
    <col min="12803" max="12803" width="12.42578125" style="18" customWidth="1"/>
    <col min="12804" max="12804" width="18" style="18" customWidth="1"/>
    <col min="12805" max="12805" width="59.7109375" style="18" customWidth="1"/>
    <col min="12806" max="12806" width="16.140625" style="18" customWidth="1"/>
    <col min="12807" max="12807" width="18.5703125" style="18" bestFit="1" customWidth="1"/>
    <col min="12808" max="13056" width="9.140625" style="18"/>
    <col min="13057" max="13057" width="5.7109375" style="18" customWidth="1"/>
    <col min="13058" max="13058" width="62.7109375" style="18" customWidth="1"/>
    <col min="13059" max="13059" width="12.42578125" style="18" customWidth="1"/>
    <col min="13060" max="13060" width="18" style="18" customWidth="1"/>
    <col min="13061" max="13061" width="59.7109375" style="18" customWidth="1"/>
    <col min="13062" max="13062" width="16.140625" style="18" customWidth="1"/>
    <col min="13063" max="13063" width="18.5703125" style="18" bestFit="1" customWidth="1"/>
    <col min="13064" max="13312" width="9.140625" style="18"/>
    <col min="13313" max="13313" width="5.7109375" style="18" customWidth="1"/>
    <col min="13314" max="13314" width="62.7109375" style="18" customWidth="1"/>
    <col min="13315" max="13315" width="12.42578125" style="18" customWidth="1"/>
    <col min="13316" max="13316" width="18" style="18" customWidth="1"/>
    <col min="13317" max="13317" width="59.7109375" style="18" customWidth="1"/>
    <col min="13318" max="13318" width="16.140625" style="18" customWidth="1"/>
    <col min="13319" max="13319" width="18.5703125" style="18" bestFit="1" customWidth="1"/>
    <col min="13320" max="13568" width="9.140625" style="18"/>
    <col min="13569" max="13569" width="5.7109375" style="18" customWidth="1"/>
    <col min="13570" max="13570" width="62.7109375" style="18" customWidth="1"/>
    <col min="13571" max="13571" width="12.42578125" style="18" customWidth="1"/>
    <col min="13572" max="13572" width="18" style="18" customWidth="1"/>
    <col min="13573" max="13573" width="59.7109375" style="18" customWidth="1"/>
    <col min="13574" max="13574" width="16.140625" style="18" customWidth="1"/>
    <col min="13575" max="13575" width="18.5703125" style="18" bestFit="1" customWidth="1"/>
    <col min="13576" max="13824" width="9.140625" style="18"/>
    <col min="13825" max="13825" width="5.7109375" style="18" customWidth="1"/>
    <col min="13826" max="13826" width="62.7109375" style="18" customWidth="1"/>
    <col min="13827" max="13827" width="12.42578125" style="18" customWidth="1"/>
    <col min="13828" max="13828" width="18" style="18" customWidth="1"/>
    <col min="13829" max="13829" width="59.7109375" style="18" customWidth="1"/>
    <col min="13830" max="13830" width="16.140625" style="18" customWidth="1"/>
    <col min="13831" max="13831" width="18.5703125" style="18" bestFit="1" customWidth="1"/>
    <col min="13832" max="14080" width="9.140625" style="18"/>
    <col min="14081" max="14081" width="5.7109375" style="18" customWidth="1"/>
    <col min="14082" max="14082" width="62.7109375" style="18" customWidth="1"/>
    <col min="14083" max="14083" width="12.42578125" style="18" customWidth="1"/>
    <col min="14084" max="14084" width="18" style="18" customWidth="1"/>
    <col min="14085" max="14085" width="59.7109375" style="18" customWidth="1"/>
    <col min="14086" max="14086" width="16.140625" style="18" customWidth="1"/>
    <col min="14087" max="14087" width="18.5703125" style="18" bestFit="1" customWidth="1"/>
    <col min="14088" max="14336" width="9.140625" style="18"/>
    <col min="14337" max="14337" width="5.7109375" style="18" customWidth="1"/>
    <col min="14338" max="14338" width="62.7109375" style="18" customWidth="1"/>
    <col min="14339" max="14339" width="12.42578125" style="18" customWidth="1"/>
    <col min="14340" max="14340" width="18" style="18" customWidth="1"/>
    <col min="14341" max="14341" width="59.7109375" style="18" customWidth="1"/>
    <col min="14342" max="14342" width="16.140625" style="18" customWidth="1"/>
    <col min="14343" max="14343" width="18.5703125" style="18" bestFit="1" customWidth="1"/>
    <col min="14344" max="14592" width="9.140625" style="18"/>
    <col min="14593" max="14593" width="5.7109375" style="18" customWidth="1"/>
    <col min="14594" max="14594" width="62.7109375" style="18" customWidth="1"/>
    <col min="14595" max="14595" width="12.42578125" style="18" customWidth="1"/>
    <col min="14596" max="14596" width="18" style="18" customWidth="1"/>
    <col min="14597" max="14597" width="59.7109375" style="18" customWidth="1"/>
    <col min="14598" max="14598" width="16.140625" style="18" customWidth="1"/>
    <col min="14599" max="14599" width="18.5703125" style="18" bestFit="1" customWidth="1"/>
    <col min="14600" max="14848" width="9.140625" style="18"/>
    <col min="14849" max="14849" width="5.7109375" style="18" customWidth="1"/>
    <col min="14850" max="14850" width="62.7109375" style="18" customWidth="1"/>
    <col min="14851" max="14851" width="12.42578125" style="18" customWidth="1"/>
    <col min="14852" max="14852" width="18" style="18" customWidth="1"/>
    <col min="14853" max="14853" width="59.7109375" style="18" customWidth="1"/>
    <col min="14854" max="14854" width="16.140625" style="18" customWidth="1"/>
    <col min="14855" max="14855" width="18.5703125" style="18" bestFit="1" customWidth="1"/>
    <col min="14856" max="15104" width="9.140625" style="18"/>
    <col min="15105" max="15105" width="5.7109375" style="18" customWidth="1"/>
    <col min="15106" max="15106" width="62.7109375" style="18" customWidth="1"/>
    <col min="15107" max="15107" width="12.42578125" style="18" customWidth="1"/>
    <col min="15108" max="15108" width="18" style="18" customWidth="1"/>
    <col min="15109" max="15109" width="59.7109375" style="18" customWidth="1"/>
    <col min="15110" max="15110" width="16.140625" style="18" customWidth="1"/>
    <col min="15111" max="15111" width="18.5703125" style="18" bestFit="1" customWidth="1"/>
    <col min="15112" max="15360" width="9.140625" style="18"/>
    <col min="15361" max="15361" width="5.7109375" style="18" customWidth="1"/>
    <col min="15362" max="15362" width="62.7109375" style="18" customWidth="1"/>
    <col min="15363" max="15363" width="12.42578125" style="18" customWidth="1"/>
    <col min="15364" max="15364" width="18" style="18" customWidth="1"/>
    <col min="15365" max="15365" width="59.7109375" style="18" customWidth="1"/>
    <col min="15366" max="15366" width="16.140625" style="18" customWidth="1"/>
    <col min="15367" max="15367" width="18.5703125" style="18" bestFit="1" customWidth="1"/>
    <col min="15368" max="15616" width="9.140625" style="18"/>
    <col min="15617" max="15617" width="5.7109375" style="18" customWidth="1"/>
    <col min="15618" max="15618" width="62.7109375" style="18" customWidth="1"/>
    <col min="15619" max="15619" width="12.42578125" style="18" customWidth="1"/>
    <col min="15620" max="15620" width="18" style="18" customWidth="1"/>
    <col min="15621" max="15621" width="59.7109375" style="18" customWidth="1"/>
    <col min="15622" max="15622" width="16.140625" style="18" customWidth="1"/>
    <col min="15623" max="15623" width="18.5703125" style="18" bestFit="1" customWidth="1"/>
    <col min="15624" max="15872" width="9.140625" style="18"/>
    <col min="15873" max="15873" width="5.7109375" style="18" customWidth="1"/>
    <col min="15874" max="15874" width="62.7109375" style="18" customWidth="1"/>
    <col min="15875" max="15875" width="12.42578125" style="18" customWidth="1"/>
    <col min="15876" max="15876" width="18" style="18" customWidth="1"/>
    <col min="15877" max="15877" width="59.7109375" style="18" customWidth="1"/>
    <col min="15878" max="15878" width="16.140625" style="18" customWidth="1"/>
    <col min="15879" max="15879" width="18.5703125" style="18" bestFit="1" customWidth="1"/>
    <col min="15880" max="16128" width="9.140625" style="18"/>
    <col min="16129" max="16129" width="5.7109375" style="18" customWidth="1"/>
    <col min="16130" max="16130" width="62.7109375" style="18" customWidth="1"/>
    <col min="16131" max="16131" width="12.42578125" style="18" customWidth="1"/>
    <col min="16132" max="16132" width="18" style="18" customWidth="1"/>
    <col min="16133" max="16133" width="59.7109375" style="18" customWidth="1"/>
    <col min="16134" max="16134" width="16.140625" style="18" customWidth="1"/>
    <col min="16135" max="16135" width="18.5703125" style="18" bestFit="1" customWidth="1"/>
    <col min="16136" max="16384" width="9.140625" style="18"/>
  </cols>
  <sheetData>
    <row r="1" spans="1:7" x14ac:dyDescent="0.15">
      <c r="A1" s="89" t="s">
        <v>0</v>
      </c>
      <c r="B1" s="89"/>
      <c r="C1" s="89"/>
      <c r="D1" s="89"/>
      <c r="E1" s="17"/>
      <c r="F1" s="17"/>
    </row>
    <row r="2" spans="1:7" x14ac:dyDescent="0.15">
      <c r="A2" s="19"/>
      <c r="B2" s="20" t="s">
        <v>1</v>
      </c>
      <c r="C2" s="21"/>
      <c r="D2" s="21"/>
      <c r="E2" s="21"/>
      <c r="F2" s="21"/>
    </row>
    <row r="3" spans="1:7" x14ac:dyDescent="0.15">
      <c r="A3" s="16"/>
      <c r="B3" s="16"/>
      <c r="C3" s="16"/>
      <c r="D3" s="16"/>
      <c r="E3" s="16"/>
      <c r="F3" s="16"/>
    </row>
    <row r="4" spans="1:7" x14ac:dyDescent="0.15">
      <c r="A4" s="22" t="s">
        <v>2</v>
      </c>
      <c r="B4" s="22"/>
      <c r="C4" s="111" t="s">
        <v>144</v>
      </c>
      <c r="D4" s="111"/>
      <c r="E4" s="42"/>
      <c r="F4" s="16"/>
    </row>
    <row r="5" spans="1:7" ht="16.5" customHeight="1" x14ac:dyDescent="0.15">
      <c r="A5" s="16"/>
      <c r="B5" s="20" t="s">
        <v>1</v>
      </c>
      <c r="C5" s="110" t="s">
        <v>157</v>
      </c>
      <c r="D5" s="110"/>
      <c r="E5" s="110"/>
      <c r="F5" s="66"/>
      <c r="G5" s="66"/>
    </row>
    <row r="6" spans="1:7" x14ac:dyDescent="0.15">
      <c r="A6" s="23"/>
      <c r="B6" s="24" t="s">
        <v>3</v>
      </c>
      <c r="C6" s="88" t="s">
        <v>4</v>
      </c>
      <c r="D6" s="88"/>
      <c r="E6" s="16"/>
      <c r="F6" s="16"/>
    </row>
    <row r="7" spans="1:7" x14ac:dyDescent="0.15">
      <c r="A7" s="25" t="s">
        <v>5</v>
      </c>
      <c r="B7" s="25" t="s">
        <v>6</v>
      </c>
      <c r="C7" s="87">
        <v>1555.54</v>
      </c>
      <c r="D7" s="87"/>
      <c r="E7" s="16"/>
      <c r="F7" s="16"/>
    </row>
    <row r="8" spans="1:7" x14ac:dyDescent="0.15">
      <c r="A8" s="25" t="s">
        <v>7</v>
      </c>
      <c r="B8" s="25" t="s">
        <v>8</v>
      </c>
      <c r="C8" s="87">
        <f>C7*30%</f>
        <v>466.66199999999998</v>
      </c>
      <c r="D8" s="87"/>
      <c r="E8" s="16"/>
      <c r="F8" s="16"/>
    </row>
    <row r="9" spans="1:7" x14ac:dyDescent="0.15">
      <c r="A9" s="25" t="s">
        <v>9</v>
      </c>
      <c r="B9" s="25" t="s">
        <v>10</v>
      </c>
      <c r="C9" s="87" t="s">
        <v>128</v>
      </c>
      <c r="D9" s="87"/>
      <c r="E9" s="16"/>
      <c r="F9" s="16"/>
    </row>
    <row r="10" spans="1:7" x14ac:dyDescent="0.15">
      <c r="A10" s="25" t="s">
        <v>11</v>
      </c>
      <c r="B10" s="25" t="s">
        <v>12</v>
      </c>
      <c r="C10" s="87" t="s">
        <v>128</v>
      </c>
      <c r="D10" s="87"/>
      <c r="E10" s="16"/>
      <c r="F10" s="16"/>
    </row>
    <row r="11" spans="1:7" x14ac:dyDescent="0.15">
      <c r="A11" s="25" t="s">
        <v>13</v>
      </c>
      <c r="B11" s="25" t="s">
        <v>14</v>
      </c>
      <c r="C11" s="87" t="s">
        <v>128</v>
      </c>
      <c r="D11" s="87"/>
      <c r="E11" s="16"/>
      <c r="F11" s="16"/>
    </row>
    <row r="12" spans="1:7" x14ac:dyDescent="0.15">
      <c r="A12" s="25" t="s">
        <v>15</v>
      </c>
      <c r="B12" s="25" t="s">
        <v>16</v>
      </c>
      <c r="C12" s="87" t="s">
        <v>128</v>
      </c>
      <c r="D12" s="87"/>
      <c r="E12" s="16"/>
      <c r="F12" s="16"/>
    </row>
    <row r="13" spans="1:7" x14ac:dyDescent="0.15">
      <c r="A13" s="25" t="s">
        <v>17</v>
      </c>
      <c r="B13" s="25" t="s">
        <v>18</v>
      </c>
      <c r="C13" s="87" t="s">
        <v>128</v>
      </c>
      <c r="D13" s="87"/>
      <c r="E13" s="16"/>
      <c r="F13" s="16"/>
    </row>
    <row r="14" spans="1:7" ht="27" customHeight="1" x14ac:dyDescent="0.15">
      <c r="A14" s="25" t="s">
        <v>19</v>
      </c>
      <c r="B14" s="26" t="s">
        <v>166</v>
      </c>
      <c r="C14" s="87">
        <f>SUM(((C7)/220)*10*2*13*50%/12)</f>
        <v>76.598560606060602</v>
      </c>
      <c r="D14" s="87"/>
      <c r="E14" s="16"/>
      <c r="F14" s="16"/>
    </row>
    <row r="15" spans="1:7" x14ac:dyDescent="0.15">
      <c r="A15" s="24"/>
      <c r="B15" s="24" t="s">
        <v>21</v>
      </c>
      <c r="C15" s="86">
        <f>SUM(C7:D14)</f>
        <v>2098.8005606060606</v>
      </c>
      <c r="D15" s="86"/>
      <c r="E15" s="16"/>
      <c r="F15" s="16"/>
    </row>
    <row r="16" spans="1:7" x14ac:dyDescent="0.15">
      <c r="A16" s="16"/>
      <c r="B16" s="16"/>
      <c r="C16" s="16"/>
      <c r="D16" s="16"/>
      <c r="E16" s="16"/>
      <c r="F16" s="16"/>
    </row>
    <row r="17" spans="1:6" x14ac:dyDescent="0.15">
      <c r="A17" s="22" t="s">
        <v>22</v>
      </c>
      <c r="B17" s="22"/>
      <c r="C17" s="16"/>
      <c r="D17" s="16"/>
      <c r="E17" s="16"/>
      <c r="F17" s="16"/>
    </row>
    <row r="18" spans="1:6" x14ac:dyDescent="0.15">
      <c r="A18" s="16"/>
      <c r="B18" s="20" t="s">
        <v>1</v>
      </c>
      <c r="C18" s="16"/>
      <c r="D18" s="16"/>
      <c r="E18" s="16"/>
      <c r="F18" s="16"/>
    </row>
    <row r="19" spans="1:6" x14ac:dyDescent="0.15">
      <c r="A19" s="27">
        <v>2</v>
      </c>
      <c r="B19" s="25" t="s">
        <v>23</v>
      </c>
      <c r="C19" s="95" t="s">
        <v>4</v>
      </c>
      <c r="D19" s="95"/>
      <c r="E19" s="16"/>
      <c r="F19" s="16"/>
    </row>
    <row r="20" spans="1:6" x14ac:dyDescent="0.15">
      <c r="A20" s="25" t="s">
        <v>5</v>
      </c>
      <c r="B20" s="25" t="s">
        <v>24</v>
      </c>
      <c r="C20" s="96">
        <f>(6.5*2*11)-(6%*C7)</f>
        <v>49.667600000000007</v>
      </c>
      <c r="D20" s="96"/>
      <c r="E20" s="69" t="s">
        <v>137</v>
      </c>
      <c r="F20" s="16"/>
    </row>
    <row r="21" spans="1:6" x14ac:dyDescent="0.15">
      <c r="A21" s="25" t="s">
        <v>7</v>
      </c>
      <c r="B21" s="28" t="s">
        <v>25</v>
      </c>
      <c r="C21" s="97">
        <f>18.7*11*80%</f>
        <v>164.56</v>
      </c>
      <c r="D21" s="97"/>
      <c r="E21" s="69" t="s">
        <v>155</v>
      </c>
      <c r="F21" s="16"/>
    </row>
    <row r="22" spans="1:6" x14ac:dyDescent="0.15">
      <c r="A22" s="25" t="s">
        <v>9</v>
      </c>
      <c r="B22" s="25" t="s">
        <v>160</v>
      </c>
      <c r="C22" s="87">
        <v>0</v>
      </c>
      <c r="D22" s="87"/>
      <c r="E22" s="69" t="s">
        <v>111</v>
      </c>
      <c r="F22" s="16"/>
    </row>
    <row r="23" spans="1:6" x14ac:dyDescent="0.15">
      <c r="A23" s="25" t="s">
        <v>11</v>
      </c>
      <c r="B23" s="25" t="s">
        <v>161</v>
      </c>
      <c r="C23" s="93">
        <v>5</v>
      </c>
      <c r="D23" s="94"/>
      <c r="E23" s="69" t="s">
        <v>111</v>
      </c>
      <c r="F23" s="16"/>
    </row>
    <row r="24" spans="1:6" ht="15" customHeight="1" x14ac:dyDescent="0.15">
      <c r="A24" s="25" t="s">
        <v>13</v>
      </c>
      <c r="B24" s="25" t="s">
        <v>145</v>
      </c>
      <c r="C24" s="93">
        <v>21.5</v>
      </c>
      <c r="D24" s="94"/>
      <c r="E24" s="69" t="s">
        <v>164</v>
      </c>
      <c r="F24" s="16"/>
    </row>
    <row r="25" spans="1:6" ht="15" customHeight="1" x14ac:dyDescent="0.15">
      <c r="A25" s="25" t="s">
        <v>15</v>
      </c>
      <c r="B25" s="25" t="s">
        <v>162</v>
      </c>
      <c r="C25" s="93">
        <f>1295.63*0.3*C50</f>
        <v>23.321339999999999</v>
      </c>
      <c r="D25" s="94"/>
      <c r="E25" s="69" t="s">
        <v>111</v>
      </c>
      <c r="F25" s="16"/>
    </row>
    <row r="26" spans="1:6" ht="15" customHeight="1" x14ac:dyDescent="0.15">
      <c r="A26" s="25" t="s">
        <v>17</v>
      </c>
      <c r="B26" s="25" t="s">
        <v>20</v>
      </c>
      <c r="C26" s="93">
        <v>0</v>
      </c>
      <c r="D26" s="94"/>
      <c r="E26" s="69"/>
      <c r="F26" s="16"/>
    </row>
    <row r="27" spans="1:6" x14ac:dyDescent="0.15">
      <c r="A27" s="25"/>
      <c r="B27" s="24" t="s">
        <v>26</v>
      </c>
      <c r="C27" s="86">
        <f>SUM(C20:C25)</f>
        <v>264.04894000000002</v>
      </c>
      <c r="D27" s="86"/>
      <c r="E27" s="69"/>
      <c r="F27" s="16"/>
    </row>
    <row r="28" spans="1:6" x14ac:dyDescent="0.15">
      <c r="A28" s="16"/>
      <c r="B28" s="16"/>
      <c r="C28" s="16"/>
      <c r="D28" s="16"/>
      <c r="E28" s="69"/>
      <c r="F28" s="16"/>
    </row>
    <row r="29" spans="1:6" x14ac:dyDescent="0.15">
      <c r="A29" s="98" t="s">
        <v>27</v>
      </c>
      <c r="B29" s="98"/>
      <c r="C29" s="16"/>
      <c r="D29" s="16"/>
      <c r="E29" s="69"/>
      <c r="F29" s="16"/>
    </row>
    <row r="30" spans="1:6" x14ac:dyDescent="0.15">
      <c r="A30" s="16"/>
      <c r="B30" s="20" t="s">
        <v>1</v>
      </c>
      <c r="C30" s="16"/>
      <c r="D30" s="16"/>
      <c r="E30" s="69"/>
      <c r="F30" s="16"/>
    </row>
    <row r="31" spans="1:6" x14ac:dyDescent="0.15">
      <c r="A31" s="27">
        <v>3</v>
      </c>
      <c r="B31" s="25" t="s">
        <v>28</v>
      </c>
      <c r="C31" s="95" t="s">
        <v>4</v>
      </c>
      <c r="D31" s="95"/>
      <c r="E31" s="69"/>
      <c r="F31" s="16"/>
    </row>
    <row r="32" spans="1:6" ht="15" customHeight="1" x14ac:dyDescent="0.15">
      <c r="A32" s="25" t="s">
        <v>5</v>
      </c>
      <c r="B32" s="25" t="s">
        <v>29</v>
      </c>
      <c r="C32" s="100">
        <v>169.94</v>
      </c>
      <c r="D32" s="100"/>
      <c r="E32" s="71"/>
      <c r="F32" s="16"/>
    </row>
    <row r="33" spans="1:6" x14ac:dyDescent="0.15">
      <c r="A33" s="25" t="s">
        <v>7</v>
      </c>
      <c r="B33" s="25" t="s">
        <v>30</v>
      </c>
      <c r="C33" s="100">
        <v>0</v>
      </c>
      <c r="D33" s="100"/>
      <c r="E33" s="71"/>
      <c r="F33" s="16"/>
    </row>
    <row r="34" spans="1:6" x14ac:dyDescent="0.15">
      <c r="A34" s="25" t="s">
        <v>9</v>
      </c>
      <c r="B34" s="25" t="s">
        <v>31</v>
      </c>
      <c r="C34" s="100">
        <v>0</v>
      </c>
      <c r="D34" s="100"/>
      <c r="E34" s="71"/>
      <c r="F34" s="16"/>
    </row>
    <row r="35" spans="1:6" x14ac:dyDescent="0.15">
      <c r="A35" s="25" t="s">
        <v>11</v>
      </c>
      <c r="B35" s="25" t="s">
        <v>20</v>
      </c>
      <c r="C35" s="100">
        <v>0</v>
      </c>
      <c r="D35" s="100"/>
      <c r="E35" s="69"/>
      <c r="F35" s="16"/>
    </row>
    <row r="36" spans="1:6" x14ac:dyDescent="0.15">
      <c r="A36" s="88" t="s">
        <v>32</v>
      </c>
      <c r="B36" s="88"/>
      <c r="C36" s="86">
        <f>C32</f>
        <v>169.94</v>
      </c>
      <c r="D36" s="86"/>
      <c r="E36" s="69"/>
      <c r="F36" s="16"/>
    </row>
    <row r="37" spans="1:6" x14ac:dyDescent="0.15">
      <c r="A37" s="16"/>
      <c r="B37" s="16"/>
      <c r="C37" s="16"/>
      <c r="D37" s="16"/>
      <c r="E37" s="69"/>
      <c r="F37" s="16"/>
    </row>
    <row r="38" spans="1:6" x14ac:dyDescent="0.15">
      <c r="A38" s="22" t="s">
        <v>33</v>
      </c>
      <c r="B38" s="22"/>
      <c r="C38" s="16"/>
      <c r="D38" s="16"/>
      <c r="E38" s="69"/>
      <c r="F38" s="16"/>
    </row>
    <row r="39" spans="1:6" x14ac:dyDescent="0.15">
      <c r="A39" s="16"/>
      <c r="B39" s="16"/>
      <c r="C39" s="16"/>
      <c r="D39" s="16"/>
      <c r="E39" s="69"/>
      <c r="F39" s="16"/>
    </row>
    <row r="40" spans="1:6" x14ac:dyDescent="0.15">
      <c r="A40" s="22" t="s">
        <v>34</v>
      </c>
      <c r="B40" s="22"/>
      <c r="C40" s="16"/>
      <c r="D40" s="16"/>
      <c r="E40" s="69"/>
      <c r="F40" s="16"/>
    </row>
    <row r="41" spans="1:6" x14ac:dyDescent="0.15">
      <c r="A41" s="16"/>
      <c r="B41" s="20" t="s">
        <v>1</v>
      </c>
      <c r="C41" s="16"/>
      <c r="D41" s="16"/>
      <c r="E41" s="69"/>
      <c r="F41" s="16"/>
    </row>
    <row r="42" spans="1:6" x14ac:dyDescent="0.15">
      <c r="A42" s="24" t="s">
        <v>35</v>
      </c>
      <c r="B42" s="24" t="s">
        <v>36</v>
      </c>
      <c r="C42" s="30" t="s">
        <v>37</v>
      </c>
      <c r="D42" s="24" t="s">
        <v>4</v>
      </c>
      <c r="E42" s="69"/>
      <c r="F42" s="16"/>
    </row>
    <row r="43" spans="1:6" x14ac:dyDescent="0.15">
      <c r="A43" s="25" t="s">
        <v>5</v>
      </c>
      <c r="B43" s="25" t="s">
        <v>38</v>
      </c>
      <c r="C43" s="31">
        <v>0.2</v>
      </c>
      <c r="D43" s="32">
        <f>C43*C15</f>
        <v>419.76011212121216</v>
      </c>
      <c r="E43" s="69" t="s">
        <v>112</v>
      </c>
      <c r="F43" s="16"/>
    </row>
    <row r="44" spans="1:6" x14ac:dyDescent="0.15">
      <c r="A44" s="25" t="s">
        <v>13</v>
      </c>
      <c r="B44" s="25" t="s">
        <v>39</v>
      </c>
      <c r="C44" s="33">
        <v>2.5000000000000001E-2</v>
      </c>
      <c r="D44" s="32">
        <f>C44*C15</f>
        <v>52.47001401515152</v>
      </c>
      <c r="E44" s="69" t="s">
        <v>113</v>
      </c>
      <c r="F44" s="16"/>
    </row>
    <row r="45" spans="1:6" x14ac:dyDescent="0.15">
      <c r="A45" s="25" t="s">
        <v>19</v>
      </c>
      <c r="B45" s="25" t="s">
        <v>40</v>
      </c>
      <c r="C45" s="31">
        <v>6.0000000000000001E-3</v>
      </c>
      <c r="D45" s="32">
        <f>C45*C15</f>
        <v>12.592803363636364</v>
      </c>
      <c r="E45" s="69" t="s">
        <v>114</v>
      </c>
      <c r="F45" s="16"/>
    </row>
    <row r="46" spans="1:6" x14ac:dyDescent="0.15">
      <c r="A46" s="25" t="s">
        <v>7</v>
      </c>
      <c r="B46" s="25" t="s">
        <v>41</v>
      </c>
      <c r="C46" s="31">
        <v>1.4999999999999999E-2</v>
      </c>
      <c r="D46" s="32">
        <f>C46*C15</f>
        <v>31.482008409090909</v>
      </c>
      <c r="E46" s="69" t="s">
        <v>115</v>
      </c>
      <c r="F46" s="16"/>
    </row>
    <row r="47" spans="1:6" x14ac:dyDescent="0.15">
      <c r="A47" s="25" t="s">
        <v>9</v>
      </c>
      <c r="B47" s="25" t="s">
        <v>42</v>
      </c>
      <c r="C47" s="31">
        <v>0.01</v>
      </c>
      <c r="D47" s="32">
        <f>C47*C15</f>
        <v>20.988005606060607</v>
      </c>
      <c r="E47" s="69" t="s">
        <v>116</v>
      </c>
      <c r="F47" s="16"/>
    </row>
    <row r="48" spans="1:6" x14ac:dyDescent="0.15">
      <c r="A48" s="25" t="s">
        <v>11</v>
      </c>
      <c r="B48" s="25" t="s">
        <v>43</v>
      </c>
      <c r="C48" s="31">
        <v>2E-3</v>
      </c>
      <c r="D48" s="32">
        <f>C48*C15</f>
        <v>4.1976011212121209</v>
      </c>
      <c r="E48" s="69" t="s">
        <v>117</v>
      </c>
      <c r="F48" s="16"/>
    </row>
    <row r="49" spans="1:7" x14ac:dyDescent="0.15">
      <c r="A49" s="25" t="s">
        <v>15</v>
      </c>
      <c r="B49" s="25" t="s">
        <v>44</v>
      </c>
      <c r="C49" s="31">
        <v>0.08</v>
      </c>
      <c r="D49" s="32">
        <f>C49*C15</f>
        <v>167.90404484848486</v>
      </c>
      <c r="E49" s="69" t="s">
        <v>118</v>
      </c>
      <c r="F49" s="16"/>
    </row>
    <row r="50" spans="1:7" x14ac:dyDescent="0.15">
      <c r="A50" s="25" t="s">
        <v>17</v>
      </c>
      <c r="B50" s="25" t="s">
        <v>129</v>
      </c>
      <c r="C50" s="31">
        <v>0.06</v>
      </c>
      <c r="D50" s="32">
        <f>C50*C15</f>
        <v>125.92803363636364</v>
      </c>
      <c r="E50" s="69" t="s">
        <v>119</v>
      </c>
      <c r="F50" s="16"/>
    </row>
    <row r="51" spans="1:7" x14ac:dyDescent="0.15">
      <c r="A51" s="88" t="s">
        <v>45</v>
      </c>
      <c r="B51" s="88"/>
      <c r="C51" s="34">
        <f>SUM(C43:C50)</f>
        <v>0.39800000000000002</v>
      </c>
      <c r="D51" s="35">
        <f>SUM(D43:D50)</f>
        <v>835.32262312121202</v>
      </c>
      <c r="E51" s="69"/>
      <c r="F51" s="16"/>
    </row>
    <row r="52" spans="1:7" x14ac:dyDescent="0.15">
      <c r="A52" s="16"/>
      <c r="B52" s="16"/>
      <c r="C52" s="16"/>
      <c r="D52" s="16"/>
      <c r="E52" s="69"/>
      <c r="F52" s="16"/>
    </row>
    <row r="53" spans="1:7" x14ac:dyDescent="0.15">
      <c r="A53" s="22" t="s">
        <v>46</v>
      </c>
      <c r="B53" s="22"/>
      <c r="C53" s="16"/>
      <c r="D53" s="16"/>
      <c r="E53" s="69"/>
      <c r="F53" s="29"/>
    </row>
    <row r="54" spans="1:7" x14ac:dyDescent="0.15">
      <c r="A54" s="16"/>
      <c r="B54" s="20" t="s">
        <v>1</v>
      </c>
      <c r="C54" s="16"/>
      <c r="D54" s="16"/>
      <c r="E54" s="69"/>
      <c r="F54" s="16"/>
    </row>
    <row r="55" spans="1:7" x14ac:dyDescent="0.15">
      <c r="A55" s="24" t="s">
        <v>47</v>
      </c>
      <c r="B55" s="23" t="s">
        <v>48</v>
      </c>
      <c r="C55" s="30" t="s">
        <v>37</v>
      </c>
      <c r="D55" s="24" t="s">
        <v>4</v>
      </c>
      <c r="E55" s="72"/>
      <c r="F55" s="16"/>
    </row>
    <row r="56" spans="1:7" x14ac:dyDescent="0.15">
      <c r="A56" s="25" t="s">
        <v>5</v>
      </c>
      <c r="B56" s="27" t="s">
        <v>49</v>
      </c>
      <c r="C56" s="31">
        <f>1/12</f>
        <v>8.3333333333333329E-2</v>
      </c>
      <c r="D56" s="32">
        <f>C15*C56</f>
        <v>174.9000467171717</v>
      </c>
      <c r="E56" s="72" t="s">
        <v>120</v>
      </c>
      <c r="F56" s="37"/>
      <c r="G56" s="38"/>
    </row>
    <row r="57" spans="1:7" x14ac:dyDescent="0.15">
      <c r="A57" s="25" t="s">
        <v>7</v>
      </c>
      <c r="B57" s="27" t="s">
        <v>50</v>
      </c>
      <c r="C57" s="39">
        <f>1/3/12</f>
        <v>2.7777777777777776E-2</v>
      </c>
      <c r="D57" s="32">
        <f>C57*C15</f>
        <v>58.300015572390571</v>
      </c>
      <c r="E57" s="72" t="s">
        <v>121</v>
      </c>
      <c r="F57" s="37"/>
    </row>
    <row r="58" spans="1:7" x14ac:dyDescent="0.15">
      <c r="A58" s="88" t="s">
        <v>51</v>
      </c>
      <c r="B58" s="88"/>
      <c r="C58" s="40">
        <f>SUM(C56:C57)</f>
        <v>0.1111111111111111</v>
      </c>
      <c r="D58" s="35">
        <f>SUM(D56:D57)</f>
        <v>233.20006228956228</v>
      </c>
      <c r="E58" s="69"/>
      <c r="F58" s="16"/>
    </row>
    <row r="59" spans="1:7" x14ac:dyDescent="0.15">
      <c r="A59" s="25" t="s">
        <v>9</v>
      </c>
      <c r="B59" s="27" t="s">
        <v>52</v>
      </c>
      <c r="C59" s="31">
        <f>C51*C58</f>
        <v>4.4222222222222225E-2</v>
      </c>
      <c r="D59" s="32">
        <f>C51*D58</f>
        <v>92.813624791245786</v>
      </c>
      <c r="E59" s="69"/>
      <c r="F59" s="16"/>
    </row>
    <row r="60" spans="1:7" x14ac:dyDescent="0.15">
      <c r="A60" s="88" t="s">
        <v>45</v>
      </c>
      <c r="B60" s="88"/>
      <c r="C60" s="40">
        <f>SUM(C58:C59)</f>
        <v>0.15533333333333332</v>
      </c>
      <c r="D60" s="35">
        <f>SUM(D58:D59)</f>
        <v>326.01368708080804</v>
      </c>
      <c r="E60" s="69"/>
      <c r="F60" s="16"/>
    </row>
    <row r="61" spans="1:7" x14ac:dyDescent="0.15">
      <c r="A61" s="16"/>
      <c r="B61" s="16"/>
      <c r="C61" s="16"/>
      <c r="D61" s="16"/>
      <c r="E61" s="69"/>
      <c r="F61" s="16"/>
    </row>
    <row r="62" spans="1:7" x14ac:dyDescent="0.15">
      <c r="A62" s="22" t="s">
        <v>53</v>
      </c>
      <c r="B62" s="16"/>
      <c r="C62" s="16"/>
      <c r="D62" s="16"/>
      <c r="E62" s="69"/>
      <c r="F62" s="16"/>
    </row>
    <row r="63" spans="1:7" x14ac:dyDescent="0.15">
      <c r="A63" s="16"/>
      <c r="B63" s="20" t="s">
        <v>1</v>
      </c>
      <c r="C63" s="16"/>
      <c r="D63" s="16"/>
      <c r="E63" s="69"/>
      <c r="F63" s="36"/>
    </row>
    <row r="64" spans="1:7" x14ac:dyDescent="0.15">
      <c r="A64" s="24" t="s">
        <v>54</v>
      </c>
      <c r="B64" s="23" t="s">
        <v>55</v>
      </c>
      <c r="C64" s="30" t="s">
        <v>37</v>
      </c>
      <c r="D64" s="24" t="s">
        <v>4</v>
      </c>
      <c r="E64" s="69"/>
      <c r="F64" s="16"/>
    </row>
    <row r="65" spans="1:8" ht="21" x14ac:dyDescent="0.15">
      <c r="A65" s="25" t="s">
        <v>5</v>
      </c>
      <c r="B65" s="27" t="s">
        <v>56</v>
      </c>
      <c r="C65" s="41">
        <f>4/3*4/12/12*2%</f>
        <v>7.407407407407407E-4</v>
      </c>
      <c r="D65" s="32">
        <f>C65*C15</f>
        <v>1.5546670819304151</v>
      </c>
      <c r="E65" s="73" t="s">
        <v>122</v>
      </c>
      <c r="F65" s="16"/>
      <c r="H65" s="46"/>
    </row>
    <row r="66" spans="1:8" x14ac:dyDescent="0.15">
      <c r="A66" s="25" t="s">
        <v>57</v>
      </c>
      <c r="B66" s="27" t="s">
        <v>58</v>
      </c>
      <c r="C66" s="41">
        <f>C65*C51</f>
        <v>2.9481481481481481E-4</v>
      </c>
      <c r="D66" s="32">
        <f>C66*C15</f>
        <v>0.6187574986083052</v>
      </c>
      <c r="E66" s="69"/>
      <c r="F66" s="16"/>
      <c r="G66" s="16"/>
    </row>
    <row r="67" spans="1:8" ht="33.75" x14ac:dyDescent="0.15">
      <c r="A67" s="25" t="s">
        <v>59</v>
      </c>
      <c r="B67" s="43" t="s">
        <v>165</v>
      </c>
      <c r="C67" s="41">
        <f>(13/12*4/12*2%)*C51</f>
        <v>2.8744444444444447E-3</v>
      </c>
      <c r="D67" s="32">
        <f>C15*C67</f>
        <v>6.0328856114309763</v>
      </c>
      <c r="E67" s="69"/>
      <c r="F67" s="16"/>
      <c r="G67" s="16"/>
    </row>
    <row r="68" spans="1:8" x14ac:dyDescent="0.15">
      <c r="A68" s="88" t="s">
        <v>45</v>
      </c>
      <c r="B68" s="88"/>
      <c r="C68" s="44">
        <f>SUM(C65:C67)</f>
        <v>3.9100000000000003E-3</v>
      </c>
      <c r="D68" s="35">
        <f>SUM(D65:D67)</f>
        <v>8.2063101919696972</v>
      </c>
      <c r="E68" s="69"/>
      <c r="F68" s="16"/>
      <c r="G68" s="16"/>
    </row>
    <row r="69" spans="1:8" x14ac:dyDescent="0.15">
      <c r="A69" s="16"/>
      <c r="B69" s="16"/>
      <c r="C69" s="16"/>
      <c r="D69" s="16"/>
      <c r="E69" s="69"/>
      <c r="F69" s="16"/>
      <c r="G69" s="16"/>
    </row>
    <row r="70" spans="1:8" x14ac:dyDescent="0.15">
      <c r="A70" s="22" t="s">
        <v>60</v>
      </c>
      <c r="B70" s="16"/>
      <c r="C70" s="16"/>
      <c r="D70" s="16"/>
      <c r="E70" s="69"/>
      <c r="F70" s="16"/>
      <c r="G70" s="16"/>
    </row>
    <row r="71" spans="1:8" x14ac:dyDescent="0.15">
      <c r="A71" s="16"/>
      <c r="B71" s="20" t="s">
        <v>1</v>
      </c>
      <c r="C71" s="16"/>
      <c r="D71" s="16"/>
      <c r="E71" s="69"/>
      <c r="F71" s="16"/>
      <c r="G71" s="16"/>
    </row>
    <row r="72" spans="1:8" s="22" customFormat="1" x14ac:dyDescent="0.15">
      <c r="A72" s="24" t="s">
        <v>61</v>
      </c>
      <c r="B72" s="23" t="s">
        <v>62</v>
      </c>
      <c r="C72" s="30" t="s">
        <v>37</v>
      </c>
      <c r="D72" s="24" t="s">
        <v>4</v>
      </c>
      <c r="E72" s="74"/>
    </row>
    <row r="73" spans="1:8" ht="31.5" x14ac:dyDescent="0.15">
      <c r="A73" s="25" t="s">
        <v>5</v>
      </c>
      <c r="B73" s="45" t="s">
        <v>63</v>
      </c>
      <c r="C73" s="41">
        <f>(1/12*1.5+1/30*3/12)*5%</f>
        <v>6.6666666666666671E-3</v>
      </c>
      <c r="D73" s="32">
        <f>C73*C15</f>
        <v>13.992003737373738</v>
      </c>
      <c r="E73" s="73" t="s">
        <v>123</v>
      </c>
      <c r="F73" s="16"/>
    </row>
    <row r="74" spans="1:8" x14ac:dyDescent="0.15">
      <c r="A74" s="25" t="s">
        <v>7</v>
      </c>
      <c r="B74" s="27" t="s">
        <v>64</v>
      </c>
      <c r="C74" s="41">
        <f>C49*C73</f>
        <v>5.3333333333333336E-4</v>
      </c>
      <c r="D74" s="32">
        <f>C74*C15</f>
        <v>1.119360298989899</v>
      </c>
      <c r="E74" s="75"/>
      <c r="F74" s="16"/>
    </row>
    <row r="75" spans="1:8" ht="31.5" x14ac:dyDescent="0.15">
      <c r="A75" s="25" t="s">
        <v>65</v>
      </c>
      <c r="B75" s="45" t="s">
        <v>66</v>
      </c>
      <c r="C75" s="41">
        <f>0.4*C49</f>
        <v>3.2000000000000001E-2</v>
      </c>
      <c r="D75" s="47">
        <f>C75*C15</f>
        <v>67.161617939393935</v>
      </c>
      <c r="E75" s="73" t="s">
        <v>124</v>
      </c>
      <c r="F75" s="16"/>
    </row>
    <row r="76" spans="1:8" x14ac:dyDescent="0.15">
      <c r="A76" s="25" t="s">
        <v>67</v>
      </c>
      <c r="B76" s="45" t="s">
        <v>68</v>
      </c>
      <c r="C76" s="41">
        <f>C49*10%</f>
        <v>8.0000000000000002E-3</v>
      </c>
      <c r="D76" s="47">
        <f>C76*C15</f>
        <v>16.790404484848484</v>
      </c>
      <c r="E76" s="73" t="s">
        <v>125</v>
      </c>
      <c r="F76" s="16"/>
    </row>
    <row r="77" spans="1:8" ht="21" x14ac:dyDescent="0.15">
      <c r="A77" s="25" t="s">
        <v>11</v>
      </c>
      <c r="B77" s="45" t="s">
        <v>69</v>
      </c>
      <c r="C77" s="41">
        <f>7/30/12*100%</f>
        <v>1.9444444444444445E-2</v>
      </c>
      <c r="D77" s="47">
        <f>C77*C15</f>
        <v>40.810010900673397</v>
      </c>
      <c r="E77" s="73" t="s">
        <v>126</v>
      </c>
      <c r="F77" s="46"/>
    </row>
    <row r="78" spans="1:8" x14ac:dyDescent="0.15">
      <c r="A78" s="25" t="s">
        <v>13</v>
      </c>
      <c r="B78" s="45" t="s">
        <v>70</v>
      </c>
      <c r="C78" s="41">
        <f>C51*C77</f>
        <v>7.7388888888888898E-3</v>
      </c>
      <c r="D78" s="32">
        <f>C78*C15</f>
        <v>16.242384338468014</v>
      </c>
      <c r="E78" s="76"/>
      <c r="F78" s="16"/>
    </row>
    <row r="79" spans="1:8" ht="21" x14ac:dyDescent="0.15">
      <c r="A79" s="25" t="s">
        <v>71</v>
      </c>
      <c r="B79" s="45" t="s">
        <v>72</v>
      </c>
      <c r="C79" s="41">
        <f>1/12*1%</f>
        <v>8.3333333333333328E-4</v>
      </c>
      <c r="D79" s="47">
        <f>C79*C7</f>
        <v>1.2962833333333332</v>
      </c>
      <c r="E79" s="77" t="s">
        <v>127</v>
      </c>
      <c r="F79" s="46"/>
    </row>
    <row r="80" spans="1:8" x14ac:dyDescent="0.15">
      <c r="A80" s="88" t="s">
        <v>45</v>
      </c>
      <c r="B80" s="88"/>
      <c r="C80" s="44">
        <f>SUM(C73:C79)</f>
        <v>7.5216666666666682E-2</v>
      </c>
      <c r="D80" s="50">
        <f>SUM(D73:D79)</f>
        <v>157.41206503308078</v>
      </c>
      <c r="E80" s="75"/>
      <c r="F80" s="16"/>
    </row>
    <row r="81" spans="1:6" x14ac:dyDescent="0.15">
      <c r="A81" s="16"/>
      <c r="B81" s="16"/>
      <c r="C81" s="16"/>
      <c r="D81" s="16"/>
      <c r="E81" s="69"/>
      <c r="F81" s="16"/>
    </row>
    <row r="82" spans="1:6" x14ac:dyDescent="0.15">
      <c r="A82" s="22" t="s">
        <v>73</v>
      </c>
      <c r="B82" s="16"/>
      <c r="C82" s="16"/>
      <c r="D82" s="16"/>
      <c r="E82" s="69"/>
      <c r="F82" s="16"/>
    </row>
    <row r="83" spans="1:6" x14ac:dyDescent="0.15">
      <c r="A83" s="16"/>
      <c r="B83" s="20" t="s">
        <v>1</v>
      </c>
      <c r="C83" s="16"/>
      <c r="D83" s="16"/>
      <c r="E83" s="69"/>
      <c r="F83" s="16"/>
    </row>
    <row r="84" spans="1:6" x14ac:dyDescent="0.15">
      <c r="A84" s="24" t="s">
        <v>74</v>
      </c>
      <c r="B84" s="24" t="s">
        <v>75</v>
      </c>
      <c r="C84" s="30" t="s">
        <v>37</v>
      </c>
      <c r="D84" s="24" t="s">
        <v>4</v>
      </c>
      <c r="E84" s="69"/>
      <c r="F84" s="16"/>
    </row>
    <row r="85" spans="1:6" x14ac:dyDescent="0.15">
      <c r="A85" s="25" t="s">
        <v>5</v>
      </c>
      <c r="B85" s="27" t="s">
        <v>76</v>
      </c>
      <c r="C85" s="41">
        <f>1/12</f>
        <v>8.3333333333333329E-2</v>
      </c>
      <c r="D85" s="32">
        <f>C85*C15</f>
        <v>174.9000467171717</v>
      </c>
      <c r="E85" s="78" t="s">
        <v>130</v>
      </c>
      <c r="F85" s="16"/>
    </row>
    <row r="86" spans="1:6" ht="21" x14ac:dyDescent="0.15">
      <c r="A86" s="25" t="s">
        <v>7</v>
      </c>
      <c r="B86" s="27" t="s">
        <v>77</v>
      </c>
      <c r="C86" s="41">
        <f>5/365*30%</f>
        <v>4.10958904109589E-3</v>
      </c>
      <c r="D86" s="32">
        <f>C86*C15</f>
        <v>8.6252077833125771</v>
      </c>
      <c r="E86" s="73" t="s">
        <v>131</v>
      </c>
      <c r="F86" s="16"/>
    </row>
    <row r="87" spans="1:6" ht="21" x14ac:dyDescent="0.15">
      <c r="A87" s="25" t="s">
        <v>9</v>
      </c>
      <c r="B87" s="27" t="s">
        <v>78</v>
      </c>
      <c r="C87" s="41">
        <f>5/365*1%</f>
        <v>1.36986301369863E-4</v>
      </c>
      <c r="D87" s="32">
        <f>C87*C15</f>
        <v>0.28750692611041923</v>
      </c>
      <c r="E87" s="73" t="s">
        <v>132</v>
      </c>
      <c r="F87" s="16"/>
    </row>
    <row r="88" spans="1:6" ht="21" x14ac:dyDescent="0.15">
      <c r="A88" s="25" t="s">
        <v>11</v>
      </c>
      <c r="B88" s="27" t="s">
        <v>79</v>
      </c>
      <c r="C88" s="41">
        <f>3/365*5%+2/365*2%+2/365*2%</f>
        <v>6.3013698630136989E-4</v>
      </c>
      <c r="D88" s="32">
        <f>C88*C15</f>
        <v>1.3225318601079286</v>
      </c>
      <c r="E88" s="73" t="s">
        <v>133</v>
      </c>
      <c r="F88" s="16"/>
    </row>
    <row r="89" spans="1:6" ht="21" x14ac:dyDescent="0.15">
      <c r="A89" s="25" t="s">
        <v>13</v>
      </c>
      <c r="B89" s="27" t="s">
        <v>80</v>
      </c>
      <c r="C89" s="41">
        <f>15/365*8%</f>
        <v>3.2876712328767121E-3</v>
      </c>
      <c r="D89" s="32">
        <f>C89*C15</f>
        <v>6.9001662266500619</v>
      </c>
      <c r="E89" s="73" t="s">
        <v>134</v>
      </c>
      <c r="F89" s="16"/>
    </row>
    <row r="90" spans="1:6" x14ac:dyDescent="0.15">
      <c r="A90" s="88" t="s">
        <v>51</v>
      </c>
      <c r="B90" s="88"/>
      <c r="C90" s="44">
        <f>SUM(C85:C89)</f>
        <v>9.1497716894977155E-2</v>
      </c>
      <c r="D90" s="35">
        <f>SUM(D85:D89)</f>
        <v>192.03545951335269</v>
      </c>
      <c r="E90" s="69"/>
      <c r="F90" s="16"/>
    </row>
    <row r="91" spans="1:6" x14ac:dyDescent="0.15">
      <c r="A91" s="25" t="s">
        <v>17</v>
      </c>
      <c r="B91" s="27" t="s">
        <v>81</v>
      </c>
      <c r="C91" s="41">
        <f>C51*C90</f>
        <v>3.6416091324200907E-2</v>
      </c>
      <c r="D91" s="32">
        <f>D90*C51</f>
        <v>76.430112886314376</v>
      </c>
      <c r="E91" s="69"/>
      <c r="F91" s="16"/>
    </row>
    <row r="92" spans="1:6" x14ac:dyDescent="0.15">
      <c r="A92" s="88" t="s">
        <v>45</v>
      </c>
      <c r="B92" s="99"/>
      <c r="C92" s="44">
        <f>SUM(C90:C91)</f>
        <v>0.12791380821917805</v>
      </c>
      <c r="D92" s="35">
        <f>SUM(D90:D91)</f>
        <v>268.46557239966705</v>
      </c>
      <c r="E92" s="69"/>
      <c r="F92" s="16"/>
    </row>
    <row r="93" spans="1:6" x14ac:dyDescent="0.15">
      <c r="A93" s="16"/>
      <c r="B93" s="16"/>
      <c r="C93" s="16"/>
      <c r="D93" s="16"/>
      <c r="E93" s="69"/>
      <c r="F93" s="16"/>
    </row>
    <row r="94" spans="1:6" x14ac:dyDescent="0.15">
      <c r="A94" s="22" t="s">
        <v>82</v>
      </c>
      <c r="B94" s="16"/>
      <c r="C94" s="16"/>
      <c r="D94" s="16"/>
      <c r="E94" s="69"/>
      <c r="F94" s="16"/>
    </row>
    <row r="95" spans="1:6" x14ac:dyDescent="0.15">
      <c r="A95" s="16"/>
      <c r="B95" s="20" t="s">
        <v>1</v>
      </c>
      <c r="C95" s="16"/>
      <c r="D95" s="16"/>
      <c r="E95" s="69"/>
      <c r="F95" s="16"/>
    </row>
    <row r="96" spans="1:6" s="22" customFormat="1" x14ac:dyDescent="0.15">
      <c r="A96" s="23">
        <v>4</v>
      </c>
      <c r="B96" s="23" t="s">
        <v>83</v>
      </c>
      <c r="C96" s="30" t="s">
        <v>37</v>
      </c>
      <c r="D96" s="24" t="s">
        <v>4</v>
      </c>
      <c r="E96" s="74"/>
    </row>
    <row r="97" spans="1:6" x14ac:dyDescent="0.15">
      <c r="A97" s="25" t="s">
        <v>35</v>
      </c>
      <c r="B97" s="27" t="s">
        <v>84</v>
      </c>
      <c r="C97" s="41">
        <f>C60</f>
        <v>0.15533333333333332</v>
      </c>
      <c r="D97" s="32">
        <f>D60</f>
        <v>326.01368708080804</v>
      </c>
      <c r="E97" s="69"/>
      <c r="F97" s="16"/>
    </row>
    <row r="98" spans="1:6" x14ac:dyDescent="0.15">
      <c r="A98" s="25" t="s">
        <v>47</v>
      </c>
      <c r="B98" s="27" t="s">
        <v>36</v>
      </c>
      <c r="C98" s="41">
        <f>C51</f>
        <v>0.39800000000000002</v>
      </c>
      <c r="D98" s="32">
        <f>D51</f>
        <v>835.32262312121202</v>
      </c>
      <c r="E98" s="69"/>
      <c r="F98" s="16"/>
    </row>
    <row r="99" spans="1:6" x14ac:dyDescent="0.15">
      <c r="A99" s="25" t="s">
        <v>54</v>
      </c>
      <c r="B99" s="27" t="s">
        <v>85</v>
      </c>
      <c r="C99" s="41">
        <f>C68</f>
        <v>3.9100000000000003E-3</v>
      </c>
      <c r="D99" s="32">
        <f>D68</f>
        <v>8.2063101919696972</v>
      </c>
      <c r="E99" s="69"/>
      <c r="F99" s="16"/>
    </row>
    <row r="100" spans="1:6" x14ac:dyDescent="0.15">
      <c r="A100" s="25" t="s">
        <v>61</v>
      </c>
      <c r="B100" s="27" t="s">
        <v>86</v>
      </c>
      <c r="C100" s="41">
        <f>C80</f>
        <v>7.5216666666666682E-2</v>
      </c>
      <c r="D100" s="32">
        <f>D80</f>
        <v>157.41206503308078</v>
      </c>
      <c r="E100" s="69"/>
      <c r="F100" s="16"/>
    </row>
    <row r="101" spans="1:6" x14ac:dyDescent="0.15">
      <c r="A101" s="25" t="s">
        <v>74</v>
      </c>
      <c r="B101" s="27" t="s">
        <v>87</v>
      </c>
      <c r="C101" s="41">
        <f>C92</f>
        <v>0.12791380821917805</v>
      </c>
      <c r="D101" s="32">
        <f>D92</f>
        <v>268.46557239966705</v>
      </c>
      <c r="E101" s="69"/>
      <c r="F101" s="16"/>
    </row>
    <row r="102" spans="1:6" x14ac:dyDescent="0.15">
      <c r="A102" s="25" t="s">
        <v>88</v>
      </c>
      <c r="B102" s="27" t="s">
        <v>20</v>
      </c>
      <c r="C102" s="41">
        <f>C93</f>
        <v>0</v>
      </c>
      <c r="D102" s="32">
        <v>0</v>
      </c>
      <c r="E102" s="69"/>
      <c r="F102" s="16"/>
    </row>
    <row r="103" spans="1:6" x14ac:dyDescent="0.15">
      <c r="A103" s="102" t="s">
        <v>45</v>
      </c>
      <c r="B103" s="103"/>
      <c r="C103" s="44">
        <f>SUM(C97:C102)</f>
        <v>0.7603738082191781</v>
      </c>
      <c r="D103" s="35">
        <f>SUM(D97:D102)</f>
        <v>1595.4202578267377</v>
      </c>
      <c r="E103" s="69"/>
      <c r="F103" s="16"/>
    </row>
    <row r="104" spans="1:6" x14ac:dyDescent="0.15">
      <c r="A104" s="16"/>
      <c r="B104" s="16"/>
      <c r="C104" s="16"/>
      <c r="D104" s="16"/>
      <c r="E104" s="69"/>
      <c r="F104" s="16"/>
    </row>
    <row r="105" spans="1:6" x14ac:dyDescent="0.15">
      <c r="A105" s="104" t="s">
        <v>89</v>
      </c>
      <c r="B105" s="105"/>
      <c r="C105" s="106"/>
      <c r="D105" s="35">
        <f>D103+C36+C27+C15</f>
        <v>4128.2097584327985</v>
      </c>
      <c r="E105" s="69"/>
      <c r="F105" s="16"/>
    </row>
    <row r="106" spans="1:6" x14ac:dyDescent="0.15">
      <c r="A106" s="16"/>
      <c r="B106" s="16"/>
      <c r="C106" s="16"/>
      <c r="D106" s="16"/>
      <c r="E106" s="69"/>
      <c r="F106" s="16"/>
    </row>
    <row r="107" spans="1:6" s="22" customFormat="1" x14ac:dyDescent="0.15">
      <c r="A107" s="22" t="s">
        <v>90</v>
      </c>
      <c r="E107" s="74"/>
    </row>
    <row r="108" spans="1:6" x14ac:dyDescent="0.15">
      <c r="A108" s="16"/>
      <c r="B108" s="20" t="s">
        <v>1</v>
      </c>
      <c r="C108" s="16"/>
      <c r="D108" s="16"/>
      <c r="E108" s="69"/>
      <c r="F108" s="16"/>
    </row>
    <row r="109" spans="1:6" x14ac:dyDescent="0.15">
      <c r="A109" s="23">
        <v>5</v>
      </c>
      <c r="B109" s="24" t="s">
        <v>91</v>
      </c>
      <c r="C109" s="30" t="s">
        <v>37</v>
      </c>
      <c r="D109" s="24" t="s">
        <v>4</v>
      </c>
      <c r="E109" s="69"/>
      <c r="F109" s="16"/>
    </row>
    <row r="110" spans="1:6" x14ac:dyDescent="0.15">
      <c r="A110" s="25" t="s">
        <v>5</v>
      </c>
      <c r="B110" s="25" t="s">
        <v>92</v>
      </c>
      <c r="C110" s="31">
        <v>0.05</v>
      </c>
      <c r="D110" s="32">
        <f>(D103+C36+C27+C15)*C110</f>
        <v>206.41048792163994</v>
      </c>
      <c r="E110" s="68" t="s">
        <v>135</v>
      </c>
      <c r="F110" s="16"/>
    </row>
    <row r="111" spans="1:6" x14ac:dyDescent="0.15">
      <c r="A111" s="25" t="s">
        <v>7</v>
      </c>
      <c r="B111" s="25" t="s">
        <v>93</v>
      </c>
      <c r="C111" s="31">
        <v>0.1</v>
      </c>
      <c r="D111" s="32">
        <f>(D103+C36+C27+C15+D110)*C111</f>
        <v>433.46202463544387</v>
      </c>
      <c r="E111" s="68" t="s">
        <v>136</v>
      </c>
      <c r="F111" s="16"/>
    </row>
    <row r="112" spans="1:6" x14ac:dyDescent="0.15">
      <c r="A112" s="25" t="s">
        <v>9</v>
      </c>
      <c r="B112" s="25" t="s">
        <v>94</v>
      </c>
      <c r="C112" s="53"/>
      <c r="D112" s="32"/>
      <c r="E112" s="69"/>
      <c r="F112" s="16"/>
    </row>
    <row r="113" spans="1:6" x14ac:dyDescent="0.15">
      <c r="A113" s="25"/>
      <c r="B113" s="25" t="s">
        <v>95</v>
      </c>
      <c r="C113" s="54">
        <f>1-(C114+C116)</f>
        <v>0.85749999999999993</v>
      </c>
      <c r="D113" s="32">
        <f>(D103+C36+C27+C15+D110+D111)/C113</f>
        <v>5560.445797072749</v>
      </c>
      <c r="E113" s="69"/>
      <c r="F113" s="16"/>
    </row>
    <row r="114" spans="1:6" x14ac:dyDescent="0.15">
      <c r="A114" s="25"/>
      <c r="B114" s="25" t="s">
        <v>96</v>
      </c>
      <c r="C114" s="31">
        <f>1.65% +7.6%</f>
        <v>9.2499999999999999E-2</v>
      </c>
      <c r="D114" s="55">
        <f>C114*D113</f>
        <v>514.34123622922925</v>
      </c>
      <c r="E114" s="69"/>
      <c r="F114" s="16"/>
    </row>
    <row r="115" spans="1:6" x14ac:dyDescent="0.15">
      <c r="A115" s="25"/>
      <c r="B115" s="25" t="s">
        <v>97</v>
      </c>
      <c r="C115" s="53"/>
      <c r="D115" s="32"/>
      <c r="E115" s="69"/>
      <c r="F115" s="16"/>
    </row>
    <row r="116" spans="1:6" x14ac:dyDescent="0.15">
      <c r="A116" s="25"/>
      <c r="B116" s="25" t="s">
        <v>98</v>
      </c>
      <c r="C116" s="31">
        <v>0.05</v>
      </c>
      <c r="D116" s="55">
        <f>D113*C116</f>
        <v>278.02228985363746</v>
      </c>
      <c r="E116" s="69"/>
      <c r="F116" s="16"/>
    </row>
    <row r="117" spans="1:6" x14ac:dyDescent="0.15">
      <c r="A117" s="25"/>
      <c r="B117" s="25" t="s">
        <v>99</v>
      </c>
      <c r="C117" s="53"/>
      <c r="D117" s="32"/>
      <c r="E117" s="69"/>
      <c r="F117" s="16"/>
    </row>
    <row r="118" spans="1:6" x14ac:dyDescent="0.15">
      <c r="A118" s="88" t="s">
        <v>100</v>
      </c>
      <c r="B118" s="88"/>
      <c r="C118" s="88"/>
      <c r="D118" s="35">
        <f>SUM(D110,D114,D116,D111)</f>
        <v>1432.2360386399505</v>
      </c>
      <c r="E118" s="69"/>
      <c r="F118" s="16"/>
    </row>
    <row r="119" spans="1:6" x14ac:dyDescent="0.15">
      <c r="A119" s="16"/>
      <c r="B119" s="16"/>
      <c r="C119" s="16"/>
      <c r="D119" s="16"/>
      <c r="E119" s="69"/>
      <c r="F119" s="16"/>
    </row>
    <row r="120" spans="1:6" x14ac:dyDescent="0.15">
      <c r="A120" s="22" t="s">
        <v>101</v>
      </c>
      <c r="B120" s="16"/>
      <c r="C120" s="16"/>
      <c r="D120" s="16"/>
      <c r="E120" s="69"/>
      <c r="F120" s="16"/>
    </row>
    <row r="121" spans="1:6" x14ac:dyDescent="0.15">
      <c r="A121" s="16"/>
      <c r="B121" s="20" t="s">
        <v>1</v>
      </c>
      <c r="C121" s="16"/>
      <c r="D121" s="16"/>
      <c r="E121" s="69"/>
      <c r="F121" s="16"/>
    </row>
    <row r="122" spans="1:6" s="22" customFormat="1" x14ac:dyDescent="0.15">
      <c r="A122" s="24"/>
      <c r="B122" s="88" t="s">
        <v>102</v>
      </c>
      <c r="C122" s="88"/>
      <c r="D122" s="30" t="s">
        <v>103</v>
      </c>
      <c r="E122" s="74"/>
    </row>
    <row r="123" spans="1:6" x14ac:dyDescent="0.15">
      <c r="A123" s="25" t="s">
        <v>5</v>
      </c>
      <c r="B123" s="101" t="s">
        <v>104</v>
      </c>
      <c r="C123" s="101"/>
      <c r="D123" s="56">
        <f>C15</f>
        <v>2098.8005606060606</v>
      </c>
      <c r="E123" s="69"/>
      <c r="F123" s="16"/>
    </row>
    <row r="124" spans="1:6" x14ac:dyDescent="0.15">
      <c r="A124" s="25" t="s">
        <v>7</v>
      </c>
      <c r="B124" s="101" t="s">
        <v>105</v>
      </c>
      <c r="C124" s="101"/>
      <c r="D124" s="56">
        <f>C27</f>
        <v>264.04894000000002</v>
      </c>
      <c r="E124" s="69"/>
      <c r="F124" s="16"/>
    </row>
    <row r="125" spans="1:6" x14ac:dyDescent="0.15">
      <c r="A125" s="57" t="s">
        <v>9</v>
      </c>
      <c r="B125" s="101" t="s">
        <v>106</v>
      </c>
      <c r="C125" s="99"/>
      <c r="D125" s="56">
        <f>C36</f>
        <v>169.94</v>
      </c>
      <c r="E125" s="69"/>
      <c r="F125" s="16"/>
    </row>
    <row r="126" spans="1:6" x14ac:dyDescent="0.15">
      <c r="A126" s="25" t="s">
        <v>11</v>
      </c>
      <c r="B126" s="58" t="s">
        <v>107</v>
      </c>
      <c r="C126" s="39">
        <f>C51+C60+C68+C80+C92</f>
        <v>0.7603738082191781</v>
      </c>
      <c r="D126" s="56">
        <f>D103</f>
        <v>1595.4202578267377</v>
      </c>
      <c r="E126" s="79"/>
      <c r="F126" s="16"/>
    </row>
    <row r="127" spans="1:6" x14ac:dyDescent="0.15">
      <c r="A127" s="25"/>
      <c r="B127" s="101" t="s">
        <v>108</v>
      </c>
      <c r="C127" s="99"/>
      <c r="D127" s="56">
        <f>SUM(D123:D126)</f>
        <v>4128.2097584327985</v>
      </c>
      <c r="E127" s="80">
        <f>SUM(C15+C27+C36+D103)/0.9135</f>
        <v>4519.1130360512298</v>
      </c>
      <c r="F127" s="16"/>
    </row>
    <row r="128" spans="1:6" x14ac:dyDescent="0.15">
      <c r="A128" s="25" t="s">
        <v>13</v>
      </c>
      <c r="B128" s="101" t="s">
        <v>109</v>
      </c>
      <c r="C128" s="101"/>
      <c r="D128" s="61">
        <f>SUM(D118)</f>
        <v>1432.2360386399505</v>
      </c>
      <c r="E128" s="81"/>
      <c r="F128" s="16"/>
    </row>
    <row r="129" spans="1:6" x14ac:dyDescent="0.15">
      <c r="A129" s="88" t="s">
        <v>110</v>
      </c>
      <c r="B129" s="88"/>
      <c r="C129" s="88"/>
      <c r="D129" s="61">
        <f>SUM(D127+D128)</f>
        <v>5560.445797072749</v>
      </c>
      <c r="E129" s="70"/>
      <c r="F129" s="16"/>
    </row>
    <row r="130" spans="1:6" x14ac:dyDescent="0.15">
      <c r="A130" s="16"/>
      <c r="B130" s="16"/>
      <c r="C130" s="16"/>
      <c r="D130" s="16"/>
      <c r="E130" s="16"/>
      <c r="F130" s="16"/>
    </row>
    <row r="131" spans="1:6" x14ac:dyDescent="0.15">
      <c r="B131" s="63" t="s">
        <v>148</v>
      </c>
      <c r="C131" s="64">
        <f>D129</f>
        <v>5560.445797072749</v>
      </c>
    </row>
    <row r="132" spans="1:6" x14ac:dyDescent="0.15">
      <c r="B132" s="63" t="s">
        <v>153</v>
      </c>
      <c r="C132" s="65">
        <f>C131*2</f>
        <v>11120.891594145498</v>
      </c>
    </row>
    <row r="146" spans="1:6" x14ac:dyDescent="0.15">
      <c r="A146" s="16"/>
      <c r="B146" s="16"/>
      <c r="C146" s="16"/>
      <c r="D146" s="16"/>
      <c r="E146" s="16"/>
      <c r="F146" s="16"/>
    </row>
    <row r="147" spans="1:6" x14ac:dyDescent="0.15">
      <c r="A147" s="16"/>
      <c r="B147" s="16"/>
      <c r="C147" s="16"/>
      <c r="D147" s="16"/>
      <c r="E147" s="16"/>
      <c r="F147" s="16"/>
    </row>
    <row r="148" spans="1:6" x14ac:dyDescent="0.15">
      <c r="A148" s="16"/>
      <c r="B148" s="16"/>
      <c r="C148" s="16"/>
      <c r="D148" s="16"/>
      <c r="E148" s="16"/>
      <c r="F148" s="16"/>
    </row>
    <row r="149" spans="1:6" x14ac:dyDescent="0.15">
      <c r="A149" s="22"/>
      <c r="B149" s="22"/>
      <c r="C149" s="16"/>
      <c r="D149" s="16"/>
      <c r="E149" s="16"/>
      <c r="F149" s="16"/>
    </row>
    <row r="150" spans="1:6" x14ac:dyDescent="0.15">
      <c r="A150" s="22"/>
      <c r="B150" s="22"/>
      <c r="C150" s="16"/>
      <c r="D150" s="16"/>
      <c r="E150" s="16"/>
      <c r="F150" s="16"/>
    </row>
    <row r="151" spans="1:6" x14ac:dyDescent="0.15">
      <c r="A151" s="16"/>
      <c r="B151" s="16"/>
      <c r="C151" s="16"/>
      <c r="D151" s="16"/>
      <c r="E151" s="16"/>
      <c r="F151" s="16"/>
    </row>
  </sheetData>
  <mergeCells count="47">
    <mergeCell ref="C14:D14"/>
    <mergeCell ref="C5:E5"/>
    <mergeCell ref="A1:D1"/>
    <mergeCell ref="C24:D24"/>
    <mergeCell ref="C25:D25"/>
    <mergeCell ref="C15:D15"/>
    <mergeCell ref="C6:D6"/>
    <mergeCell ref="C7:D7"/>
    <mergeCell ref="C8:D8"/>
    <mergeCell ref="C9:D9"/>
    <mergeCell ref="C4:D4"/>
    <mergeCell ref="C10:D10"/>
    <mergeCell ref="C11:D11"/>
    <mergeCell ref="C12:D12"/>
    <mergeCell ref="C13:D13"/>
    <mergeCell ref="C27:D27"/>
    <mergeCell ref="C26:D26"/>
    <mergeCell ref="C19:D19"/>
    <mergeCell ref="C20:D20"/>
    <mergeCell ref="C21:D21"/>
    <mergeCell ref="C22:D22"/>
    <mergeCell ref="C23:D23"/>
    <mergeCell ref="A29:B29"/>
    <mergeCell ref="C32:D32"/>
    <mergeCell ref="C33:D33"/>
    <mergeCell ref="C34:D34"/>
    <mergeCell ref="C35:D35"/>
    <mergeCell ref="C31:D31"/>
    <mergeCell ref="A36:B36"/>
    <mergeCell ref="C36:D36"/>
    <mergeCell ref="B123:C123"/>
    <mergeCell ref="A51:B51"/>
    <mergeCell ref="A58:B58"/>
    <mergeCell ref="A60:B60"/>
    <mergeCell ref="A68:B68"/>
    <mergeCell ref="A80:B80"/>
    <mergeCell ref="A90:B90"/>
    <mergeCell ref="A92:B92"/>
    <mergeCell ref="A103:B103"/>
    <mergeCell ref="A105:C105"/>
    <mergeCell ref="A118:C118"/>
    <mergeCell ref="B122:C122"/>
    <mergeCell ref="B124:C124"/>
    <mergeCell ref="B125:C125"/>
    <mergeCell ref="B127:C127"/>
    <mergeCell ref="B128:C128"/>
    <mergeCell ref="A129:C129"/>
  </mergeCells>
  <pageMargins left="0.511811024" right="0.511811024" top="0.78740157499999996" bottom="0.78740157499999996" header="0.31496062000000002" footer="0.31496062000000002"/>
  <pageSetup paperSize="9" scale="67" orientation="portrait" verticalDpi="597" r:id="rId1"/>
  <rowBreaks count="1" manualBreakCount="1">
    <brk id="68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0"/>
  <sheetViews>
    <sheetView view="pageBreakPreview" topLeftCell="A10" zoomScale="124" zoomScaleNormal="100" zoomScaleSheetLayoutView="124" workbookViewId="0">
      <selection activeCell="C2" sqref="C2"/>
    </sheetView>
  </sheetViews>
  <sheetFormatPr defaultRowHeight="11.25" x14ac:dyDescent="0.15"/>
  <cols>
    <col min="1" max="1" width="4.42578125" style="18" customWidth="1"/>
    <col min="2" max="2" width="51" style="18" customWidth="1"/>
    <col min="3" max="3" width="12.42578125" style="18" customWidth="1"/>
    <col min="4" max="4" width="13.28515625" style="18" bestFit="1" customWidth="1"/>
    <col min="5" max="5" width="38.42578125" style="85" customWidth="1"/>
    <col min="6" max="6" width="16.140625" style="18" customWidth="1"/>
    <col min="7" max="7" width="18.5703125" style="18" bestFit="1" customWidth="1"/>
    <col min="8" max="256" width="9.140625" style="18"/>
    <col min="257" max="257" width="5.7109375" style="18" customWidth="1"/>
    <col min="258" max="258" width="62.7109375" style="18" customWidth="1"/>
    <col min="259" max="259" width="12.42578125" style="18" customWidth="1"/>
    <col min="260" max="260" width="18" style="18" customWidth="1"/>
    <col min="261" max="261" width="59.7109375" style="18" customWidth="1"/>
    <col min="262" max="262" width="16.140625" style="18" customWidth="1"/>
    <col min="263" max="263" width="18.5703125" style="18" bestFit="1" customWidth="1"/>
    <col min="264" max="512" width="9.140625" style="18"/>
    <col min="513" max="513" width="5.7109375" style="18" customWidth="1"/>
    <col min="514" max="514" width="62.7109375" style="18" customWidth="1"/>
    <col min="515" max="515" width="12.42578125" style="18" customWidth="1"/>
    <col min="516" max="516" width="18" style="18" customWidth="1"/>
    <col min="517" max="517" width="59.7109375" style="18" customWidth="1"/>
    <col min="518" max="518" width="16.140625" style="18" customWidth="1"/>
    <col min="519" max="519" width="18.5703125" style="18" bestFit="1" customWidth="1"/>
    <col min="520" max="768" width="9.140625" style="18"/>
    <col min="769" max="769" width="5.7109375" style="18" customWidth="1"/>
    <col min="770" max="770" width="62.7109375" style="18" customWidth="1"/>
    <col min="771" max="771" width="12.42578125" style="18" customWidth="1"/>
    <col min="772" max="772" width="18" style="18" customWidth="1"/>
    <col min="773" max="773" width="59.7109375" style="18" customWidth="1"/>
    <col min="774" max="774" width="16.140625" style="18" customWidth="1"/>
    <col min="775" max="775" width="18.5703125" style="18" bestFit="1" customWidth="1"/>
    <col min="776" max="1024" width="9.140625" style="18"/>
    <col min="1025" max="1025" width="5.7109375" style="18" customWidth="1"/>
    <col min="1026" max="1026" width="62.7109375" style="18" customWidth="1"/>
    <col min="1027" max="1027" width="12.42578125" style="18" customWidth="1"/>
    <col min="1028" max="1028" width="18" style="18" customWidth="1"/>
    <col min="1029" max="1029" width="59.7109375" style="18" customWidth="1"/>
    <col min="1030" max="1030" width="16.140625" style="18" customWidth="1"/>
    <col min="1031" max="1031" width="18.5703125" style="18" bestFit="1" customWidth="1"/>
    <col min="1032" max="1280" width="9.140625" style="18"/>
    <col min="1281" max="1281" width="5.7109375" style="18" customWidth="1"/>
    <col min="1282" max="1282" width="62.7109375" style="18" customWidth="1"/>
    <col min="1283" max="1283" width="12.42578125" style="18" customWidth="1"/>
    <col min="1284" max="1284" width="18" style="18" customWidth="1"/>
    <col min="1285" max="1285" width="59.7109375" style="18" customWidth="1"/>
    <col min="1286" max="1286" width="16.140625" style="18" customWidth="1"/>
    <col min="1287" max="1287" width="18.5703125" style="18" bestFit="1" customWidth="1"/>
    <col min="1288" max="1536" width="9.140625" style="18"/>
    <col min="1537" max="1537" width="5.7109375" style="18" customWidth="1"/>
    <col min="1538" max="1538" width="62.7109375" style="18" customWidth="1"/>
    <col min="1539" max="1539" width="12.42578125" style="18" customWidth="1"/>
    <col min="1540" max="1540" width="18" style="18" customWidth="1"/>
    <col min="1541" max="1541" width="59.7109375" style="18" customWidth="1"/>
    <col min="1542" max="1542" width="16.140625" style="18" customWidth="1"/>
    <col min="1543" max="1543" width="18.5703125" style="18" bestFit="1" customWidth="1"/>
    <col min="1544" max="1792" width="9.140625" style="18"/>
    <col min="1793" max="1793" width="5.7109375" style="18" customWidth="1"/>
    <col min="1794" max="1794" width="62.7109375" style="18" customWidth="1"/>
    <col min="1795" max="1795" width="12.42578125" style="18" customWidth="1"/>
    <col min="1796" max="1796" width="18" style="18" customWidth="1"/>
    <col min="1797" max="1797" width="59.7109375" style="18" customWidth="1"/>
    <col min="1798" max="1798" width="16.140625" style="18" customWidth="1"/>
    <col min="1799" max="1799" width="18.5703125" style="18" bestFit="1" customWidth="1"/>
    <col min="1800" max="2048" width="9.140625" style="18"/>
    <col min="2049" max="2049" width="5.7109375" style="18" customWidth="1"/>
    <col min="2050" max="2050" width="62.7109375" style="18" customWidth="1"/>
    <col min="2051" max="2051" width="12.42578125" style="18" customWidth="1"/>
    <col min="2052" max="2052" width="18" style="18" customWidth="1"/>
    <col min="2053" max="2053" width="59.7109375" style="18" customWidth="1"/>
    <col min="2054" max="2054" width="16.140625" style="18" customWidth="1"/>
    <col min="2055" max="2055" width="18.5703125" style="18" bestFit="1" customWidth="1"/>
    <col min="2056" max="2304" width="9.140625" style="18"/>
    <col min="2305" max="2305" width="5.7109375" style="18" customWidth="1"/>
    <col min="2306" max="2306" width="62.7109375" style="18" customWidth="1"/>
    <col min="2307" max="2307" width="12.42578125" style="18" customWidth="1"/>
    <col min="2308" max="2308" width="18" style="18" customWidth="1"/>
    <col min="2309" max="2309" width="59.7109375" style="18" customWidth="1"/>
    <col min="2310" max="2310" width="16.140625" style="18" customWidth="1"/>
    <col min="2311" max="2311" width="18.5703125" style="18" bestFit="1" customWidth="1"/>
    <col min="2312" max="2560" width="9.140625" style="18"/>
    <col min="2561" max="2561" width="5.7109375" style="18" customWidth="1"/>
    <col min="2562" max="2562" width="62.7109375" style="18" customWidth="1"/>
    <col min="2563" max="2563" width="12.42578125" style="18" customWidth="1"/>
    <col min="2564" max="2564" width="18" style="18" customWidth="1"/>
    <col min="2565" max="2565" width="59.7109375" style="18" customWidth="1"/>
    <col min="2566" max="2566" width="16.140625" style="18" customWidth="1"/>
    <col min="2567" max="2567" width="18.5703125" style="18" bestFit="1" customWidth="1"/>
    <col min="2568" max="2816" width="9.140625" style="18"/>
    <col min="2817" max="2817" width="5.7109375" style="18" customWidth="1"/>
    <col min="2818" max="2818" width="62.7109375" style="18" customWidth="1"/>
    <col min="2819" max="2819" width="12.42578125" style="18" customWidth="1"/>
    <col min="2820" max="2820" width="18" style="18" customWidth="1"/>
    <col min="2821" max="2821" width="59.7109375" style="18" customWidth="1"/>
    <col min="2822" max="2822" width="16.140625" style="18" customWidth="1"/>
    <col min="2823" max="2823" width="18.5703125" style="18" bestFit="1" customWidth="1"/>
    <col min="2824" max="3072" width="9.140625" style="18"/>
    <col min="3073" max="3073" width="5.7109375" style="18" customWidth="1"/>
    <col min="3074" max="3074" width="62.7109375" style="18" customWidth="1"/>
    <col min="3075" max="3075" width="12.42578125" style="18" customWidth="1"/>
    <col min="3076" max="3076" width="18" style="18" customWidth="1"/>
    <col min="3077" max="3077" width="59.7109375" style="18" customWidth="1"/>
    <col min="3078" max="3078" width="16.140625" style="18" customWidth="1"/>
    <col min="3079" max="3079" width="18.5703125" style="18" bestFit="1" customWidth="1"/>
    <col min="3080" max="3328" width="9.140625" style="18"/>
    <col min="3329" max="3329" width="5.7109375" style="18" customWidth="1"/>
    <col min="3330" max="3330" width="62.7109375" style="18" customWidth="1"/>
    <col min="3331" max="3331" width="12.42578125" style="18" customWidth="1"/>
    <col min="3332" max="3332" width="18" style="18" customWidth="1"/>
    <col min="3333" max="3333" width="59.7109375" style="18" customWidth="1"/>
    <col min="3334" max="3334" width="16.140625" style="18" customWidth="1"/>
    <col min="3335" max="3335" width="18.5703125" style="18" bestFit="1" customWidth="1"/>
    <col min="3336" max="3584" width="9.140625" style="18"/>
    <col min="3585" max="3585" width="5.7109375" style="18" customWidth="1"/>
    <col min="3586" max="3586" width="62.7109375" style="18" customWidth="1"/>
    <col min="3587" max="3587" width="12.42578125" style="18" customWidth="1"/>
    <col min="3588" max="3588" width="18" style="18" customWidth="1"/>
    <col min="3589" max="3589" width="59.7109375" style="18" customWidth="1"/>
    <col min="3590" max="3590" width="16.140625" style="18" customWidth="1"/>
    <col min="3591" max="3591" width="18.5703125" style="18" bestFit="1" customWidth="1"/>
    <col min="3592" max="3840" width="9.140625" style="18"/>
    <col min="3841" max="3841" width="5.7109375" style="18" customWidth="1"/>
    <col min="3842" max="3842" width="62.7109375" style="18" customWidth="1"/>
    <col min="3843" max="3843" width="12.42578125" style="18" customWidth="1"/>
    <col min="3844" max="3844" width="18" style="18" customWidth="1"/>
    <col min="3845" max="3845" width="59.7109375" style="18" customWidth="1"/>
    <col min="3846" max="3846" width="16.140625" style="18" customWidth="1"/>
    <col min="3847" max="3847" width="18.5703125" style="18" bestFit="1" customWidth="1"/>
    <col min="3848" max="4096" width="9.140625" style="18"/>
    <col min="4097" max="4097" width="5.7109375" style="18" customWidth="1"/>
    <col min="4098" max="4098" width="62.7109375" style="18" customWidth="1"/>
    <col min="4099" max="4099" width="12.42578125" style="18" customWidth="1"/>
    <col min="4100" max="4100" width="18" style="18" customWidth="1"/>
    <col min="4101" max="4101" width="59.7109375" style="18" customWidth="1"/>
    <col min="4102" max="4102" width="16.140625" style="18" customWidth="1"/>
    <col min="4103" max="4103" width="18.5703125" style="18" bestFit="1" customWidth="1"/>
    <col min="4104" max="4352" width="9.140625" style="18"/>
    <col min="4353" max="4353" width="5.7109375" style="18" customWidth="1"/>
    <col min="4354" max="4354" width="62.7109375" style="18" customWidth="1"/>
    <col min="4355" max="4355" width="12.42578125" style="18" customWidth="1"/>
    <col min="4356" max="4356" width="18" style="18" customWidth="1"/>
    <col min="4357" max="4357" width="59.7109375" style="18" customWidth="1"/>
    <col min="4358" max="4358" width="16.140625" style="18" customWidth="1"/>
    <col min="4359" max="4359" width="18.5703125" style="18" bestFit="1" customWidth="1"/>
    <col min="4360" max="4608" width="9.140625" style="18"/>
    <col min="4609" max="4609" width="5.7109375" style="18" customWidth="1"/>
    <col min="4610" max="4610" width="62.7109375" style="18" customWidth="1"/>
    <col min="4611" max="4611" width="12.42578125" style="18" customWidth="1"/>
    <col min="4612" max="4612" width="18" style="18" customWidth="1"/>
    <col min="4613" max="4613" width="59.7109375" style="18" customWidth="1"/>
    <col min="4614" max="4614" width="16.140625" style="18" customWidth="1"/>
    <col min="4615" max="4615" width="18.5703125" style="18" bestFit="1" customWidth="1"/>
    <col min="4616" max="4864" width="9.140625" style="18"/>
    <col min="4865" max="4865" width="5.7109375" style="18" customWidth="1"/>
    <col min="4866" max="4866" width="62.7109375" style="18" customWidth="1"/>
    <col min="4867" max="4867" width="12.42578125" style="18" customWidth="1"/>
    <col min="4868" max="4868" width="18" style="18" customWidth="1"/>
    <col min="4869" max="4869" width="59.7109375" style="18" customWidth="1"/>
    <col min="4870" max="4870" width="16.140625" style="18" customWidth="1"/>
    <col min="4871" max="4871" width="18.5703125" style="18" bestFit="1" customWidth="1"/>
    <col min="4872" max="5120" width="9.140625" style="18"/>
    <col min="5121" max="5121" width="5.7109375" style="18" customWidth="1"/>
    <col min="5122" max="5122" width="62.7109375" style="18" customWidth="1"/>
    <col min="5123" max="5123" width="12.42578125" style="18" customWidth="1"/>
    <col min="5124" max="5124" width="18" style="18" customWidth="1"/>
    <col min="5125" max="5125" width="59.7109375" style="18" customWidth="1"/>
    <col min="5126" max="5126" width="16.140625" style="18" customWidth="1"/>
    <col min="5127" max="5127" width="18.5703125" style="18" bestFit="1" customWidth="1"/>
    <col min="5128" max="5376" width="9.140625" style="18"/>
    <col min="5377" max="5377" width="5.7109375" style="18" customWidth="1"/>
    <col min="5378" max="5378" width="62.7109375" style="18" customWidth="1"/>
    <col min="5379" max="5379" width="12.42578125" style="18" customWidth="1"/>
    <col min="5380" max="5380" width="18" style="18" customWidth="1"/>
    <col min="5381" max="5381" width="59.7109375" style="18" customWidth="1"/>
    <col min="5382" max="5382" width="16.140625" style="18" customWidth="1"/>
    <col min="5383" max="5383" width="18.5703125" style="18" bestFit="1" customWidth="1"/>
    <col min="5384" max="5632" width="9.140625" style="18"/>
    <col min="5633" max="5633" width="5.7109375" style="18" customWidth="1"/>
    <col min="5634" max="5634" width="62.7109375" style="18" customWidth="1"/>
    <col min="5635" max="5635" width="12.42578125" style="18" customWidth="1"/>
    <col min="5636" max="5636" width="18" style="18" customWidth="1"/>
    <col min="5637" max="5637" width="59.7109375" style="18" customWidth="1"/>
    <col min="5638" max="5638" width="16.140625" style="18" customWidth="1"/>
    <col min="5639" max="5639" width="18.5703125" style="18" bestFit="1" customWidth="1"/>
    <col min="5640" max="5888" width="9.140625" style="18"/>
    <col min="5889" max="5889" width="5.7109375" style="18" customWidth="1"/>
    <col min="5890" max="5890" width="62.7109375" style="18" customWidth="1"/>
    <col min="5891" max="5891" width="12.42578125" style="18" customWidth="1"/>
    <col min="5892" max="5892" width="18" style="18" customWidth="1"/>
    <col min="5893" max="5893" width="59.7109375" style="18" customWidth="1"/>
    <col min="5894" max="5894" width="16.140625" style="18" customWidth="1"/>
    <col min="5895" max="5895" width="18.5703125" style="18" bestFit="1" customWidth="1"/>
    <col min="5896" max="6144" width="9.140625" style="18"/>
    <col min="6145" max="6145" width="5.7109375" style="18" customWidth="1"/>
    <col min="6146" max="6146" width="62.7109375" style="18" customWidth="1"/>
    <col min="6147" max="6147" width="12.42578125" style="18" customWidth="1"/>
    <col min="6148" max="6148" width="18" style="18" customWidth="1"/>
    <col min="6149" max="6149" width="59.7109375" style="18" customWidth="1"/>
    <col min="6150" max="6150" width="16.140625" style="18" customWidth="1"/>
    <col min="6151" max="6151" width="18.5703125" style="18" bestFit="1" customWidth="1"/>
    <col min="6152" max="6400" width="9.140625" style="18"/>
    <col min="6401" max="6401" width="5.7109375" style="18" customWidth="1"/>
    <col min="6402" max="6402" width="62.7109375" style="18" customWidth="1"/>
    <col min="6403" max="6403" width="12.42578125" style="18" customWidth="1"/>
    <col min="6404" max="6404" width="18" style="18" customWidth="1"/>
    <col min="6405" max="6405" width="59.7109375" style="18" customWidth="1"/>
    <col min="6406" max="6406" width="16.140625" style="18" customWidth="1"/>
    <col min="6407" max="6407" width="18.5703125" style="18" bestFit="1" customWidth="1"/>
    <col min="6408" max="6656" width="9.140625" style="18"/>
    <col min="6657" max="6657" width="5.7109375" style="18" customWidth="1"/>
    <col min="6658" max="6658" width="62.7109375" style="18" customWidth="1"/>
    <col min="6659" max="6659" width="12.42578125" style="18" customWidth="1"/>
    <col min="6660" max="6660" width="18" style="18" customWidth="1"/>
    <col min="6661" max="6661" width="59.7109375" style="18" customWidth="1"/>
    <col min="6662" max="6662" width="16.140625" style="18" customWidth="1"/>
    <col min="6663" max="6663" width="18.5703125" style="18" bestFit="1" customWidth="1"/>
    <col min="6664" max="6912" width="9.140625" style="18"/>
    <col min="6913" max="6913" width="5.7109375" style="18" customWidth="1"/>
    <col min="6914" max="6914" width="62.7109375" style="18" customWidth="1"/>
    <col min="6915" max="6915" width="12.42578125" style="18" customWidth="1"/>
    <col min="6916" max="6916" width="18" style="18" customWidth="1"/>
    <col min="6917" max="6917" width="59.7109375" style="18" customWidth="1"/>
    <col min="6918" max="6918" width="16.140625" style="18" customWidth="1"/>
    <col min="6919" max="6919" width="18.5703125" style="18" bestFit="1" customWidth="1"/>
    <col min="6920" max="7168" width="9.140625" style="18"/>
    <col min="7169" max="7169" width="5.7109375" style="18" customWidth="1"/>
    <col min="7170" max="7170" width="62.7109375" style="18" customWidth="1"/>
    <col min="7171" max="7171" width="12.42578125" style="18" customWidth="1"/>
    <col min="7172" max="7172" width="18" style="18" customWidth="1"/>
    <col min="7173" max="7173" width="59.7109375" style="18" customWidth="1"/>
    <col min="7174" max="7174" width="16.140625" style="18" customWidth="1"/>
    <col min="7175" max="7175" width="18.5703125" style="18" bestFit="1" customWidth="1"/>
    <col min="7176" max="7424" width="9.140625" style="18"/>
    <col min="7425" max="7425" width="5.7109375" style="18" customWidth="1"/>
    <col min="7426" max="7426" width="62.7109375" style="18" customWidth="1"/>
    <col min="7427" max="7427" width="12.42578125" style="18" customWidth="1"/>
    <col min="7428" max="7428" width="18" style="18" customWidth="1"/>
    <col min="7429" max="7429" width="59.7109375" style="18" customWidth="1"/>
    <col min="7430" max="7430" width="16.140625" style="18" customWidth="1"/>
    <col min="7431" max="7431" width="18.5703125" style="18" bestFit="1" customWidth="1"/>
    <col min="7432" max="7680" width="9.140625" style="18"/>
    <col min="7681" max="7681" width="5.7109375" style="18" customWidth="1"/>
    <col min="7682" max="7682" width="62.7109375" style="18" customWidth="1"/>
    <col min="7683" max="7683" width="12.42578125" style="18" customWidth="1"/>
    <col min="7684" max="7684" width="18" style="18" customWidth="1"/>
    <col min="7685" max="7685" width="59.7109375" style="18" customWidth="1"/>
    <col min="7686" max="7686" width="16.140625" style="18" customWidth="1"/>
    <col min="7687" max="7687" width="18.5703125" style="18" bestFit="1" customWidth="1"/>
    <col min="7688" max="7936" width="9.140625" style="18"/>
    <col min="7937" max="7937" width="5.7109375" style="18" customWidth="1"/>
    <col min="7938" max="7938" width="62.7109375" style="18" customWidth="1"/>
    <col min="7939" max="7939" width="12.42578125" style="18" customWidth="1"/>
    <col min="7940" max="7940" width="18" style="18" customWidth="1"/>
    <col min="7941" max="7941" width="59.7109375" style="18" customWidth="1"/>
    <col min="7942" max="7942" width="16.140625" style="18" customWidth="1"/>
    <col min="7943" max="7943" width="18.5703125" style="18" bestFit="1" customWidth="1"/>
    <col min="7944" max="8192" width="9.140625" style="18"/>
    <col min="8193" max="8193" width="5.7109375" style="18" customWidth="1"/>
    <col min="8194" max="8194" width="62.7109375" style="18" customWidth="1"/>
    <col min="8195" max="8195" width="12.42578125" style="18" customWidth="1"/>
    <col min="8196" max="8196" width="18" style="18" customWidth="1"/>
    <col min="8197" max="8197" width="59.7109375" style="18" customWidth="1"/>
    <col min="8198" max="8198" width="16.140625" style="18" customWidth="1"/>
    <col min="8199" max="8199" width="18.5703125" style="18" bestFit="1" customWidth="1"/>
    <col min="8200" max="8448" width="9.140625" style="18"/>
    <col min="8449" max="8449" width="5.7109375" style="18" customWidth="1"/>
    <col min="8450" max="8450" width="62.7109375" style="18" customWidth="1"/>
    <col min="8451" max="8451" width="12.42578125" style="18" customWidth="1"/>
    <col min="8452" max="8452" width="18" style="18" customWidth="1"/>
    <col min="8453" max="8453" width="59.7109375" style="18" customWidth="1"/>
    <col min="8454" max="8454" width="16.140625" style="18" customWidth="1"/>
    <col min="8455" max="8455" width="18.5703125" style="18" bestFit="1" customWidth="1"/>
    <col min="8456" max="8704" width="9.140625" style="18"/>
    <col min="8705" max="8705" width="5.7109375" style="18" customWidth="1"/>
    <col min="8706" max="8706" width="62.7109375" style="18" customWidth="1"/>
    <col min="8707" max="8707" width="12.42578125" style="18" customWidth="1"/>
    <col min="8708" max="8708" width="18" style="18" customWidth="1"/>
    <col min="8709" max="8709" width="59.7109375" style="18" customWidth="1"/>
    <col min="8710" max="8710" width="16.140625" style="18" customWidth="1"/>
    <col min="8711" max="8711" width="18.5703125" style="18" bestFit="1" customWidth="1"/>
    <col min="8712" max="8960" width="9.140625" style="18"/>
    <col min="8961" max="8961" width="5.7109375" style="18" customWidth="1"/>
    <col min="8962" max="8962" width="62.7109375" style="18" customWidth="1"/>
    <col min="8963" max="8963" width="12.42578125" style="18" customWidth="1"/>
    <col min="8964" max="8964" width="18" style="18" customWidth="1"/>
    <col min="8965" max="8965" width="59.7109375" style="18" customWidth="1"/>
    <col min="8966" max="8966" width="16.140625" style="18" customWidth="1"/>
    <col min="8967" max="8967" width="18.5703125" style="18" bestFit="1" customWidth="1"/>
    <col min="8968" max="9216" width="9.140625" style="18"/>
    <col min="9217" max="9217" width="5.7109375" style="18" customWidth="1"/>
    <col min="9218" max="9218" width="62.7109375" style="18" customWidth="1"/>
    <col min="9219" max="9219" width="12.42578125" style="18" customWidth="1"/>
    <col min="9220" max="9220" width="18" style="18" customWidth="1"/>
    <col min="9221" max="9221" width="59.7109375" style="18" customWidth="1"/>
    <col min="9222" max="9222" width="16.140625" style="18" customWidth="1"/>
    <col min="9223" max="9223" width="18.5703125" style="18" bestFit="1" customWidth="1"/>
    <col min="9224" max="9472" width="9.140625" style="18"/>
    <col min="9473" max="9473" width="5.7109375" style="18" customWidth="1"/>
    <col min="9474" max="9474" width="62.7109375" style="18" customWidth="1"/>
    <col min="9475" max="9475" width="12.42578125" style="18" customWidth="1"/>
    <col min="9476" max="9476" width="18" style="18" customWidth="1"/>
    <col min="9477" max="9477" width="59.7109375" style="18" customWidth="1"/>
    <col min="9478" max="9478" width="16.140625" style="18" customWidth="1"/>
    <col min="9479" max="9479" width="18.5703125" style="18" bestFit="1" customWidth="1"/>
    <col min="9480" max="9728" width="9.140625" style="18"/>
    <col min="9729" max="9729" width="5.7109375" style="18" customWidth="1"/>
    <col min="9730" max="9730" width="62.7109375" style="18" customWidth="1"/>
    <col min="9731" max="9731" width="12.42578125" style="18" customWidth="1"/>
    <col min="9732" max="9732" width="18" style="18" customWidth="1"/>
    <col min="9733" max="9733" width="59.7109375" style="18" customWidth="1"/>
    <col min="9734" max="9734" width="16.140625" style="18" customWidth="1"/>
    <col min="9735" max="9735" width="18.5703125" style="18" bestFit="1" customWidth="1"/>
    <col min="9736" max="9984" width="9.140625" style="18"/>
    <col min="9985" max="9985" width="5.7109375" style="18" customWidth="1"/>
    <col min="9986" max="9986" width="62.7109375" style="18" customWidth="1"/>
    <col min="9987" max="9987" width="12.42578125" style="18" customWidth="1"/>
    <col min="9988" max="9988" width="18" style="18" customWidth="1"/>
    <col min="9989" max="9989" width="59.7109375" style="18" customWidth="1"/>
    <col min="9990" max="9990" width="16.140625" style="18" customWidth="1"/>
    <col min="9991" max="9991" width="18.5703125" style="18" bestFit="1" customWidth="1"/>
    <col min="9992" max="10240" width="9.140625" style="18"/>
    <col min="10241" max="10241" width="5.7109375" style="18" customWidth="1"/>
    <col min="10242" max="10242" width="62.7109375" style="18" customWidth="1"/>
    <col min="10243" max="10243" width="12.42578125" style="18" customWidth="1"/>
    <col min="10244" max="10244" width="18" style="18" customWidth="1"/>
    <col min="10245" max="10245" width="59.7109375" style="18" customWidth="1"/>
    <col min="10246" max="10246" width="16.140625" style="18" customWidth="1"/>
    <col min="10247" max="10247" width="18.5703125" style="18" bestFit="1" customWidth="1"/>
    <col min="10248" max="10496" width="9.140625" style="18"/>
    <col min="10497" max="10497" width="5.7109375" style="18" customWidth="1"/>
    <col min="10498" max="10498" width="62.7109375" style="18" customWidth="1"/>
    <col min="10499" max="10499" width="12.42578125" style="18" customWidth="1"/>
    <col min="10500" max="10500" width="18" style="18" customWidth="1"/>
    <col min="10501" max="10501" width="59.7109375" style="18" customWidth="1"/>
    <col min="10502" max="10502" width="16.140625" style="18" customWidth="1"/>
    <col min="10503" max="10503" width="18.5703125" style="18" bestFit="1" customWidth="1"/>
    <col min="10504" max="10752" width="9.140625" style="18"/>
    <col min="10753" max="10753" width="5.7109375" style="18" customWidth="1"/>
    <col min="10754" max="10754" width="62.7109375" style="18" customWidth="1"/>
    <col min="10755" max="10755" width="12.42578125" style="18" customWidth="1"/>
    <col min="10756" max="10756" width="18" style="18" customWidth="1"/>
    <col min="10757" max="10757" width="59.7109375" style="18" customWidth="1"/>
    <col min="10758" max="10758" width="16.140625" style="18" customWidth="1"/>
    <col min="10759" max="10759" width="18.5703125" style="18" bestFit="1" customWidth="1"/>
    <col min="10760" max="11008" width="9.140625" style="18"/>
    <col min="11009" max="11009" width="5.7109375" style="18" customWidth="1"/>
    <col min="11010" max="11010" width="62.7109375" style="18" customWidth="1"/>
    <col min="11011" max="11011" width="12.42578125" style="18" customWidth="1"/>
    <col min="11012" max="11012" width="18" style="18" customWidth="1"/>
    <col min="11013" max="11013" width="59.7109375" style="18" customWidth="1"/>
    <col min="11014" max="11014" width="16.140625" style="18" customWidth="1"/>
    <col min="11015" max="11015" width="18.5703125" style="18" bestFit="1" customWidth="1"/>
    <col min="11016" max="11264" width="9.140625" style="18"/>
    <col min="11265" max="11265" width="5.7109375" style="18" customWidth="1"/>
    <col min="11266" max="11266" width="62.7109375" style="18" customWidth="1"/>
    <col min="11267" max="11267" width="12.42578125" style="18" customWidth="1"/>
    <col min="11268" max="11268" width="18" style="18" customWidth="1"/>
    <col min="11269" max="11269" width="59.7109375" style="18" customWidth="1"/>
    <col min="11270" max="11270" width="16.140625" style="18" customWidth="1"/>
    <col min="11271" max="11271" width="18.5703125" style="18" bestFit="1" customWidth="1"/>
    <col min="11272" max="11520" width="9.140625" style="18"/>
    <col min="11521" max="11521" width="5.7109375" style="18" customWidth="1"/>
    <col min="11522" max="11522" width="62.7109375" style="18" customWidth="1"/>
    <col min="11523" max="11523" width="12.42578125" style="18" customWidth="1"/>
    <col min="11524" max="11524" width="18" style="18" customWidth="1"/>
    <col min="11525" max="11525" width="59.7109375" style="18" customWidth="1"/>
    <col min="11526" max="11526" width="16.140625" style="18" customWidth="1"/>
    <col min="11527" max="11527" width="18.5703125" style="18" bestFit="1" customWidth="1"/>
    <col min="11528" max="11776" width="9.140625" style="18"/>
    <col min="11777" max="11777" width="5.7109375" style="18" customWidth="1"/>
    <col min="11778" max="11778" width="62.7109375" style="18" customWidth="1"/>
    <col min="11779" max="11779" width="12.42578125" style="18" customWidth="1"/>
    <col min="11780" max="11780" width="18" style="18" customWidth="1"/>
    <col min="11781" max="11781" width="59.7109375" style="18" customWidth="1"/>
    <col min="11782" max="11782" width="16.140625" style="18" customWidth="1"/>
    <col min="11783" max="11783" width="18.5703125" style="18" bestFit="1" customWidth="1"/>
    <col min="11784" max="12032" width="9.140625" style="18"/>
    <col min="12033" max="12033" width="5.7109375" style="18" customWidth="1"/>
    <col min="12034" max="12034" width="62.7109375" style="18" customWidth="1"/>
    <col min="12035" max="12035" width="12.42578125" style="18" customWidth="1"/>
    <col min="12036" max="12036" width="18" style="18" customWidth="1"/>
    <col min="12037" max="12037" width="59.7109375" style="18" customWidth="1"/>
    <col min="12038" max="12038" width="16.140625" style="18" customWidth="1"/>
    <col min="12039" max="12039" width="18.5703125" style="18" bestFit="1" customWidth="1"/>
    <col min="12040" max="12288" width="9.140625" style="18"/>
    <col min="12289" max="12289" width="5.7109375" style="18" customWidth="1"/>
    <col min="12290" max="12290" width="62.7109375" style="18" customWidth="1"/>
    <col min="12291" max="12291" width="12.42578125" style="18" customWidth="1"/>
    <col min="12292" max="12292" width="18" style="18" customWidth="1"/>
    <col min="12293" max="12293" width="59.7109375" style="18" customWidth="1"/>
    <col min="12294" max="12294" width="16.140625" style="18" customWidth="1"/>
    <col min="12295" max="12295" width="18.5703125" style="18" bestFit="1" customWidth="1"/>
    <col min="12296" max="12544" width="9.140625" style="18"/>
    <col min="12545" max="12545" width="5.7109375" style="18" customWidth="1"/>
    <col min="12546" max="12546" width="62.7109375" style="18" customWidth="1"/>
    <col min="12547" max="12547" width="12.42578125" style="18" customWidth="1"/>
    <col min="12548" max="12548" width="18" style="18" customWidth="1"/>
    <col min="12549" max="12549" width="59.7109375" style="18" customWidth="1"/>
    <col min="12550" max="12550" width="16.140625" style="18" customWidth="1"/>
    <col min="12551" max="12551" width="18.5703125" style="18" bestFit="1" customWidth="1"/>
    <col min="12552" max="12800" width="9.140625" style="18"/>
    <col min="12801" max="12801" width="5.7109375" style="18" customWidth="1"/>
    <col min="12802" max="12802" width="62.7109375" style="18" customWidth="1"/>
    <col min="12803" max="12803" width="12.42578125" style="18" customWidth="1"/>
    <col min="12804" max="12804" width="18" style="18" customWidth="1"/>
    <col min="12805" max="12805" width="59.7109375" style="18" customWidth="1"/>
    <col min="12806" max="12806" width="16.140625" style="18" customWidth="1"/>
    <col min="12807" max="12807" width="18.5703125" style="18" bestFit="1" customWidth="1"/>
    <col min="12808" max="13056" width="9.140625" style="18"/>
    <col min="13057" max="13057" width="5.7109375" style="18" customWidth="1"/>
    <col min="13058" max="13058" width="62.7109375" style="18" customWidth="1"/>
    <col min="13059" max="13059" width="12.42578125" style="18" customWidth="1"/>
    <col min="13060" max="13060" width="18" style="18" customWidth="1"/>
    <col min="13061" max="13061" width="59.7109375" style="18" customWidth="1"/>
    <col min="13062" max="13062" width="16.140625" style="18" customWidth="1"/>
    <col min="13063" max="13063" width="18.5703125" style="18" bestFit="1" customWidth="1"/>
    <col min="13064" max="13312" width="9.140625" style="18"/>
    <col min="13313" max="13313" width="5.7109375" style="18" customWidth="1"/>
    <col min="13314" max="13314" width="62.7109375" style="18" customWidth="1"/>
    <col min="13315" max="13315" width="12.42578125" style="18" customWidth="1"/>
    <col min="13316" max="13316" width="18" style="18" customWidth="1"/>
    <col min="13317" max="13317" width="59.7109375" style="18" customWidth="1"/>
    <col min="13318" max="13318" width="16.140625" style="18" customWidth="1"/>
    <col min="13319" max="13319" width="18.5703125" style="18" bestFit="1" customWidth="1"/>
    <col min="13320" max="13568" width="9.140625" style="18"/>
    <col min="13569" max="13569" width="5.7109375" style="18" customWidth="1"/>
    <col min="13570" max="13570" width="62.7109375" style="18" customWidth="1"/>
    <col min="13571" max="13571" width="12.42578125" style="18" customWidth="1"/>
    <col min="13572" max="13572" width="18" style="18" customWidth="1"/>
    <col min="13573" max="13573" width="59.7109375" style="18" customWidth="1"/>
    <col min="13574" max="13574" width="16.140625" style="18" customWidth="1"/>
    <col min="13575" max="13575" width="18.5703125" style="18" bestFit="1" customWidth="1"/>
    <col min="13576" max="13824" width="9.140625" style="18"/>
    <col min="13825" max="13825" width="5.7109375" style="18" customWidth="1"/>
    <col min="13826" max="13826" width="62.7109375" style="18" customWidth="1"/>
    <col min="13827" max="13827" width="12.42578125" style="18" customWidth="1"/>
    <col min="13828" max="13828" width="18" style="18" customWidth="1"/>
    <col min="13829" max="13829" width="59.7109375" style="18" customWidth="1"/>
    <col min="13830" max="13830" width="16.140625" style="18" customWidth="1"/>
    <col min="13831" max="13831" width="18.5703125" style="18" bestFit="1" customWidth="1"/>
    <col min="13832" max="14080" width="9.140625" style="18"/>
    <col min="14081" max="14081" width="5.7109375" style="18" customWidth="1"/>
    <col min="14082" max="14082" width="62.7109375" style="18" customWidth="1"/>
    <col min="14083" max="14083" width="12.42578125" style="18" customWidth="1"/>
    <col min="14084" max="14084" width="18" style="18" customWidth="1"/>
    <col min="14085" max="14085" width="59.7109375" style="18" customWidth="1"/>
    <col min="14086" max="14086" width="16.140625" style="18" customWidth="1"/>
    <col min="14087" max="14087" width="18.5703125" style="18" bestFit="1" customWidth="1"/>
    <col min="14088" max="14336" width="9.140625" style="18"/>
    <col min="14337" max="14337" width="5.7109375" style="18" customWidth="1"/>
    <col min="14338" max="14338" width="62.7109375" style="18" customWidth="1"/>
    <col min="14339" max="14339" width="12.42578125" style="18" customWidth="1"/>
    <col min="14340" max="14340" width="18" style="18" customWidth="1"/>
    <col min="14341" max="14341" width="59.7109375" style="18" customWidth="1"/>
    <col min="14342" max="14342" width="16.140625" style="18" customWidth="1"/>
    <col min="14343" max="14343" width="18.5703125" style="18" bestFit="1" customWidth="1"/>
    <col min="14344" max="14592" width="9.140625" style="18"/>
    <col min="14593" max="14593" width="5.7109375" style="18" customWidth="1"/>
    <col min="14594" max="14594" width="62.7109375" style="18" customWidth="1"/>
    <col min="14595" max="14595" width="12.42578125" style="18" customWidth="1"/>
    <col min="14596" max="14596" width="18" style="18" customWidth="1"/>
    <col min="14597" max="14597" width="59.7109375" style="18" customWidth="1"/>
    <col min="14598" max="14598" width="16.140625" style="18" customWidth="1"/>
    <col min="14599" max="14599" width="18.5703125" style="18" bestFit="1" customWidth="1"/>
    <col min="14600" max="14848" width="9.140625" style="18"/>
    <col min="14849" max="14849" width="5.7109375" style="18" customWidth="1"/>
    <col min="14850" max="14850" width="62.7109375" style="18" customWidth="1"/>
    <col min="14851" max="14851" width="12.42578125" style="18" customWidth="1"/>
    <col min="14852" max="14852" width="18" style="18" customWidth="1"/>
    <col min="14853" max="14853" width="59.7109375" style="18" customWidth="1"/>
    <col min="14854" max="14854" width="16.140625" style="18" customWidth="1"/>
    <col min="14855" max="14855" width="18.5703125" style="18" bestFit="1" customWidth="1"/>
    <col min="14856" max="15104" width="9.140625" style="18"/>
    <col min="15105" max="15105" width="5.7109375" style="18" customWidth="1"/>
    <col min="15106" max="15106" width="62.7109375" style="18" customWidth="1"/>
    <col min="15107" max="15107" width="12.42578125" style="18" customWidth="1"/>
    <col min="15108" max="15108" width="18" style="18" customWidth="1"/>
    <col min="15109" max="15109" width="59.7109375" style="18" customWidth="1"/>
    <col min="15110" max="15110" width="16.140625" style="18" customWidth="1"/>
    <col min="15111" max="15111" width="18.5703125" style="18" bestFit="1" customWidth="1"/>
    <col min="15112" max="15360" width="9.140625" style="18"/>
    <col min="15361" max="15361" width="5.7109375" style="18" customWidth="1"/>
    <col min="15362" max="15362" width="62.7109375" style="18" customWidth="1"/>
    <col min="15363" max="15363" width="12.42578125" style="18" customWidth="1"/>
    <col min="15364" max="15364" width="18" style="18" customWidth="1"/>
    <col min="15365" max="15365" width="59.7109375" style="18" customWidth="1"/>
    <col min="15366" max="15366" width="16.140625" style="18" customWidth="1"/>
    <col min="15367" max="15367" width="18.5703125" style="18" bestFit="1" customWidth="1"/>
    <col min="15368" max="15616" width="9.140625" style="18"/>
    <col min="15617" max="15617" width="5.7109375" style="18" customWidth="1"/>
    <col min="15618" max="15618" width="62.7109375" style="18" customWidth="1"/>
    <col min="15619" max="15619" width="12.42578125" style="18" customWidth="1"/>
    <col min="15620" max="15620" width="18" style="18" customWidth="1"/>
    <col min="15621" max="15621" width="59.7109375" style="18" customWidth="1"/>
    <col min="15622" max="15622" width="16.140625" style="18" customWidth="1"/>
    <col min="15623" max="15623" width="18.5703125" style="18" bestFit="1" customWidth="1"/>
    <col min="15624" max="15872" width="9.140625" style="18"/>
    <col min="15873" max="15873" width="5.7109375" style="18" customWidth="1"/>
    <col min="15874" max="15874" width="62.7109375" style="18" customWidth="1"/>
    <col min="15875" max="15875" width="12.42578125" style="18" customWidth="1"/>
    <col min="15876" max="15876" width="18" style="18" customWidth="1"/>
    <col min="15877" max="15877" width="59.7109375" style="18" customWidth="1"/>
    <col min="15878" max="15878" width="16.140625" style="18" customWidth="1"/>
    <col min="15879" max="15879" width="18.5703125" style="18" bestFit="1" customWidth="1"/>
    <col min="15880" max="16128" width="9.140625" style="18"/>
    <col min="16129" max="16129" width="5.7109375" style="18" customWidth="1"/>
    <col min="16130" max="16130" width="62.7109375" style="18" customWidth="1"/>
    <col min="16131" max="16131" width="12.42578125" style="18" customWidth="1"/>
    <col min="16132" max="16132" width="18" style="18" customWidth="1"/>
    <col min="16133" max="16133" width="59.7109375" style="18" customWidth="1"/>
    <col min="16134" max="16134" width="16.140625" style="18" customWidth="1"/>
    <col min="16135" max="16135" width="18.5703125" style="18" bestFit="1" customWidth="1"/>
    <col min="16136" max="16384" width="9.140625" style="18"/>
  </cols>
  <sheetData>
    <row r="1" spans="1:7" x14ac:dyDescent="0.15">
      <c r="A1" s="89" t="s">
        <v>0</v>
      </c>
      <c r="B1" s="89"/>
      <c r="C1" s="89"/>
      <c r="D1" s="89"/>
      <c r="E1" s="82"/>
      <c r="F1" s="17"/>
    </row>
    <row r="2" spans="1:7" x14ac:dyDescent="0.15">
      <c r="A2" s="19"/>
      <c r="B2" s="20" t="s">
        <v>1</v>
      </c>
      <c r="C2" s="21"/>
      <c r="D2" s="21"/>
      <c r="E2" s="83"/>
      <c r="F2" s="21"/>
    </row>
    <row r="3" spans="1:7" x14ac:dyDescent="0.15">
      <c r="A3" s="16"/>
      <c r="B3" s="16"/>
      <c r="C3" s="16"/>
      <c r="D3" s="16"/>
      <c r="E3" s="69"/>
      <c r="F3" s="16"/>
    </row>
    <row r="4" spans="1:7" x14ac:dyDescent="0.15">
      <c r="A4" s="22" t="s">
        <v>2</v>
      </c>
      <c r="B4" s="22"/>
      <c r="C4" s="90" t="s">
        <v>163</v>
      </c>
      <c r="D4" s="90"/>
      <c r="E4" s="69"/>
      <c r="F4" s="16"/>
    </row>
    <row r="5" spans="1:7" ht="12" customHeight="1" thickBot="1" x14ac:dyDescent="0.2">
      <c r="A5" s="16"/>
      <c r="B5" s="20" t="s">
        <v>1</v>
      </c>
      <c r="C5" s="91" t="s">
        <v>159</v>
      </c>
      <c r="D5" s="92"/>
      <c r="E5" s="84"/>
      <c r="F5" s="66"/>
      <c r="G5" s="66"/>
    </row>
    <row r="6" spans="1:7" x14ac:dyDescent="0.15">
      <c r="A6" s="23"/>
      <c r="B6" s="24" t="s">
        <v>3</v>
      </c>
      <c r="C6" s="88" t="s">
        <v>4</v>
      </c>
      <c r="D6" s="88"/>
      <c r="E6" s="69"/>
      <c r="F6" s="16"/>
    </row>
    <row r="7" spans="1:7" x14ac:dyDescent="0.15">
      <c r="A7" s="25" t="s">
        <v>5</v>
      </c>
      <c r="B7" s="25" t="s">
        <v>6</v>
      </c>
      <c r="C7" s="87">
        <f>3103.31*1.115</f>
        <v>3460.19065</v>
      </c>
      <c r="D7" s="87"/>
      <c r="E7" s="69"/>
      <c r="F7" s="16"/>
    </row>
    <row r="8" spans="1:7" x14ac:dyDescent="0.15">
      <c r="A8" s="25" t="s">
        <v>7</v>
      </c>
      <c r="B8" s="25" t="s">
        <v>8</v>
      </c>
      <c r="C8" s="87">
        <f>C7*30%</f>
        <v>1038.0571949999999</v>
      </c>
      <c r="D8" s="87"/>
      <c r="E8" s="69"/>
      <c r="F8" s="16"/>
    </row>
    <row r="9" spans="1:7" x14ac:dyDescent="0.15">
      <c r="A9" s="25" t="s">
        <v>9</v>
      </c>
      <c r="B9" s="25" t="s">
        <v>10</v>
      </c>
      <c r="C9" s="87" t="s">
        <v>128</v>
      </c>
      <c r="D9" s="87"/>
      <c r="E9" s="69"/>
      <c r="F9" s="16"/>
    </row>
    <row r="10" spans="1:7" x14ac:dyDescent="0.15">
      <c r="A10" s="25" t="s">
        <v>11</v>
      </c>
      <c r="B10" s="25" t="s">
        <v>12</v>
      </c>
      <c r="C10" s="87" t="s">
        <v>128</v>
      </c>
      <c r="D10" s="87"/>
      <c r="E10" s="69"/>
      <c r="F10" s="16"/>
    </row>
    <row r="11" spans="1:7" x14ac:dyDescent="0.15">
      <c r="A11" s="25" t="s">
        <v>13</v>
      </c>
      <c r="B11" s="25" t="s">
        <v>14</v>
      </c>
      <c r="C11" s="87" t="s">
        <v>128</v>
      </c>
      <c r="D11" s="87"/>
      <c r="E11" s="69"/>
      <c r="F11" s="16"/>
    </row>
    <row r="12" spans="1:7" x14ac:dyDescent="0.15">
      <c r="A12" s="25" t="s">
        <v>15</v>
      </c>
      <c r="B12" s="25" t="s">
        <v>16</v>
      </c>
      <c r="C12" s="87" t="s">
        <v>128</v>
      </c>
      <c r="D12" s="87"/>
      <c r="E12" s="69"/>
      <c r="F12" s="16"/>
    </row>
    <row r="13" spans="1:7" x14ac:dyDescent="0.15">
      <c r="A13" s="25" t="s">
        <v>17</v>
      </c>
      <c r="B13" s="25" t="s">
        <v>18</v>
      </c>
      <c r="C13" s="87" t="s">
        <v>128</v>
      </c>
      <c r="D13" s="87"/>
      <c r="E13" s="69"/>
      <c r="F13" s="16"/>
    </row>
    <row r="14" spans="1:7" x14ac:dyDescent="0.15">
      <c r="A14" s="25" t="s">
        <v>19</v>
      </c>
      <c r="B14" s="25" t="s">
        <v>20</v>
      </c>
      <c r="C14" s="87" t="s">
        <v>128</v>
      </c>
      <c r="D14" s="87"/>
      <c r="E14" s="69"/>
      <c r="F14" s="16"/>
    </row>
    <row r="15" spans="1:7" x14ac:dyDescent="0.15">
      <c r="A15" s="24"/>
      <c r="B15" s="24" t="s">
        <v>21</v>
      </c>
      <c r="C15" s="86">
        <f>SUM(C7:D14)</f>
        <v>4498.2478449999999</v>
      </c>
      <c r="D15" s="86"/>
      <c r="E15" s="69"/>
      <c r="F15" s="16"/>
    </row>
    <row r="16" spans="1:7" x14ac:dyDescent="0.15">
      <c r="A16" s="16"/>
      <c r="B16" s="16"/>
      <c r="C16" s="16"/>
      <c r="D16" s="16"/>
      <c r="E16" s="69"/>
      <c r="F16" s="16"/>
    </row>
    <row r="17" spans="1:6" x14ac:dyDescent="0.15">
      <c r="A17" s="22" t="s">
        <v>22</v>
      </c>
      <c r="B17" s="22"/>
      <c r="C17" s="16"/>
      <c r="D17" s="16"/>
      <c r="E17" s="69"/>
      <c r="F17" s="16"/>
    </row>
    <row r="18" spans="1:6" x14ac:dyDescent="0.15">
      <c r="A18" s="16"/>
      <c r="B18" s="20" t="s">
        <v>1</v>
      </c>
      <c r="C18" s="16"/>
      <c r="D18" s="16"/>
      <c r="E18" s="69"/>
      <c r="F18" s="16"/>
    </row>
    <row r="19" spans="1:6" x14ac:dyDescent="0.15">
      <c r="A19" s="27">
        <v>2</v>
      </c>
      <c r="B19" s="25" t="s">
        <v>23</v>
      </c>
      <c r="C19" s="95" t="s">
        <v>4</v>
      </c>
      <c r="D19" s="95"/>
      <c r="E19" s="69"/>
      <c r="F19" s="16"/>
    </row>
    <row r="20" spans="1:6" x14ac:dyDescent="0.15">
      <c r="A20" s="25" t="s">
        <v>5</v>
      </c>
      <c r="B20" s="25" t="s">
        <v>24</v>
      </c>
      <c r="C20" s="96">
        <f>(6.5*2*22)-(6%*C7)</f>
        <v>78.38856100000001</v>
      </c>
      <c r="D20" s="96"/>
      <c r="E20" s="69" t="s">
        <v>137</v>
      </c>
      <c r="F20" s="16"/>
    </row>
    <row r="21" spans="1:6" x14ac:dyDescent="0.15">
      <c r="A21" s="25" t="s">
        <v>7</v>
      </c>
      <c r="B21" s="28" t="s">
        <v>25</v>
      </c>
      <c r="C21" s="97">
        <f>18.7*22*80%</f>
        <v>329.12</v>
      </c>
      <c r="D21" s="97"/>
      <c r="E21" s="69" t="s">
        <v>111</v>
      </c>
      <c r="F21" s="16"/>
    </row>
    <row r="22" spans="1:6" x14ac:dyDescent="0.15">
      <c r="A22" s="25" t="s">
        <v>9</v>
      </c>
      <c r="B22" s="25" t="s">
        <v>160</v>
      </c>
      <c r="C22" s="87">
        <v>0</v>
      </c>
      <c r="D22" s="87"/>
      <c r="E22" s="69" t="s">
        <v>111</v>
      </c>
      <c r="F22" s="16"/>
    </row>
    <row r="23" spans="1:6" x14ac:dyDescent="0.15">
      <c r="A23" s="25" t="s">
        <v>11</v>
      </c>
      <c r="B23" s="25" t="s">
        <v>161</v>
      </c>
      <c r="C23" s="93">
        <v>5</v>
      </c>
      <c r="D23" s="94"/>
      <c r="E23" s="69" t="s">
        <v>111</v>
      </c>
      <c r="F23" s="16"/>
    </row>
    <row r="24" spans="1:6" ht="15" customHeight="1" x14ac:dyDescent="0.15">
      <c r="A24" s="25" t="s">
        <v>13</v>
      </c>
      <c r="B24" s="25" t="s">
        <v>145</v>
      </c>
      <c r="C24" s="93">
        <v>21.5</v>
      </c>
      <c r="D24" s="94"/>
      <c r="E24" s="69" t="s">
        <v>164</v>
      </c>
      <c r="F24" s="16"/>
    </row>
    <row r="25" spans="1:6" x14ac:dyDescent="0.15">
      <c r="A25" s="25" t="s">
        <v>15</v>
      </c>
      <c r="B25" s="25" t="s">
        <v>162</v>
      </c>
      <c r="C25" s="93">
        <f>1295.63*0.3*C50</f>
        <v>23.321339999999999</v>
      </c>
      <c r="D25" s="94"/>
      <c r="E25" s="69" t="s">
        <v>111</v>
      </c>
      <c r="F25" s="16"/>
    </row>
    <row r="26" spans="1:6" x14ac:dyDescent="0.15">
      <c r="A26" s="25" t="s">
        <v>17</v>
      </c>
      <c r="B26" s="25" t="s">
        <v>20</v>
      </c>
      <c r="C26" s="93">
        <v>0</v>
      </c>
      <c r="D26" s="94"/>
      <c r="E26" s="69"/>
      <c r="F26" s="16"/>
    </row>
    <row r="27" spans="1:6" x14ac:dyDescent="0.15">
      <c r="A27" s="25"/>
      <c r="B27" s="24" t="s">
        <v>26</v>
      </c>
      <c r="C27" s="86">
        <f>SUM(C20:C25)</f>
        <v>457.32990100000001</v>
      </c>
      <c r="D27" s="86"/>
      <c r="E27" s="69"/>
      <c r="F27" s="16"/>
    </row>
    <row r="28" spans="1:6" x14ac:dyDescent="0.15">
      <c r="A28" s="16"/>
      <c r="B28" s="16"/>
      <c r="C28" s="16"/>
      <c r="D28" s="16"/>
      <c r="E28" s="69"/>
      <c r="F28" s="16"/>
    </row>
    <row r="29" spans="1:6" x14ac:dyDescent="0.15">
      <c r="A29" s="98" t="s">
        <v>27</v>
      </c>
      <c r="B29" s="98"/>
      <c r="C29" s="16"/>
      <c r="D29" s="16"/>
      <c r="E29" s="69"/>
      <c r="F29" s="16"/>
    </row>
    <row r="30" spans="1:6" x14ac:dyDescent="0.15">
      <c r="A30" s="16"/>
      <c r="B30" s="20" t="s">
        <v>1</v>
      </c>
      <c r="C30" s="16"/>
      <c r="D30" s="16"/>
      <c r="E30" s="69"/>
      <c r="F30" s="16"/>
    </row>
    <row r="31" spans="1:6" x14ac:dyDescent="0.15">
      <c r="A31" s="27">
        <v>3</v>
      </c>
      <c r="B31" s="25" t="s">
        <v>28</v>
      </c>
      <c r="C31" s="95" t="s">
        <v>4</v>
      </c>
      <c r="D31" s="95"/>
      <c r="E31" s="69"/>
      <c r="F31" s="16"/>
    </row>
    <row r="32" spans="1:6" x14ac:dyDescent="0.15">
      <c r="A32" s="25" t="s">
        <v>5</v>
      </c>
      <c r="B32" s="25" t="s">
        <v>29</v>
      </c>
      <c r="C32" s="100">
        <v>169.94</v>
      </c>
      <c r="D32" s="100"/>
      <c r="E32" s="71"/>
      <c r="F32" s="16"/>
    </row>
    <row r="33" spans="1:6" x14ac:dyDescent="0.15">
      <c r="A33" s="25" t="s">
        <v>7</v>
      </c>
      <c r="B33" s="25" t="s">
        <v>30</v>
      </c>
      <c r="C33" s="100">
        <v>0</v>
      </c>
      <c r="D33" s="100"/>
      <c r="E33" s="71"/>
      <c r="F33" s="16"/>
    </row>
    <row r="34" spans="1:6" x14ac:dyDescent="0.15">
      <c r="A34" s="25" t="s">
        <v>9</v>
      </c>
      <c r="B34" s="25" t="s">
        <v>31</v>
      </c>
      <c r="C34" s="100">
        <v>0</v>
      </c>
      <c r="D34" s="100"/>
      <c r="E34" s="71"/>
      <c r="F34" s="16"/>
    </row>
    <row r="35" spans="1:6" x14ac:dyDescent="0.15">
      <c r="A35" s="25" t="s">
        <v>11</v>
      </c>
      <c r="B35" s="25" t="s">
        <v>20</v>
      </c>
      <c r="C35" s="100">
        <v>0</v>
      </c>
      <c r="D35" s="100"/>
      <c r="E35" s="69"/>
      <c r="F35" s="16"/>
    </row>
    <row r="36" spans="1:6" x14ac:dyDescent="0.15">
      <c r="A36" s="88" t="s">
        <v>32</v>
      </c>
      <c r="B36" s="88"/>
      <c r="C36" s="86">
        <f>C32</f>
        <v>169.94</v>
      </c>
      <c r="D36" s="86"/>
      <c r="E36" s="69"/>
      <c r="F36" s="16"/>
    </row>
    <row r="37" spans="1:6" x14ac:dyDescent="0.15">
      <c r="A37" s="16"/>
      <c r="B37" s="16"/>
      <c r="C37" s="16"/>
      <c r="D37" s="16"/>
      <c r="E37" s="69"/>
      <c r="F37" s="16"/>
    </row>
    <row r="38" spans="1:6" x14ac:dyDescent="0.15">
      <c r="A38" s="22" t="s">
        <v>33</v>
      </c>
      <c r="B38" s="22"/>
      <c r="C38" s="16"/>
      <c r="D38" s="16"/>
      <c r="E38" s="69"/>
      <c r="F38" s="16"/>
    </row>
    <row r="39" spans="1:6" x14ac:dyDescent="0.15">
      <c r="A39" s="16"/>
      <c r="B39" s="16"/>
      <c r="C39" s="16"/>
      <c r="D39" s="16"/>
      <c r="E39" s="69"/>
      <c r="F39" s="16"/>
    </row>
    <row r="40" spans="1:6" x14ac:dyDescent="0.15">
      <c r="A40" s="22" t="s">
        <v>34</v>
      </c>
      <c r="B40" s="22"/>
      <c r="C40" s="16"/>
      <c r="D40" s="16"/>
      <c r="E40" s="69"/>
      <c r="F40" s="16"/>
    </row>
    <row r="41" spans="1:6" x14ac:dyDescent="0.15">
      <c r="A41" s="16"/>
      <c r="B41" s="20" t="s">
        <v>1</v>
      </c>
      <c r="C41" s="16"/>
      <c r="D41" s="16"/>
      <c r="E41" s="69"/>
      <c r="F41" s="16"/>
    </row>
    <row r="42" spans="1:6" x14ac:dyDescent="0.15">
      <c r="A42" s="24" t="s">
        <v>35</v>
      </c>
      <c r="B42" s="24" t="s">
        <v>36</v>
      </c>
      <c r="C42" s="30" t="s">
        <v>37</v>
      </c>
      <c r="D42" s="24" t="s">
        <v>4</v>
      </c>
      <c r="E42" s="69"/>
      <c r="F42" s="16"/>
    </row>
    <row r="43" spans="1:6" x14ac:dyDescent="0.15">
      <c r="A43" s="25" t="s">
        <v>5</v>
      </c>
      <c r="B43" s="25" t="s">
        <v>38</v>
      </c>
      <c r="C43" s="31">
        <v>0.2</v>
      </c>
      <c r="D43" s="32">
        <f>C43*C15</f>
        <v>899.64956900000004</v>
      </c>
      <c r="E43" s="69" t="s">
        <v>112</v>
      </c>
      <c r="F43" s="16"/>
    </row>
    <row r="44" spans="1:6" x14ac:dyDescent="0.15">
      <c r="A44" s="25" t="s">
        <v>13</v>
      </c>
      <c r="B44" s="25" t="s">
        <v>39</v>
      </c>
      <c r="C44" s="33">
        <v>2.5000000000000001E-2</v>
      </c>
      <c r="D44" s="32">
        <f>C44*C15</f>
        <v>112.45619612500001</v>
      </c>
      <c r="E44" s="69" t="s">
        <v>113</v>
      </c>
      <c r="F44" s="16"/>
    </row>
    <row r="45" spans="1:6" x14ac:dyDescent="0.15">
      <c r="A45" s="25" t="s">
        <v>19</v>
      </c>
      <c r="B45" s="25" t="s">
        <v>40</v>
      </c>
      <c r="C45" s="31">
        <v>6.0000000000000001E-3</v>
      </c>
      <c r="D45" s="32">
        <f>C45*C15</f>
        <v>26.989487069999999</v>
      </c>
      <c r="E45" s="69" t="s">
        <v>114</v>
      </c>
      <c r="F45" s="16"/>
    </row>
    <row r="46" spans="1:6" x14ac:dyDescent="0.15">
      <c r="A46" s="25" t="s">
        <v>7</v>
      </c>
      <c r="B46" s="25" t="s">
        <v>41</v>
      </c>
      <c r="C46" s="31">
        <v>1.4999999999999999E-2</v>
      </c>
      <c r="D46" s="32">
        <f>C46*C15</f>
        <v>67.473717674999989</v>
      </c>
      <c r="E46" s="69" t="s">
        <v>115</v>
      </c>
      <c r="F46" s="16"/>
    </row>
    <row r="47" spans="1:6" x14ac:dyDescent="0.15">
      <c r="A47" s="25" t="s">
        <v>9</v>
      </c>
      <c r="B47" s="25" t="s">
        <v>42</v>
      </c>
      <c r="C47" s="31">
        <v>0.01</v>
      </c>
      <c r="D47" s="32">
        <f>C47*C15</f>
        <v>44.982478450000002</v>
      </c>
      <c r="E47" s="69" t="s">
        <v>116</v>
      </c>
      <c r="F47" s="16"/>
    </row>
    <row r="48" spans="1:6" x14ac:dyDescent="0.15">
      <c r="A48" s="25" t="s">
        <v>11</v>
      </c>
      <c r="B48" s="25" t="s">
        <v>43</v>
      </c>
      <c r="C48" s="31">
        <v>2E-3</v>
      </c>
      <c r="D48" s="32">
        <f>C48*C15</f>
        <v>8.9964956899999997</v>
      </c>
      <c r="E48" s="69" t="s">
        <v>117</v>
      </c>
      <c r="F48" s="16"/>
    </row>
    <row r="49" spans="1:7" x14ac:dyDescent="0.15">
      <c r="A49" s="25" t="s">
        <v>15</v>
      </c>
      <c r="B49" s="25" t="s">
        <v>44</v>
      </c>
      <c r="C49" s="31">
        <v>0.08</v>
      </c>
      <c r="D49" s="32">
        <f>C49*C15</f>
        <v>359.85982760000002</v>
      </c>
      <c r="E49" s="69" t="s">
        <v>118</v>
      </c>
      <c r="F49" s="16"/>
    </row>
    <row r="50" spans="1:7" x14ac:dyDescent="0.15">
      <c r="A50" s="25" t="s">
        <v>17</v>
      </c>
      <c r="B50" s="25" t="s">
        <v>129</v>
      </c>
      <c r="C50" s="31">
        <v>0.06</v>
      </c>
      <c r="D50" s="32">
        <f>C50*C15</f>
        <v>269.89487069999996</v>
      </c>
      <c r="E50" s="69" t="s">
        <v>119</v>
      </c>
      <c r="F50" s="16"/>
    </row>
    <row r="51" spans="1:7" x14ac:dyDescent="0.15">
      <c r="A51" s="88" t="s">
        <v>45</v>
      </c>
      <c r="B51" s="88"/>
      <c r="C51" s="34">
        <f>SUM(C43:C50)</f>
        <v>0.39800000000000002</v>
      </c>
      <c r="D51" s="35">
        <f>SUM(D43:D50)</f>
        <v>1790.30264231</v>
      </c>
      <c r="E51" s="69"/>
      <c r="F51" s="16"/>
    </row>
    <row r="52" spans="1:7" x14ac:dyDescent="0.15">
      <c r="A52" s="16"/>
      <c r="B52" s="16"/>
      <c r="C52" s="16"/>
      <c r="D52" s="16"/>
      <c r="E52" s="69"/>
      <c r="F52" s="16"/>
    </row>
    <row r="53" spans="1:7" x14ac:dyDescent="0.15">
      <c r="A53" s="22" t="s">
        <v>46</v>
      </c>
      <c r="B53" s="22"/>
      <c r="C53" s="16"/>
      <c r="D53" s="16"/>
      <c r="E53" s="69"/>
      <c r="F53" s="29"/>
    </row>
    <row r="54" spans="1:7" x14ac:dyDescent="0.15">
      <c r="A54" s="16"/>
      <c r="B54" s="20" t="s">
        <v>1</v>
      </c>
      <c r="C54" s="16"/>
      <c r="D54" s="16"/>
      <c r="E54" s="69"/>
      <c r="F54" s="16"/>
    </row>
    <row r="55" spans="1:7" x14ac:dyDescent="0.15">
      <c r="A55" s="24" t="s">
        <v>47</v>
      </c>
      <c r="B55" s="23" t="s">
        <v>48</v>
      </c>
      <c r="C55" s="30" t="s">
        <v>37</v>
      </c>
      <c r="D55" s="24" t="s">
        <v>4</v>
      </c>
      <c r="E55" s="72"/>
      <c r="F55" s="16"/>
    </row>
    <row r="56" spans="1:7" x14ac:dyDescent="0.15">
      <c r="A56" s="25" t="s">
        <v>5</v>
      </c>
      <c r="B56" s="27" t="s">
        <v>49</v>
      </c>
      <c r="C56" s="31">
        <f>1/12</f>
        <v>8.3333333333333329E-2</v>
      </c>
      <c r="D56" s="32">
        <f>C15*C56</f>
        <v>374.85398708333332</v>
      </c>
      <c r="E56" s="72" t="s">
        <v>120</v>
      </c>
      <c r="F56" s="37"/>
      <c r="G56" s="38"/>
    </row>
    <row r="57" spans="1:7" x14ac:dyDescent="0.15">
      <c r="A57" s="25" t="s">
        <v>7</v>
      </c>
      <c r="B57" s="27" t="s">
        <v>50</v>
      </c>
      <c r="C57" s="39">
        <f>1/3/12</f>
        <v>2.7777777777777776E-2</v>
      </c>
      <c r="D57" s="32">
        <f>C57*C15</f>
        <v>124.95132902777777</v>
      </c>
      <c r="E57" s="72" t="s">
        <v>121</v>
      </c>
      <c r="F57" s="37"/>
    </row>
    <row r="58" spans="1:7" x14ac:dyDescent="0.15">
      <c r="A58" s="88" t="s">
        <v>51</v>
      </c>
      <c r="B58" s="88"/>
      <c r="C58" s="40">
        <f>SUM(C56:C57)</f>
        <v>0.1111111111111111</v>
      </c>
      <c r="D58" s="35">
        <f>SUM(D56:D57)</f>
        <v>499.8053161111111</v>
      </c>
      <c r="E58" s="69"/>
      <c r="F58" s="16"/>
    </row>
    <row r="59" spans="1:7" x14ac:dyDescent="0.15">
      <c r="A59" s="25" t="s">
        <v>9</v>
      </c>
      <c r="B59" s="27" t="s">
        <v>52</v>
      </c>
      <c r="C59" s="31">
        <f>C51*C58</f>
        <v>4.4222222222222225E-2</v>
      </c>
      <c r="D59" s="32">
        <f>C51*D58</f>
        <v>198.92251581222223</v>
      </c>
      <c r="E59" s="69"/>
      <c r="F59" s="16"/>
    </row>
    <row r="60" spans="1:7" x14ac:dyDescent="0.15">
      <c r="A60" s="88" t="s">
        <v>45</v>
      </c>
      <c r="B60" s="88"/>
      <c r="C60" s="40">
        <f>SUM(C58:C59)</f>
        <v>0.15533333333333332</v>
      </c>
      <c r="D60" s="35">
        <f>SUM(D58:D59)</f>
        <v>698.72783192333327</v>
      </c>
      <c r="E60" s="69"/>
      <c r="F60" s="16"/>
    </row>
    <row r="61" spans="1:7" x14ac:dyDescent="0.15">
      <c r="A61" s="16"/>
      <c r="B61" s="16"/>
      <c r="C61" s="16"/>
      <c r="D61" s="16"/>
      <c r="E61" s="69"/>
      <c r="F61" s="16"/>
    </row>
    <row r="62" spans="1:7" x14ac:dyDescent="0.15">
      <c r="A62" s="22" t="s">
        <v>53</v>
      </c>
      <c r="B62" s="16"/>
      <c r="C62" s="16"/>
      <c r="D62" s="16"/>
      <c r="E62" s="69"/>
      <c r="F62" s="16"/>
    </row>
    <row r="63" spans="1:7" x14ac:dyDescent="0.15">
      <c r="A63" s="16"/>
      <c r="B63" s="20" t="s">
        <v>1</v>
      </c>
      <c r="C63" s="16"/>
      <c r="D63" s="16"/>
      <c r="E63" s="69"/>
      <c r="F63" s="36"/>
    </row>
    <row r="64" spans="1:7" x14ac:dyDescent="0.15">
      <c r="A64" s="24" t="s">
        <v>54</v>
      </c>
      <c r="B64" s="23" t="s">
        <v>55</v>
      </c>
      <c r="C64" s="30" t="s">
        <v>37</v>
      </c>
      <c r="D64" s="24" t="s">
        <v>4</v>
      </c>
      <c r="E64" s="69"/>
      <c r="F64" s="16"/>
    </row>
    <row r="65" spans="1:8" ht="21" x14ac:dyDescent="0.15">
      <c r="A65" s="25" t="s">
        <v>5</v>
      </c>
      <c r="B65" s="27" t="s">
        <v>56</v>
      </c>
      <c r="C65" s="41">
        <f>4/3*4/12/12*2%</f>
        <v>7.407407407407407E-4</v>
      </c>
      <c r="D65" s="32">
        <f>C65*C15</f>
        <v>3.3320354407407407</v>
      </c>
      <c r="E65" s="73" t="s">
        <v>122</v>
      </c>
      <c r="F65" s="16"/>
      <c r="H65" s="46"/>
    </row>
    <row r="66" spans="1:8" x14ac:dyDescent="0.15">
      <c r="A66" s="25" t="s">
        <v>57</v>
      </c>
      <c r="B66" s="27" t="s">
        <v>58</v>
      </c>
      <c r="C66" s="41">
        <f>C65*C51</f>
        <v>2.9481481481481481E-4</v>
      </c>
      <c r="D66" s="32">
        <f>C66*C15</f>
        <v>1.3261501054148148</v>
      </c>
      <c r="E66" s="69"/>
      <c r="F66" s="16"/>
      <c r="G66" s="16"/>
    </row>
    <row r="67" spans="1:8" ht="33.75" x14ac:dyDescent="0.15">
      <c r="A67" s="25" t="s">
        <v>59</v>
      </c>
      <c r="B67" s="43" t="s">
        <v>165</v>
      </c>
      <c r="C67" s="41">
        <f>(13/12*4/12*2%)*C51</f>
        <v>2.8744444444444447E-3</v>
      </c>
      <c r="D67" s="32">
        <f>C15*C67</f>
        <v>12.929963527794445</v>
      </c>
      <c r="E67" s="69"/>
      <c r="F67" s="16"/>
      <c r="G67" s="16"/>
    </row>
    <row r="68" spans="1:8" x14ac:dyDescent="0.15">
      <c r="A68" s="88" t="s">
        <v>45</v>
      </c>
      <c r="B68" s="88"/>
      <c r="C68" s="44">
        <f>SUM(C65:C67)</f>
        <v>3.9100000000000003E-3</v>
      </c>
      <c r="D68" s="35">
        <f>SUM(D65:D67)</f>
        <v>17.588149073949999</v>
      </c>
      <c r="E68" s="69"/>
      <c r="F68" s="16"/>
      <c r="G68" s="16"/>
    </row>
    <row r="69" spans="1:8" x14ac:dyDescent="0.15">
      <c r="A69" s="16"/>
      <c r="B69" s="16"/>
      <c r="C69" s="16"/>
      <c r="D69" s="16"/>
      <c r="E69" s="69"/>
      <c r="F69" s="16"/>
      <c r="G69" s="16"/>
    </row>
    <row r="70" spans="1:8" x14ac:dyDescent="0.15">
      <c r="A70" s="22" t="s">
        <v>60</v>
      </c>
      <c r="B70" s="16"/>
      <c r="C70" s="16"/>
      <c r="D70" s="16"/>
      <c r="E70" s="69"/>
      <c r="F70" s="16"/>
      <c r="G70" s="16"/>
    </row>
    <row r="71" spans="1:8" x14ac:dyDescent="0.15">
      <c r="A71" s="16"/>
      <c r="B71" s="20" t="s">
        <v>1</v>
      </c>
      <c r="C71" s="16"/>
      <c r="D71" s="16"/>
      <c r="E71" s="69"/>
      <c r="F71" s="16"/>
      <c r="G71" s="16"/>
    </row>
    <row r="72" spans="1:8" s="22" customFormat="1" x14ac:dyDescent="0.15">
      <c r="A72" s="24" t="s">
        <v>61</v>
      </c>
      <c r="B72" s="23" t="s">
        <v>62</v>
      </c>
      <c r="C72" s="30" t="s">
        <v>37</v>
      </c>
      <c r="D72" s="24" t="s">
        <v>4</v>
      </c>
      <c r="E72" s="74"/>
    </row>
    <row r="73" spans="1:8" ht="31.5" x14ac:dyDescent="0.15">
      <c r="A73" s="25" t="s">
        <v>5</v>
      </c>
      <c r="B73" s="45" t="s">
        <v>63</v>
      </c>
      <c r="C73" s="41">
        <f>(1/12*1.5+1/30*3/12)*5%</f>
        <v>6.6666666666666671E-3</v>
      </c>
      <c r="D73" s="32">
        <f>C73*C15</f>
        <v>29.988318966666668</v>
      </c>
      <c r="E73" s="73" t="s">
        <v>123</v>
      </c>
      <c r="F73" s="16"/>
    </row>
    <row r="74" spans="1:8" x14ac:dyDescent="0.15">
      <c r="A74" s="25" t="s">
        <v>7</v>
      </c>
      <c r="B74" s="27" t="s">
        <v>64</v>
      </c>
      <c r="C74" s="41">
        <f>C49*C73</f>
        <v>5.3333333333333336E-4</v>
      </c>
      <c r="D74" s="32">
        <f>C74*C15</f>
        <v>2.3990655173333333</v>
      </c>
      <c r="E74" s="75"/>
      <c r="F74" s="16"/>
    </row>
    <row r="75" spans="1:8" ht="21.75" customHeight="1" x14ac:dyDescent="0.15">
      <c r="A75" s="25" t="s">
        <v>65</v>
      </c>
      <c r="B75" s="45" t="s">
        <v>66</v>
      </c>
      <c r="C75" s="41">
        <f>0.4*C49</f>
        <v>3.2000000000000001E-2</v>
      </c>
      <c r="D75" s="47">
        <f>C75*C15</f>
        <v>143.94393104</v>
      </c>
      <c r="E75" s="73" t="s">
        <v>124</v>
      </c>
      <c r="F75" s="16"/>
    </row>
    <row r="76" spans="1:8" x14ac:dyDescent="0.15">
      <c r="A76" s="25" t="s">
        <v>67</v>
      </c>
      <c r="B76" s="45" t="s">
        <v>68</v>
      </c>
      <c r="C76" s="41">
        <f>C49*10%</f>
        <v>8.0000000000000002E-3</v>
      </c>
      <c r="D76" s="47">
        <f>C76*C15</f>
        <v>35.985982759999999</v>
      </c>
      <c r="E76" s="73" t="s">
        <v>125</v>
      </c>
      <c r="F76" s="16"/>
    </row>
    <row r="77" spans="1:8" ht="21" x14ac:dyDescent="0.15">
      <c r="A77" s="25" t="s">
        <v>11</v>
      </c>
      <c r="B77" s="45" t="s">
        <v>69</v>
      </c>
      <c r="C77" s="41">
        <f>7/30/12*100%</f>
        <v>1.9444444444444445E-2</v>
      </c>
      <c r="D77" s="47">
        <f>C77*C15</f>
        <v>87.465930319444439</v>
      </c>
      <c r="E77" s="73" t="s">
        <v>126</v>
      </c>
      <c r="F77" s="46"/>
    </row>
    <row r="78" spans="1:8" x14ac:dyDescent="0.15">
      <c r="A78" s="25" t="s">
        <v>13</v>
      </c>
      <c r="B78" s="45" t="s">
        <v>70</v>
      </c>
      <c r="C78" s="41">
        <f>C51*C77</f>
        <v>7.7388888888888898E-3</v>
      </c>
      <c r="D78" s="32">
        <f>C78*C15</f>
        <v>34.811440267138892</v>
      </c>
      <c r="E78" s="76"/>
      <c r="F78" s="16"/>
    </row>
    <row r="79" spans="1:8" ht="21" x14ac:dyDescent="0.15">
      <c r="A79" s="25" t="s">
        <v>71</v>
      </c>
      <c r="B79" s="45" t="s">
        <v>72</v>
      </c>
      <c r="C79" s="41">
        <f>1/12*1%</f>
        <v>8.3333333333333328E-4</v>
      </c>
      <c r="D79" s="47">
        <f>C79*C7</f>
        <v>2.8834922083333332</v>
      </c>
      <c r="E79" s="77" t="s">
        <v>127</v>
      </c>
      <c r="F79" s="46"/>
    </row>
    <row r="80" spans="1:8" x14ac:dyDescent="0.15">
      <c r="A80" s="88" t="s">
        <v>45</v>
      </c>
      <c r="B80" s="88"/>
      <c r="C80" s="44">
        <f>SUM(C73:C79)</f>
        <v>7.5216666666666682E-2</v>
      </c>
      <c r="D80" s="50">
        <f>SUM(D73:D79)</f>
        <v>337.47816107891668</v>
      </c>
      <c r="E80" s="75"/>
      <c r="F80" s="16"/>
    </row>
    <row r="81" spans="1:6" x14ac:dyDescent="0.15">
      <c r="A81" s="16"/>
      <c r="B81" s="16"/>
      <c r="C81" s="16"/>
      <c r="D81" s="16"/>
      <c r="E81" s="69"/>
      <c r="F81" s="16"/>
    </row>
    <row r="82" spans="1:6" x14ac:dyDescent="0.15">
      <c r="A82" s="22" t="s">
        <v>73</v>
      </c>
      <c r="B82" s="16"/>
      <c r="C82" s="16"/>
      <c r="D82" s="16"/>
      <c r="E82" s="69"/>
      <c r="F82" s="16"/>
    </row>
    <row r="83" spans="1:6" x14ac:dyDescent="0.15">
      <c r="A83" s="16"/>
      <c r="B83" s="20" t="s">
        <v>1</v>
      </c>
      <c r="C83" s="16"/>
      <c r="D83" s="16"/>
      <c r="E83" s="69"/>
      <c r="F83" s="16"/>
    </row>
    <row r="84" spans="1:6" x14ac:dyDescent="0.15">
      <c r="A84" s="24" t="s">
        <v>74</v>
      </c>
      <c r="B84" s="24" t="s">
        <v>75</v>
      </c>
      <c r="C84" s="30" t="s">
        <v>37</v>
      </c>
      <c r="D84" s="24" t="s">
        <v>4</v>
      </c>
      <c r="E84" s="69"/>
      <c r="F84" s="16"/>
    </row>
    <row r="85" spans="1:6" x14ac:dyDescent="0.15">
      <c r="A85" s="25" t="s">
        <v>5</v>
      </c>
      <c r="B85" s="27" t="s">
        <v>76</v>
      </c>
      <c r="C85" s="41">
        <f>1/12</f>
        <v>8.3333333333333329E-2</v>
      </c>
      <c r="D85" s="32">
        <f>C85*C15</f>
        <v>374.85398708333332</v>
      </c>
      <c r="E85" s="78" t="s">
        <v>130</v>
      </c>
      <c r="F85" s="16"/>
    </row>
    <row r="86" spans="1:6" ht="21" x14ac:dyDescent="0.15">
      <c r="A86" s="25" t="s">
        <v>7</v>
      </c>
      <c r="B86" s="27" t="s">
        <v>77</v>
      </c>
      <c r="C86" s="41">
        <f>5/365*30%</f>
        <v>4.10958904109589E-3</v>
      </c>
      <c r="D86" s="32">
        <f>C86*C15</f>
        <v>18.485950047945202</v>
      </c>
      <c r="E86" s="73" t="s">
        <v>131</v>
      </c>
      <c r="F86" s="16"/>
    </row>
    <row r="87" spans="1:6" ht="21" x14ac:dyDescent="0.15">
      <c r="A87" s="25" t="s">
        <v>9</v>
      </c>
      <c r="B87" s="27" t="s">
        <v>78</v>
      </c>
      <c r="C87" s="41">
        <f>5/365*1%</f>
        <v>1.36986301369863E-4</v>
      </c>
      <c r="D87" s="32">
        <f>C87*C15</f>
        <v>0.61619833493150677</v>
      </c>
      <c r="E87" s="73" t="s">
        <v>132</v>
      </c>
      <c r="F87" s="16"/>
    </row>
    <row r="88" spans="1:6" ht="21" x14ac:dyDescent="0.15">
      <c r="A88" s="25" t="s">
        <v>11</v>
      </c>
      <c r="B88" s="27" t="s">
        <v>79</v>
      </c>
      <c r="C88" s="41">
        <f>3/365*5%+2/365*2%+2/365*2%</f>
        <v>6.3013698630136989E-4</v>
      </c>
      <c r="D88" s="32">
        <f>C88*C15</f>
        <v>2.8345123406849315</v>
      </c>
      <c r="E88" s="73" t="s">
        <v>133</v>
      </c>
      <c r="F88" s="16"/>
    </row>
    <row r="89" spans="1:6" x14ac:dyDescent="0.15">
      <c r="A89" s="25" t="s">
        <v>13</v>
      </c>
      <c r="B89" s="27" t="s">
        <v>80</v>
      </c>
      <c r="C89" s="41">
        <f>15/365*8%</f>
        <v>3.2876712328767121E-3</v>
      </c>
      <c r="D89" s="32">
        <f>C89*C15</f>
        <v>14.788760038356163</v>
      </c>
      <c r="E89" s="73" t="s">
        <v>134</v>
      </c>
      <c r="F89" s="16"/>
    </row>
    <row r="90" spans="1:6" x14ac:dyDescent="0.15">
      <c r="A90" s="88" t="s">
        <v>51</v>
      </c>
      <c r="B90" s="88"/>
      <c r="C90" s="44">
        <f>SUM(C85:C89)</f>
        <v>9.1497716894977155E-2</v>
      </c>
      <c r="D90" s="35">
        <f>SUM(D85:D89)</f>
        <v>411.57940784525107</v>
      </c>
      <c r="E90" s="69"/>
      <c r="F90" s="16"/>
    </row>
    <row r="91" spans="1:6" x14ac:dyDescent="0.15">
      <c r="A91" s="25" t="s">
        <v>17</v>
      </c>
      <c r="B91" s="27" t="s">
        <v>81</v>
      </c>
      <c r="C91" s="41">
        <f>C51*C90</f>
        <v>3.6416091324200907E-2</v>
      </c>
      <c r="D91" s="32">
        <f>D90*C51</f>
        <v>163.80860432240993</v>
      </c>
      <c r="E91" s="69"/>
      <c r="F91" s="16"/>
    </row>
    <row r="92" spans="1:6" x14ac:dyDescent="0.15">
      <c r="A92" s="88" t="s">
        <v>45</v>
      </c>
      <c r="B92" s="99"/>
      <c r="C92" s="44">
        <f>SUM(C90:C91)</f>
        <v>0.12791380821917805</v>
      </c>
      <c r="D92" s="35">
        <f>SUM(D90:D91)</f>
        <v>575.38801216766103</v>
      </c>
      <c r="E92" s="69"/>
      <c r="F92" s="16"/>
    </row>
    <row r="93" spans="1:6" x14ac:dyDescent="0.15">
      <c r="A93" s="16"/>
      <c r="B93" s="16"/>
      <c r="C93" s="16"/>
      <c r="D93" s="16"/>
      <c r="E93" s="69"/>
      <c r="F93" s="16"/>
    </row>
    <row r="94" spans="1:6" x14ac:dyDescent="0.15">
      <c r="A94" s="22" t="s">
        <v>82</v>
      </c>
      <c r="B94" s="16"/>
      <c r="C94" s="16"/>
      <c r="D94" s="16"/>
      <c r="E94" s="69"/>
      <c r="F94" s="16"/>
    </row>
    <row r="95" spans="1:6" x14ac:dyDescent="0.15">
      <c r="A95" s="16"/>
      <c r="B95" s="20" t="s">
        <v>1</v>
      </c>
      <c r="C95" s="16"/>
      <c r="D95" s="16"/>
      <c r="E95" s="69"/>
      <c r="F95" s="16"/>
    </row>
    <row r="96" spans="1:6" s="22" customFormat="1" x14ac:dyDescent="0.15">
      <c r="A96" s="23">
        <v>4</v>
      </c>
      <c r="B96" s="23" t="s">
        <v>83</v>
      </c>
      <c r="C96" s="30" t="s">
        <v>37</v>
      </c>
      <c r="D96" s="24" t="s">
        <v>4</v>
      </c>
      <c r="E96" s="74"/>
    </row>
    <row r="97" spans="1:6" x14ac:dyDescent="0.15">
      <c r="A97" s="25" t="s">
        <v>35</v>
      </c>
      <c r="B97" s="27" t="s">
        <v>84</v>
      </c>
      <c r="C97" s="41">
        <f>C60</f>
        <v>0.15533333333333332</v>
      </c>
      <c r="D97" s="32">
        <f>D60</f>
        <v>698.72783192333327</v>
      </c>
      <c r="E97" s="69"/>
      <c r="F97" s="16"/>
    </row>
    <row r="98" spans="1:6" x14ac:dyDescent="0.15">
      <c r="A98" s="25" t="s">
        <v>47</v>
      </c>
      <c r="B98" s="27" t="s">
        <v>36</v>
      </c>
      <c r="C98" s="41">
        <f>C51</f>
        <v>0.39800000000000002</v>
      </c>
      <c r="D98" s="32">
        <f>D51</f>
        <v>1790.30264231</v>
      </c>
      <c r="E98" s="69"/>
      <c r="F98" s="16"/>
    </row>
    <row r="99" spans="1:6" x14ac:dyDescent="0.15">
      <c r="A99" s="25" t="s">
        <v>54</v>
      </c>
      <c r="B99" s="27" t="s">
        <v>85</v>
      </c>
      <c r="C99" s="41">
        <f>C68</f>
        <v>3.9100000000000003E-3</v>
      </c>
      <c r="D99" s="32">
        <f>D68</f>
        <v>17.588149073949999</v>
      </c>
      <c r="E99" s="69"/>
      <c r="F99" s="16"/>
    </row>
    <row r="100" spans="1:6" x14ac:dyDescent="0.15">
      <c r="A100" s="25" t="s">
        <v>61</v>
      </c>
      <c r="B100" s="27" t="s">
        <v>86</v>
      </c>
      <c r="C100" s="41">
        <f>C80</f>
        <v>7.5216666666666682E-2</v>
      </c>
      <c r="D100" s="32">
        <f>D80</f>
        <v>337.47816107891668</v>
      </c>
      <c r="E100" s="69"/>
      <c r="F100" s="16"/>
    </row>
    <row r="101" spans="1:6" x14ac:dyDescent="0.15">
      <c r="A101" s="25" t="s">
        <v>74</v>
      </c>
      <c r="B101" s="27" t="s">
        <v>87</v>
      </c>
      <c r="C101" s="41">
        <f>C92</f>
        <v>0.12791380821917805</v>
      </c>
      <c r="D101" s="32">
        <f>D92</f>
        <v>575.38801216766103</v>
      </c>
      <c r="E101" s="69"/>
      <c r="F101" s="16"/>
    </row>
    <row r="102" spans="1:6" x14ac:dyDescent="0.15">
      <c r="A102" s="25" t="s">
        <v>88</v>
      </c>
      <c r="B102" s="27" t="s">
        <v>20</v>
      </c>
      <c r="C102" s="41">
        <f>C93</f>
        <v>0</v>
      </c>
      <c r="D102" s="32">
        <v>0</v>
      </c>
      <c r="E102" s="69"/>
      <c r="F102" s="16"/>
    </row>
    <row r="103" spans="1:6" x14ac:dyDescent="0.15">
      <c r="A103" s="102" t="s">
        <v>45</v>
      </c>
      <c r="B103" s="103"/>
      <c r="C103" s="44">
        <f>SUM(C97:C102)</f>
        <v>0.7603738082191781</v>
      </c>
      <c r="D103" s="35">
        <f>SUM(D97:D102)</f>
        <v>3419.4847965538611</v>
      </c>
      <c r="E103" s="69"/>
      <c r="F103" s="16"/>
    </row>
    <row r="104" spans="1:6" x14ac:dyDescent="0.15">
      <c r="A104" s="16"/>
      <c r="B104" s="16"/>
      <c r="C104" s="16"/>
      <c r="D104" s="16"/>
      <c r="E104" s="69"/>
      <c r="F104" s="16"/>
    </row>
    <row r="105" spans="1:6" x14ac:dyDescent="0.15">
      <c r="A105" s="104" t="s">
        <v>89</v>
      </c>
      <c r="B105" s="105"/>
      <c r="C105" s="106"/>
      <c r="D105" s="35">
        <f>D103+C36+C27+C15</f>
        <v>8545.0025425538606</v>
      </c>
      <c r="E105" s="69"/>
      <c r="F105" s="16"/>
    </row>
    <row r="106" spans="1:6" x14ac:dyDescent="0.15">
      <c r="A106" s="16"/>
      <c r="B106" s="16"/>
      <c r="C106" s="16"/>
      <c r="D106" s="16"/>
      <c r="E106" s="69"/>
      <c r="F106" s="16"/>
    </row>
    <row r="107" spans="1:6" s="22" customFormat="1" x14ac:dyDescent="0.15">
      <c r="A107" s="22" t="s">
        <v>90</v>
      </c>
      <c r="E107" s="74"/>
    </row>
    <row r="108" spans="1:6" x14ac:dyDescent="0.15">
      <c r="A108" s="16"/>
      <c r="B108" s="20" t="s">
        <v>1</v>
      </c>
      <c r="C108" s="16"/>
      <c r="D108" s="16"/>
      <c r="E108" s="69"/>
      <c r="F108" s="16"/>
    </row>
    <row r="109" spans="1:6" x14ac:dyDescent="0.15">
      <c r="A109" s="23">
        <v>5</v>
      </c>
      <c r="B109" s="24" t="s">
        <v>91</v>
      </c>
      <c r="C109" s="30" t="s">
        <v>37</v>
      </c>
      <c r="D109" s="24" t="s">
        <v>4</v>
      </c>
      <c r="E109" s="69"/>
      <c r="F109" s="16"/>
    </row>
    <row r="110" spans="1:6" x14ac:dyDescent="0.15">
      <c r="A110" s="25" t="s">
        <v>5</v>
      </c>
      <c r="B110" s="25" t="s">
        <v>92</v>
      </c>
      <c r="C110" s="31">
        <v>0.05</v>
      </c>
      <c r="D110" s="32">
        <f>(D103+C36+C27+C15)*C110</f>
        <v>427.25012712769308</v>
      </c>
      <c r="E110" s="68" t="s">
        <v>135</v>
      </c>
      <c r="F110" s="16"/>
    </row>
    <row r="111" spans="1:6" x14ac:dyDescent="0.15">
      <c r="A111" s="25" t="s">
        <v>7</v>
      </c>
      <c r="B111" s="25" t="s">
        <v>93</v>
      </c>
      <c r="C111" s="31">
        <v>0.1</v>
      </c>
      <c r="D111" s="32">
        <f>(D103+C36+C27+C15+D110)*C111</f>
        <v>897.22526696815532</v>
      </c>
      <c r="E111" s="68" t="s">
        <v>136</v>
      </c>
      <c r="F111" s="16"/>
    </row>
    <row r="112" spans="1:6" x14ac:dyDescent="0.15">
      <c r="A112" s="25" t="s">
        <v>9</v>
      </c>
      <c r="B112" s="25" t="s">
        <v>94</v>
      </c>
      <c r="C112" s="53"/>
      <c r="D112" s="32"/>
      <c r="E112" s="69"/>
      <c r="F112" s="16"/>
    </row>
    <row r="113" spans="1:6" x14ac:dyDescent="0.15">
      <c r="A113" s="25"/>
      <c r="B113" s="25" t="s">
        <v>95</v>
      </c>
      <c r="C113" s="54">
        <f>1-(C114+C116)</f>
        <v>0.85749999999999993</v>
      </c>
      <c r="D113" s="32">
        <f>(D103+C36+C27+C15+D110+D111)/C113</f>
        <v>11509.595261399078</v>
      </c>
      <c r="E113" s="69"/>
      <c r="F113" s="16"/>
    </row>
    <row r="114" spans="1:6" x14ac:dyDescent="0.15">
      <c r="A114" s="25"/>
      <c r="B114" s="25" t="s">
        <v>96</v>
      </c>
      <c r="C114" s="31">
        <f>1.65% +7.6%</f>
        <v>9.2499999999999999E-2</v>
      </c>
      <c r="D114" s="55">
        <f>C114*D113</f>
        <v>1064.6375616794146</v>
      </c>
      <c r="E114" s="69"/>
      <c r="F114" s="16"/>
    </row>
    <row r="115" spans="1:6" x14ac:dyDescent="0.15">
      <c r="A115" s="25"/>
      <c r="B115" s="25" t="s">
        <v>97</v>
      </c>
      <c r="C115" s="53"/>
      <c r="D115" s="32"/>
      <c r="E115" s="69"/>
      <c r="F115" s="16"/>
    </row>
    <row r="116" spans="1:6" x14ac:dyDescent="0.15">
      <c r="A116" s="25"/>
      <c r="B116" s="25" t="s">
        <v>98</v>
      </c>
      <c r="C116" s="31">
        <v>0.05</v>
      </c>
      <c r="D116" s="55">
        <f>D113*C116</f>
        <v>575.47976306995395</v>
      </c>
      <c r="E116" s="69"/>
      <c r="F116" s="16"/>
    </row>
    <row r="117" spans="1:6" x14ac:dyDescent="0.15">
      <c r="A117" s="25"/>
      <c r="B117" s="25" t="s">
        <v>99</v>
      </c>
      <c r="C117" s="53"/>
      <c r="D117" s="32"/>
      <c r="E117" s="69"/>
      <c r="F117" s="16"/>
    </row>
    <row r="118" spans="1:6" x14ac:dyDescent="0.15">
      <c r="A118" s="88" t="s">
        <v>100</v>
      </c>
      <c r="B118" s="88"/>
      <c r="C118" s="88"/>
      <c r="D118" s="35">
        <f>SUM(D110,D114,D116,D111)</f>
        <v>2964.592718845217</v>
      </c>
      <c r="E118" s="69"/>
      <c r="F118" s="16"/>
    </row>
    <row r="119" spans="1:6" x14ac:dyDescent="0.15">
      <c r="A119" s="16"/>
      <c r="B119" s="16"/>
      <c r="C119" s="16"/>
      <c r="D119" s="16"/>
      <c r="E119" s="69"/>
      <c r="F119" s="16"/>
    </row>
    <row r="120" spans="1:6" x14ac:dyDescent="0.15">
      <c r="A120" s="22" t="s">
        <v>101</v>
      </c>
      <c r="B120" s="16"/>
      <c r="C120" s="16"/>
      <c r="D120" s="16"/>
      <c r="E120" s="69"/>
      <c r="F120" s="16"/>
    </row>
    <row r="121" spans="1:6" x14ac:dyDescent="0.15">
      <c r="A121" s="16"/>
      <c r="B121" s="20" t="s">
        <v>1</v>
      </c>
      <c r="C121" s="16"/>
      <c r="D121" s="16"/>
      <c r="E121" s="69"/>
      <c r="F121" s="16"/>
    </row>
    <row r="122" spans="1:6" s="22" customFormat="1" x14ac:dyDescent="0.15">
      <c r="A122" s="24"/>
      <c r="B122" s="88" t="s">
        <v>102</v>
      </c>
      <c r="C122" s="88"/>
      <c r="D122" s="30" t="s">
        <v>103</v>
      </c>
      <c r="E122" s="74"/>
    </row>
    <row r="123" spans="1:6" x14ac:dyDescent="0.15">
      <c r="A123" s="25" t="s">
        <v>5</v>
      </c>
      <c r="B123" s="101" t="s">
        <v>104</v>
      </c>
      <c r="C123" s="101"/>
      <c r="D123" s="56">
        <f>C15</f>
        <v>4498.2478449999999</v>
      </c>
      <c r="E123" s="69"/>
      <c r="F123" s="16"/>
    </row>
    <row r="124" spans="1:6" x14ac:dyDescent="0.15">
      <c r="A124" s="25" t="s">
        <v>7</v>
      </c>
      <c r="B124" s="101" t="s">
        <v>105</v>
      </c>
      <c r="C124" s="101"/>
      <c r="D124" s="56">
        <f>C27</f>
        <v>457.32990100000001</v>
      </c>
      <c r="E124" s="69"/>
      <c r="F124" s="16"/>
    </row>
    <row r="125" spans="1:6" x14ac:dyDescent="0.15">
      <c r="A125" s="57" t="s">
        <v>9</v>
      </c>
      <c r="B125" s="101" t="s">
        <v>106</v>
      </c>
      <c r="C125" s="99"/>
      <c r="D125" s="56">
        <f>C36</f>
        <v>169.94</v>
      </c>
      <c r="E125" s="69"/>
      <c r="F125" s="16"/>
    </row>
    <row r="126" spans="1:6" x14ac:dyDescent="0.15">
      <c r="A126" s="25" t="s">
        <v>11</v>
      </c>
      <c r="B126" s="58" t="s">
        <v>107</v>
      </c>
      <c r="C126" s="39">
        <f>C51+C60+C68+C80+C92</f>
        <v>0.7603738082191781</v>
      </c>
      <c r="D126" s="56">
        <f>D103</f>
        <v>3419.4847965538611</v>
      </c>
      <c r="E126" s="79"/>
      <c r="F126" s="16"/>
    </row>
    <row r="127" spans="1:6" x14ac:dyDescent="0.15">
      <c r="A127" s="25"/>
      <c r="B127" s="101" t="s">
        <v>108</v>
      </c>
      <c r="C127" s="99"/>
      <c r="D127" s="56">
        <f>SUM(D123:D126)</f>
        <v>8545.0025425538606</v>
      </c>
      <c r="E127" s="80">
        <f>SUM(C15+C27+C36+D103)/0.9135</f>
        <v>9354.1352408909261</v>
      </c>
      <c r="F127" s="16"/>
    </row>
    <row r="128" spans="1:6" x14ac:dyDescent="0.15">
      <c r="A128" s="25" t="s">
        <v>13</v>
      </c>
      <c r="B128" s="101" t="s">
        <v>109</v>
      </c>
      <c r="C128" s="101"/>
      <c r="D128" s="61">
        <f>SUM(D118)</f>
        <v>2964.592718845217</v>
      </c>
      <c r="E128" s="81"/>
      <c r="F128" s="16"/>
    </row>
    <row r="129" spans="1:6" x14ac:dyDescent="0.15">
      <c r="A129" s="88" t="s">
        <v>110</v>
      </c>
      <c r="B129" s="88"/>
      <c r="C129" s="88"/>
      <c r="D129" s="61">
        <f>SUM(D127+D128)</f>
        <v>11509.595261399078</v>
      </c>
      <c r="E129" s="69"/>
      <c r="F129" s="16"/>
    </row>
    <row r="130" spans="1:6" x14ac:dyDescent="0.15">
      <c r="A130" s="16"/>
      <c r="B130" s="16"/>
      <c r="C130" s="16"/>
      <c r="D130" s="16"/>
      <c r="E130" s="69"/>
      <c r="F130" s="16"/>
    </row>
    <row r="131" spans="1:6" x14ac:dyDescent="0.15">
      <c r="A131" s="16"/>
      <c r="B131" s="16"/>
      <c r="C131" s="16"/>
      <c r="D131" s="16"/>
      <c r="E131" s="69"/>
      <c r="F131" s="16"/>
    </row>
    <row r="155" spans="1:6" x14ac:dyDescent="0.15">
      <c r="A155" s="16"/>
      <c r="B155" s="16"/>
      <c r="C155" s="16"/>
      <c r="D155" s="16"/>
      <c r="E155" s="69"/>
      <c r="F155" s="16"/>
    </row>
    <row r="156" spans="1:6" x14ac:dyDescent="0.15">
      <c r="A156" s="16"/>
      <c r="B156" s="16"/>
      <c r="C156" s="16"/>
      <c r="D156" s="16"/>
      <c r="E156" s="69"/>
      <c r="F156" s="16"/>
    </row>
    <row r="157" spans="1:6" x14ac:dyDescent="0.15">
      <c r="A157" s="16"/>
      <c r="B157" s="16"/>
      <c r="C157" s="16"/>
      <c r="D157" s="16"/>
      <c r="E157" s="69"/>
      <c r="F157" s="16"/>
    </row>
    <row r="158" spans="1:6" x14ac:dyDescent="0.15">
      <c r="A158" s="22"/>
      <c r="B158" s="22"/>
      <c r="C158" s="16"/>
      <c r="D158" s="16"/>
      <c r="E158" s="69"/>
      <c r="F158" s="16"/>
    </row>
    <row r="159" spans="1:6" x14ac:dyDescent="0.15">
      <c r="A159" s="22"/>
      <c r="B159" s="22"/>
      <c r="C159" s="16"/>
      <c r="D159" s="16"/>
      <c r="E159" s="69"/>
      <c r="F159" s="16"/>
    </row>
    <row r="160" spans="1:6" x14ac:dyDescent="0.15">
      <c r="A160" s="16"/>
      <c r="B160" s="16"/>
      <c r="C160" s="16"/>
      <c r="D160" s="16"/>
      <c r="E160" s="69"/>
      <c r="F160" s="16"/>
    </row>
  </sheetData>
  <mergeCells count="47">
    <mergeCell ref="B124:C124"/>
    <mergeCell ref="B125:C125"/>
    <mergeCell ref="B127:C127"/>
    <mergeCell ref="B128:C128"/>
    <mergeCell ref="A129:C129"/>
    <mergeCell ref="A36:B36"/>
    <mergeCell ref="C36:D36"/>
    <mergeCell ref="B123:C123"/>
    <mergeCell ref="A51:B51"/>
    <mergeCell ref="A58:B58"/>
    <mergeCell ref="A60:B60"/>
    <mergeCell ref="A68:B68"/>
    <mergeCell ref="A80:B80"/>
    <mergeCell ref="A90:B90"/>
    <mergeCell ref="A92:B92"/>
    <mergeCell ref="A103:B103"/>
    <mergeCell ref="A105:C105"/>
    <mergeCell ref="A118:C118"/>
    <mergeCell ref="B122:C122"/>
    <mergeCell ref="A29:B29"/>
    <mergeCell ref="C32:D32"/>
    <mergeCell ref="C33:D33"/>
    <mergeCell ref="C34:D34"/>
    <mergeCell ref="C35:D35"/>
    <mergeCell ref="C31:D31"/>
    <mergeCell ref="C24:D24"/>
    <mergeCell ref="C25:D25"/>
    <mergeCell ref="C27:D27"/>
    <mergeCell ref="C26:D26"/>
    <mergeCell ref="C15:D15"/>
    <mergeCell ref="C19:D19"/>
    <mergeCell ref="C20:D20"/>
    <mergeCell ref="C21:D21"/>
    <mergeCell ref="C22:D22"/>
    <mergeCell ref="C23:D23"/>
    <mergeCell ref="C14:D14"/>
    <mergeCell ref="C6:D6"/>
    <mergeCell ref="C7:D7"/>
    <mergeCell ref="C8:D8"/>
    <mergeCell ref="C9:D9"/>
    <mergeCell ref="C13:D13"/>
    <mergeCell ref="C5:D5"/>
    <mergeCell ref="A1:D1"/>
    <mergeCell ref="C10:D10"/>
    <mergeCell ref="C11:D11"/>
    <mergeCell ref="C12:D12"/>
    <mergeCell ref="C4:D4"/>
  </mergeCells>
  <pageMargins left="0.511811024" right="0.511811024" top="0.78740157499999996" bottom="0.78740157499999996" header="0.31496062000000002" footer="0.31496062000000002"/>
  <pageSetup paperSize="9" scale="69" orientation="portrait" verticalDpi="597" r:id="rId1"/>
  <rowBreaks count="1" manualBreakCount="1">
    <brk id="68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0"/>
  <sheetViews>
    <sheetView showGridLines="0" tabSelected="1" zoomScale="90" zoomScaleNormal="90" workbookViewId="0">
      <selection activeCell="E26" sqref="E26"/>
    </sheetView>
  </sheetViews>
  <sheetFormatPr defaultRowHeight="15" x14ac:dyDescent="0.25"/>
  <cols>
    <col min="1" max="1" width="22.5703125" customWidth="1"/>
    <col min="2" max="2" width="10.42578125" customWidth="1"/>
    <col min="3" max="3" width="14" customWidth="1"/>
    <col min="4" max="4" width="8.5703125" customWidth="1"/>
    <col min="5" max="5" width="29.7109375" customWidth="1"/>
    <col min="6" max="6" width="14.140625" customWidth="1"/>
    <col min="7" max="7" width="19.42578125" customWidth="1"/>
    <col min="10" max="10" width="11.5703125" bestFit="1" customWidth="1"/>
    <col min="11" max="11" width="7" customWidth="1"/>
  </cols>
  <sheetData>
    <row r="2" spans="1:10" ht="14.45" x14ac:dyDescent="0.3">
      <c r="J2" s="5"/>
    </row>
    <row r="3" spans="1:10" thickBot="1" x14ac:dyDescent="0.35">
      <c r="A3" s="114" t="s">
        <v>154</v>
      </c>
      <c r="B3" s="114"/>
      <c r="C3" s="114"/>
      <c r="D3" s="114"/>
      <c r="E3" s="114"/>
      <c r="F3" s="114"/>
      <c r="G3" s="114"/>
    </row>
    <row r="4" spans="1:10" x14ac:dyDescent="0.25">
      <c r="A4" s="115" t="s">
        <v>138</v>
      </c>
      <c r="B4" s="112" t="s">
        <v>151</v>
      </c>
      <c r="C4" s="112" t="s">
        <v>139</v>
      </c>
      <c r="D4" s="112" t="s">
        <v>140</v>
      </c>
      <c r="E4" s="115" t="s">
        <v>152</v>
      </c>
      <c r="F4" s="115" t="s">
        <v>141</v>
      </c>
      <c r="G4" s="115" t="s">
        <v>142</v>
      </c>
    </row>
    <row r="5" spans="1:10" x14ac:dyDescent="0.25">
      <c r="A5" s="116"/>
      <c r="B5" s="113"/>
      <c r="C5" s="117"/>
      <c r="D5" s="117"/>
      <c r="E5" s="116"/>
      <c r="F5" s="116"/>
      <c r="G5" s="116"/>
    </row>
    <row r="6" spans="1:10" ht="14.45" x14ac:dyDescent="0.3">
      <c r="A6" s="8" t="s">
        <v>150</v>
      </c>
      <c r="B6" s="6">
        <v>10</v>
      </c>
      <c r="C6" s="6">
        <v>5</v>
      </c>
      <c r="D6" s="6">
        <v>12</v>
      </c>
      <c r="E6" s="7">
        <f>'12x36 diurno'!C133</f>
        <v>11422.174859451621</v>
      </c>
      <c r="F6" s="7">
        <f>C6*E6</f>
        <v>57110.874297258109</v>
      </c>
      <c r="G6" s="9">
        <f t="shared" ref="G6:G9" si="0">D6*F6</f>
        <v>685330.49156709737</v>
      </c>
    </row>
    <row r="7" spans="1:10" ht="14.45" x14ac:dyDescent="0.3">
      <c r="A7" s="8" t="s">
        <v>149</v>
      </c>
      <c r="B7" s="6">
        <v>12</v>
      </c>
      <c r="C7" s="6">
        <v>6</v>
      </c>
      <c r="D7" s="6">
        <v>12</v>
      </c>
      <c r="E7" s="7">
        <f>'12x36 noturno'!C133</f>
        <v>12427.616504869391</v>
      </c>
      <c r="F7" s="7">
        <f>C7*E7</f>
        <v>74565.699029216339</v>
      </c>
      <c r="G7" s="9">
        <f t="shared" si="0"/>
        <v>894788.38835059607</v>
      </c>
    </row>
    <row r="8" spans="1:10" ht="14.45" x14ac:dyDescent="0.3">
      <c r="A8" s="8" t="s">
        <v>146</v>
      </c>
      <c r="B8" s="6">
        <v>8</v>
      </c>
      <c r="C8" s="6">
        <v>4</v>
      </c>
      <c r="D8" s="6">
        <v>12</v>
      </c>
      <c r="E8" s="7">
        <f>'12x36 seg a sex'!C132</f>
        <v>11120.891594145498</v>
      </c>
      <c r="F8" s="7">
        <f>C8*E8</f>
        <v>44483.566376581992</v>
      </c>
      <c r="G8" s="9">
        <f t="shared" si="0"/>
        <v>533802.7965189839</v>
      </c>
    </row>
    <row r="9" spans="1:10" ht="14.45" x14ac:dyDescent="0.3">
      <c r="A9" s="8" t="s">
        <v>147</v>
      </c>
      <c r="B9" s="6">
        <v>1</v>
      </c>
      <c r="C9" s="6">
        <v>1</v>
      </c>
      <c r="D9" s="6">
        <v>12</v>
      </c>
      <c r="E9" s="7">
        <f>'Supervisor (5x2)'!D129</f>
        <v>11509.595261399078</v>
      </c>
      <c r="F9" s="7">
        <f>C9*E9</f>
        <v>11509.595261399078</v>
      </c>
      <c r="G9" s="9">
        <f t="shared" si="0"/>
        <v>138115.14313678892</v>
      </c>
    </row>
    <row r="10" spans="1:10" thickBot="1" x14ac:dyDescent="0.35">
      <c r="A10" s="10" t="s">
        <v>100</v>
      </c>
      <c r="B10" s="15">
        <f>SUM(B6:B9)</f>
        <v>31</v>
      </c>
      <c r="C10" s="15">
        <f>SUM(C6:C9)</f>
        <v>16</v>
      </c>
      <c r="D10" s="14"/>
      <c r="E10" s="11" t="s">
        <v>143</v>
      </c>
      <c r="F10" s="12">
        <f>SUM(F6:F9)</f>
        <v>187669.73496445554</v>
      </c>
      <c r="G10" s="13">
        <f>SUM(G6:G9)</f>
        <v>2252036.8195734662</v>
      </c>
    </row>
  </sheetData>
  <mergeCells count="8">
    <mergeCell ref="B4:B5"/>
    <mergeCell ref="A3:G3"/>
    <mergeCell ref="A4:A5"/>
    <mergeCell ref="C4:C5"/>
    <mergeCell ref="D4:D5"/>
    <mergeCell ref="E4:E5"/>
    <mergeCell ref="F4:F5"/>
    <mergeCell ref="G4:G5"/>
  </mergeCells>
  <printOptions horizontalCentered="1"/>
  <pageMargins left="0.31496062992125984" right="0.31496062992125984" top="2.3622047244094491" bottom="0.39370078740157483" header="0.11811023622047245" footer="0.11811023622047245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12</vt:i4>
      </vt:variant>
    </vt:vector>
  </HeadingPairs>
  <TitlesOfParts>
    <vt:vector size="17" baseType="lpstr">
      <vt:lpstr>12x36 diurno</vt:lpstr>
      <vt:lpstr>12x36 noturno</vt:lpstr>
      <vt:lpstr>12x36 seg a sex</vt:lpstr>
      <vt:lpstr>Supervisor (5x2)</vt:lpstr>
      <vt:lpstr>Consolidada</vt:lpstr>
      <vt:lpstr>'12x36 diurno'!Area_de_impressao</vt:lpstr>
      <vt:lpstr>'12x36 noturno'!Area_de_impressao</vt:lpstr>
      <vt:lpstr>'12x36 seg a sex'!Area_de_impressao</vt:lpstr>
      <vt:lpstr>'Supervisor (5x2)'!Area_de_impressao</vt:lpstr>
      <vt:lpstr>'12x36 diurno'!legislacaoDetalhe.asp?ctdCod_411</vt:lpstr>
      <vt:lpstr>'12x36 noturno'!legislacaoDetalhe.asp?ctdCod_411</vt:lpstr>
      <vt:lpstr>'12x36 seg a sex'!legislacaoDetalhe.asp?ctdCod_411</vt:lpstr>
      <vt:lpstr>'Supervisor (5x2)'!legislacaoDetalhe.asp?ctdCod_411</vt:lpstr>
      <vt:lpstr>'12x36 diurno'!legislacaoDetalhe.asp?ctdCod_411_1</vt:lpstr>
      <vt:lpstr>'12x36 noturno'!legislacaoDetalhe.asp?ctdCod_411_1</vt:lpstr>
      <vt:lpstr>'12x36 seg a sex'!legislacaoDetalhe.asp?ctdCod_411_1</vt:lpstr>
      <vt:lpstr>'Supervisor (5x2)'!legislacaoDetalhe.asp?ctdCod_411_1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Helena Lopes de Nova</dc:creator>
  <cp:lastModifiedBy>Sheila Martins Fonseca</cp:lastModifiedBy>
  <cp:lastPrinted>2016-06-30T13:48:12Z</cp:lastPrinted>
  <dcterms:created xsi:type="dcterms:W3CDTF">2013-10-29T18:52:46Z</dcterms:created>
  <dcterms:modified xsi:type="dcterms:W3CDTF">2016-06-30T13:49:51Z</dcterms:modified>
</cp:coreProperties>
</file>